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0" windowWidth="13970" windowHeight="8040" tabRatio="598"/>
  </bookViews>
  <sheets>
    <sheet name="Current Index" sheetId="2" r:id="rId1"/>
    <sheet name="DV-IDENTITY-0" sheetId="8" state="veryHidden" r:id="rId2"/>
  </sheets>
  <calcPr calcId="145621"/>
</workbook>
</file>

<file path=xl/calcChain.xml><?xml version="1.0" encoding="utf-8"?>
<calcChain xmlns="http://schemas.openxmlformats.org/spreadsheetml/2006/main">
  <c r="A1" i="8" l="1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BI1" i="8"/>
  <c r="BJ1" i="8"/>
  <c r="BK1" i="8"/>
  <c r="BL1" i="8"/>
  <c r="BM1" i="8"/>
  <c r="BN1" i="8"/>
  <c r="BO1" i="8"/>
  <c r="BP1" i="8"/>
  <c r="BQ1" i="8"/>
  <c r="BR1" i="8"/>
  <c r="BS1" i="8"/>
  <c r="BT1" i="8"/>
  <c r="BU1" i="8"/>
  <c r="BV1" i="8"/>
  <c r="BW1" i="8"/>
  <c r="BX1" i="8"/>
  <c r="BY1" i="8"/>
  <c r="BZ1" i="8"/>
  <c r="CA1" i="8"/>
  <c r="CB1" i="8"/>
  <c r="CC1" i="8"/>
  <c r="CD1" i="8"/>
  <c r="CE1" i="8"/>
  <c r="CF1" i="8"/>
  <c r="CG1" i="8"/>
  <c r="CH1" i="8"/>
  <c r="CI1" i="8"/>
  <c r="CJ1" i="8"/>
  <c r="CK1" i="8"/>
  <c r="CL1" i="8"/>
  <c r="CM1" i="8"/>
  <c r="CN1" i="8"/>
  <c r="CO1" i="8"/>
  <c r="CP1" i="8"/>
  <c r="CQ1" i="8"/>
  <c r="CR1" i="8"/>
  <c r="CS1" i="8"/>
  <c r="CT1" i="8"/>
  <c r="CU1" i="8"/>
  <c r="CV1" i="8"/>
  <c r="CW1" i="8"/>
  <c r="CX1" i="8"/>
  <c r="CY1" i="8"/>
  <c r="CZ1" i="8"/>
  <c r="DA1" i="8"/>
  <c r="DB1" i="8"/>
  <c r="DC1" i="8"/>
  <c r="DD1" i="8"/>
  <c r="DE1" i="8"/>
  <c r="DF1" i="8"/>
  <c r="DG1" i="8"/>
  <c r="DH1" i="8"/>
  <c r="DI1" i="8"/>
  <c r="DJ1" i="8"/>
  <c r="DK1" i="8"/>
  <c r="DL1" i="8"/>
  <c r="DM1" i="8"/>
  <c r="DN1" i="8"/>
  <c r="DO1" i="8"/>
  <c r="DP1" i="8"/>
  <c r="DQ1" i="8"/>
  <c r="DR1" i="8"/>
  <c r="DS1" i="8"/>
  <c r="DT1" i="8"/>
  <c r="DU1" i="8"/>
  <c r="DV1" i="8"/>
  <c r="DW1" i="8"/>
  <c r="DX1" i="8"/>
  <c r="DY1" i="8"/>
  <c r="DZ1" i="8"/>
  <c r="EA1" i="8"/>
  <c r="EB1" i="8"/>
  <c r="EC1" i="8"/>
  <c r="ED1" i="8"/>
  <c r="EE1" i="8"/>
  <c r="EF1" i="8"/>
  <c r="EG1" i="8"/>
  <c r="EH1" i="8"/>
  <c r="EI1" i="8"/>
  <c r="EJ1" i="8"/>
  <c r="EK1" i="8"/>
  <c r="EL1" i="8"/>
  <c r="EM1" i="8"/>
  <c r="EN1" i="8"/>
  <c r="EO1" i="8"/>
  <c r="EP1" i="8"/>
  <c r="EQ1" i="8"/>
  <c r="ER1" i="8"/>
  <c r="ES1" i="8"/>
  <c r="ET1" i="8"/>
  <c r="EU1" i="8"/>
  <c r="EV1" i="8"/>
  <c r="EW1" i="8"/>
  <c r="EX1" i="8"/>
  <c r="EY1" i="8"/>
  <c r="EZ1" i="8"/>
  <c r="FA1" i="8"/>
  <c r="FB1" i="8"/>
  <c r="FC1" i="8"/>
  <c r="FD1" i="8"/>
  <c r="FE1" i="8"/>
  <c r="FF1" i="8"/>
  <c r="FG1" i="8"/>
  <c r="FH1" i="8"/>
  <c r="FI1" i="8"/>
  <c r="FJ1" i="8"/>
  <c r="FK1" i="8"/>
  <c r="FL1" i="8"/>
  <c r="FM1" i="8"/>
  <c r="FN1" i="8"/>
  <c r="FO1" i="8"/>
  <c r="FP1" i="8"/>
  <c r="FQ1" i="8"/>
  <c r="FR1" i="8"/>
  <c r="FS1" i="8"/>
  <c r="FT1" i="8"/>
  <c r="FU1" i="8"/>
  <c r="FV1" i="8"/>
  <c r="FW1" i="8"/>
  <c r="FX1" i="8"/>
  <c r="FY1" i="8"/>
  <c r="FZ1" i="8"/>
  <c r="GA1" i="8"/>
  <c r="GB1" i="8"/>
  <c r="GC1" i="8"/>
  <c r="GD1" i="8"/>
  <c r="GE1" i="8"/>
  <c r="GF1" i="8"/>
  <c r="GG1" i="8"/>
  <c r="GH1" i="8"/>
  <c r="GI1" i="8"/>
  <c r="GJ1" i="8"/>
  <c r="GK1" i="8"/>
  <c r="GL1" i="8"/>
  <c r="GM1" i="8"/>
  <c r="GN1" i="8"/>
  <c r="GO1" i="8"/>
  <c r="GP1" i="8"/>
  <c r="GQ1" i="8"/>
  <c r="GR1" i="8"/>
  <c r="GS1" i="8"/>
  <c r="GT1" i="8"/>
  <c r="GU1" i="8"/>
  <c r="GV1" i="8"/>
  <c r="GW1" i="8"/>
  <c r="GX1" i="8"/>
  <c r="GY1" i="8"/>
  <c r="GZ1" i="8"/>
  <c r="HA1" i="8"/>
  <c r="HB1" i="8"/>
  <c r="HC1" i="8"/>
  <c r="HD1" i="8"/>
  <c r="HE1" i="8"/>
  <c r="HF1" i="8"/>
  <c r="HG1" i="8"/>
  <c r="HH1" i="8"/>
  <c r="HI1" i="8"/>
  <c r="HJ1" i="8"/>
  <c r="HK1" i="8"/>
  <c r="HL1" i="8"/>
  <c r="HM1" i="8"/>
  <c r="HN1" i="8"/>
  <c r="HO1" i="8"/>
  <c r="HP1" i="8"/>
  <c r="HQ1" i="8"/>
  <c r="HR1" i="8"/>
  <c r="HS1" i="8"/>
  <c r="HT1" i="8"/>
  <c r="HU1" i="8"/>
  <c r="HV1" i="8"/>
  <c r="HW1" i="8"/>
  <c r="HX1" i="8"/>
  <c r="HY1" i="8"/>
  <c r="HZ1" i="8"/>
  <c r="IA1" i="8"/>
  <c r="IB1" i="8"/>
  <c r="IC1" i="8"/>
  <c r="ID1" i="8"/>
  <c r="IE1" i="8"/>
  <c r="IF1" i="8"/>
  <c r="IG1" i="8"/>
  <c r="IH1" i="8"/>
  <c r="II1" i="8"/>
  <c r="IJ1" i="8"/>
  <c r="IK1" i="8"/>
  <c r="IL1" i="8"/>
  <c r="IM1" i="8"/>
  <c r="IN1" i="8"/>
  <c r="IO1" i="8"/>
  <c r="IP1" i="8"/>
  <c r="IQ1" i="8"/>
  <c r="IR1" i="8"/>
  <c r="IS1" i="8"/>
  <c r="IT1" i="8"/>
  <c r="IU1" i="8"/>
  <c r="IV1" i="8"/>
  <c r="A2" i="8"/>
  <c r="B2" i="8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I2" i="8"/>
  <c r="BJ2" i="8"/>
  <c r="BK2" i="8"/>
  <c r="BL2" i="8"/>
  <c r="BM2" i="8"/>
  <c r="BN2" i="8"/>
  <c r="BO2" i="8"/>
  <c r="BP2" i="8"/>
  <c r="BQ2" i="8"/>
  <c r="BR2" i="8"/>
  <c r="BS2" i="8"/>
  <c r="BT2" i="8"/>
  <c r="BU2" i="8"/>
  <c r="BV2" i="8"/>
  <c r="BW2" i="8"/>
  <c r="BX2" i="8"/>
  <c r="BY2" i="8"/>
  <c r="BZ2" i="8"/>
  <c r="CA2" i="8"/>
  <c r="CB2" i="8"/>
  <c r="CC2" i="8"/>
  <c r="CD2" i="8"/>
  <c r="CE2" i="8"/>
  <c r="CF2" i="8"/>
  <c r="CG2" i="8"/>
  <c r="CH2" i="8"/>
  <c r="CI2" i="8"/>
  <c r="CJ2" i="8"/>
  <c r="CK2" i="8"/>
  <c r="CL2" i="8"/>
  <c r="CM2" i="8"/>
  <c r="CN2" i="8"/>
  <c r="CO2" i="8"/>
  <c r="CP2" i="8"/>
  <c r="CQ2" i="8"/>
  <c r="CR2" i="8"/>
  <c r="CS2" i="8"/>
  <c r="CT2" i="8"/>
  <c r="CU2" i="8"/>
  <c r="CV2" i="8"/>
  <c r="CW2" i="8"/>
  <c r="CX2" i="8"/>
  <c r="CY2" i="8"/>
  <c r="CZ2" i="8"/>
  <c r="DA2" i="8"/>
  <c r="DB2" i="8"/>
  <c r="DC2" i="8"/>
  <c r="DD2" i="8"/>
  <c r="DE2" i="8"/>
  <c r="DF2" i="8"/>
  <c r="DG2" i="8"/>
  <c r="DH2" i="8"/>
  <c r="DI2" i="8"/>
  <c r="DJ2" i="8"/>
  <c r="DK2" i="8"/>
  <c r="DL2" i="8"/>
  <c r="DM2" i="8"/>
  <c r="DN2" i="8"/>
  <c r="DO2" i="8"/>
  <c r="DP2" i="8"/>
  <c r="DQ2" i="8"/>
  <c r="DR2" i="8"/>
  <c r="DS2" i="8"/>
  <c r="DT2" i="8"/>
  <c r="DU2" i="8"/>
  <c r="DV2" i="8"/>
  <c r="DW2" i="8"/>
  <c r="DX2" i="8"/>
  <c r="DY2" i="8"/>
  <c r="DZ2" i="8"/>
  <c r="EA2" i="8"/>
  <c r="EB2" i="8"/>
  <c r="EC2" i="8"/>
  <c r="ED2" i="8"/>
  <c r="EE2" i="8"/>
  <c r="EF2" i="8"/>
  <c r="EG2" i="8"/>
  <c r="EH2" i="8"/>
  <c r="EI2" i="8"/>
  <c r="EJ2" i="8"/>
  <c r="EK2" i="8"/>
  <c r="EL2" i="8"/>
  <c r="EM2" i="8"/>
  <c r="EN2" i="8"/>
  <c r="EO2" i="8"/>
  <c r="EP2" i="8"/>
  <c r="EQ2" i="8"/>
  <c r="ER2" i="8"/>
  <c r="ES2" i="8"/>
  <c r="ET2" i="8"/>
  <c r="EU2" i="8"/>
  <c r="EV2" i="8"/>
  <c r="EW2" i="8"/>
  <c r="EX2" i="8"/>
  <c r="EY2" i="8"/>
  <c r="EZ2" i="8"/>
  <c r="FA2" i="8"/>
  <c r="FB2" i="8"/>
  <c r="FC2" i="8"/>
  <c r="FD2" i="8"/>
  <c r="FE2" i="8"/>
  <c r="FF2" i="8"/>
  <c r="FG2" i="8"/>
  <c r="FH2" i="8"/>
  <c r="FI2" i="8"/>
  <c r="FJ2" i="8"/>
  <c r="FK2" i="8"/>
  <c r="FL2" i="8"/>
  <c r="FM2" i="8"/>
  <c r="FN2" i="8"/>
  <c r="FO2" i="8"/>
  <c r="FP2" i="8"/>
  <c r="FQ2" i="8"/>
  <c r="FR2" i="8"/>
  <c r="FS2" i="8"/>
  <c r="FT2" i="8"/>
  <c r="FU2" i="8"/>
  <c r="FV2" i="8"/>
  <c r="FW2" i="8"/>
  <c r="FX2" i="8"/>
  <c r="FY2" i="8"/>
  <c r="FZ2" i="8"/>
  <c r="GA2" i="8"/>
  <c r="GB2" i="8"/>
  <c r="GC2" i="8"/>
  <c r="GD2" i="8"/>
  <c r="GE2" i="8"/>
  <c r="GF2" i="8"/>
  <c r="GG2" i="8"/>
  <c r="GH2" i="8"/>
  <c r="GI2" i="8"/>
  <c r="GJ2" i="8"/>
  <c r="GK2" i="8"/>
  <c r="GL2" i="8"/>
  <c r="GM2" i="8"/>
  <c r="GN2" i="8"/>
  <c r="GO2" i="8"/>
  <c r="GP2" i="8"/>
  <c r="GQ2" i="8"/>
  <c r="GR2" i="8"/>
  <c r="GS2" i="8"/>
  <c r="GT2" i="8"/>
  <c r="GU2" i="8"/>
  <c r="GV2" i="8"/>
  <c r="GW2" i="8"/>
  <c r="GX2" i="8"/>
  <c r="GY2" i="8"/>
  <c r="GZ2" i="8"/>
  <c r="HA2" i="8"/>
  <c r="HB2" i="8"/>
  <c r="HC2" i="8"/>
  <c r="HD2" i="8"/>
  <c r="HE2" i="8"/>
  <c r="HF2" i="8"/>
  <c r="HG2" i="8"/>
  <c r="HH2" i="8"/>
  <c r="HI2" i="8"/>
  <c r="HJ2" i="8"/>
  <c r="HK2" i="8"/>
  <c r="HL2" i="8"/>
  <c r="HM2" i="8"/>
  <c r="HN2" i="8"/>
  <c r="HO2" i="8"/>
  <c r="HP2" i="8"/>
  <c r="HQ2" i="8"/>
  <c r="HR2" i="8"/>
  <c r="HS2" i="8"/>
  <c r="HT2" i="8"/>
  <c r="HU2" i="8"/>
  <c r="HV2" i="8"/>
  <c r="HW2" i="8"/>
  <c r="HX2" i="8"/>
  <c r="HY2" i="8"/>
  <c r="HZ2" i="8"/>
  <c r="IA2" i="8"/>
  <c r="IB2" i="8"/>
  <c r="IC2" i="8"/>
  <c r="ID2" i="8"/>
  <c r="IE2" i="8"/>
  <c r="IF2" i="8"/>
  <c r="IG2" i="8"/>
  <c r="IH2" i="8"/>
  <c r="II2" i="8"/>
  <c r="IJ2" i="8"/>
  <c r="IK2" i="8"/>
  <c r="IL2" i="8"/>
  <c r="IM2" i="8"/>
  <c r="IN2" i="8"/>
  <c r="IO2" i="8"/>
  <c r="IP2" i="8"/>
  <c r="IQ2" i="8"/>
  <c r="IR2" i="8"/>
  <c r="IS2" i="8"/>
  <c r="IT2" i="8"/>
  <c r="IU2" i="8"/>
  <c r="IV2" i="8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AX3" i="8"/>
  <c r="AY3" i="8"/>
  <c r="AZ3" i="8"/>
  <c r="BA3" i="8"/>
  <c r="BB3" i="8"/>
  <c r="BC3" i="8"/>
  <c r="BD3" i="8"/>
  <c r="BE3" i="8"/>
  <c r="BF3" i="8"/>
  <c r="BG3" i="8"/>
  <c r="BH3" i="8"/>
  <c r="BI3" i="8"/>
  <c r="BJ3" i="8"/>
  <c r="BK3" i="8"/>
  <c r="BL3" i="8"/>
  <c r="BM3" i="8"/>
  <c r="BN3" i="8"/>
  <c r="BO3" i="8"/>
  <c r="BP3" i="8"/>
  <c r="BQ3" i="8"/>
  <c r="BR3" i="8"/>
  <c r="BS3" i="8"/>
  <c r="BT3" i="8"/>
  <c r="BU3" i="8"/>
  <c r="BV3" i="8"/>
  <c r="BW3" i="8"/>
  <c r="BX3" i="8"/>
  <c r="BY3" i="8"/>
  <c r="BZ3" i="8"/>
  <c r="CA3" i="8"/>
  <c r="CB3" i="8"/>
  <c r="CC3" i="8"/>
  <c r="CD3" i="8"/>
  <c r="CE3" i="8"/>
  <c r="CF3" i="8"/>
  <c r="CG3" i="8"/>
  <c r="CH3" i="8"/>
  <c r="CI3" i="8"/>
  <c r="CJ3" i="8"/>
  <c r="CK3" i="8"/>
  <c r="CL3" i="8"/>
  <c r="CM3" i="8"/>
  <c r="CN3" i="8"/>
  <c r="CO3" i="8"/>
  <c r="CP3" i="8"/>
  <c r="CQ3" i="8"/>
  <c r="CR3" i="8"/>
  <c r="CS3" i="8"/>
  <c r="CT3" i="8"/>
  <c r="CU3" i="8"/>
  <c r="CV3" i="8"/>
  <c r="CW3" i="8"/>
  <c r="CX3" i="8"/>
  <c r="CY3" i="8"/>
  <c r="CZ3" i="8"/>
  <c r="DA3" i="8"/>
  <c r="DB3" i="8"/>
  <c r="DC3" i="8"/>
  <c r="DD3" i="8"/>
  <c r="DE3" i="8"/>
  <c r="DF3" i="8"/>
  <c r="DG3" i="8"/>
  <c r="DH3" i="8"/>
  <c r="DI3" i="8"/>
  <c r="DJ3" i="8"/>
  <c r="DK3" i="8"/>
  <c r="DL3" i="8"/>
  <c r="DM3" i="8"/>
  <c r="DN3" i="8"/>
  <c r="DO3" i="8"/>
  <c r="DP3" i="8"/>
  <c r="DQ3" i="8"/>
  <c r="DR3" i="8"/>
  <c r="DS3" i="8"/>
  <c r="DT3" i="8"/>
  <c r="DU3" i="8"/>
  <c r="DV3" i="8"/>
  <c r="DW3" i="8"/>
  <c r="DX3" i="8"/>
  <c r="DY3" i="8"/>
  <c r="DZ3" i="8"/>
  <c r="EA3" i="8"/>
  <c r="EB3" i="8"/>
  <c r="EC3" i="8"/>
  <c r="ED3" i="8"/>
  <c r="EE3" i="8"/>
  <c r="EF3" i="8"/>
  <c r="EG3" i="8"/>
  <c r="EH3" i="8"/>
  <c r="EI3" i="8"/>
  <c r="EJ3" i="8"/>
  <c r="EK3" i="8"/>
  <c r="EL3" i="8"/>
  <c r="EM3" i="8"/>
  <c r="EN3" i="8"/>
  <c r="EO3" i="8"/>
  <c r="EP3" i="8"/>
  <c r="EQ3" i="8"/>
  <c r="ER3" i="8"/>
  <c r="ES3" i="8"/>
  <c r="ET3" i="8"/>
  <c r="EU3" i="8"/>
  <c r="EV3" i="8"/>
  <c r="EW3" i="8"/>
  <c r="EX3" i="8"/>
  <c r="EY3" i="8"/>
  <c r="EZ3" i="8"/>
  <c r="FA3" i="8"/>
  <c r="FB3" i="8"/>
  <c r="FC3" i="8"/>
  <c r="FD3" i="8"/>
  <c r="FE3" i="8"/>
  <c r="FF3" i="8"/>
  <c r="FG3" i="8"/>
  <c r="FH3" i="8"/>
  <c r="FI3" i="8"/>
  <c r="FJ3" i="8"/>
  <c r="FK3" i="8"/>
  <c r="FL3" i="8"/>
  <c r="FM3" i="8"/>
  <c r="FN3" i="8"/>
  <c r="FO3" i="8"/>
  <c r="FP3" i="8"/>
  <c r="FQ3" i="8"/>
  <c r="FR3" i="8"/>
  <c r="FS3" i="8"/>
  <c r="FT3" i="8"/>
  <c r="FU3" i="8"/>
  <c r="FV3" i="8"/>
  <c r="FW3" i="8"/>
  <c r="FX3" i="8"/>
  <c r="FY3" i="8"/>
  <c r="FZ3" i="8"/>
  <c r="GA3" i="8"/>
  <c r="GB3" i="8"/>
  <c r="GC3" i="8"/>
  <c r="GD3" i="8"/>
  <c r="GE3" i="8"/>
  <c r="GF3" i="8"/>
  <c r="GG3" i="8"/>
  <c r="GH3" i="8"/>
  <c r="GI3" i="8"/>
  <c r="GJ3" i="8"/>
  <c r="GK3" i="8"/>
  <c r="GL3" i="8"/>
  <c r="GM3" i="8"/>
  <c r="GN3" i="8"/>
  <c r="GO3" i="8"/>
  <c r="GP3" i="8"/>
  <c r="GQ3" i="8"/>
  <c r="GR3" i="8"/>
  <c r="GS3" i="8"/>
  <c r="GT3" i="8"/>
  <c r="GU3" i="8"/>
  <c r="GV3" i="8"/>
  <c r="GW3" i="8"/>
  <c r="GX3" i="8"/>
  <c r="GY3" i="8"/>
  <c r="GZ3" i="8"/>
  <c r="HA3" i="8"/>
  <c r="HB3" i="8"/>
  <c r="HC3" i="8"/>
  <c r="HD3" i="8"/>
  <c r="HE3" i="8"/>
  <c r="HF3" i="8"/>
  <c r="HG3" i="8"/>
  <c r="HH3" i="8"/>
  <c r="HI3" i="8"/>
  <c r="HJ3" i="8"/>
  <c r="HK3" i="8"/>
  <c r="HL3" i="8"/>
  <c r="HM3" i="8"/>
  <c r="HN3" i="8"/>
  <c r="HO3" i="8"/>
  <c r="HP3" i="8"/>
  <c r="HQ3" i="8"/>
  <c r="HR3" i="8"/>
  <c r="HS3" i="8"/>
  <c r="HT3" i="8"/>
  <c r="HU3" i="8"/>
  <c r="HV3" i="8"/>
  <c r="HW3" i="8"/>
  <c r="HX3" i="8"/>
  <c r="HY3" i="8"/>
  <c r="HZ3" i="8"/>
  <c r="IA3" i="8"/>
  <c r="IB3" i="8"/>
  <c r="IC3" i="8"/>
  <c r="ID3" i="8"/>
  <c r="IE3" i="8"/>
  <c r="IF3" i="8"/>
  <c r="IG3" i="8"/>
  <c r="IH3" i="8"/>
  <c r="II3" i="8"/>
  <c r="IJ3" i="8"/>
  <c r="IK3" i="8"/>
  <c r="IL3" i="8"/>
  <c r="IM3" i="8"/>
  <c r="IN3" i="8"/>
  <c r="IO3" i="8"/>
  <c r="IP3" i="8"/>
  <c r="IQ3" i="8"/>
  <c r="IR3" i="8"/>
  <c r="IS3" i="8"/>
  <c r="IT3" i="8"/>
  <c r="IU3" i="8"/>
  <c r="IV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N4" i="8"/>
  <c r="BO4" i="8"/>
  <c r="BP4" i="8"/>
  <c r="BQ4" i="8"/>
  <c r="BR4" i="8"/>
  <c r="BS4" i="8"/>
  <c r="BT4" i="8"/>
  <c r="BU4" i="8"/>
  <c r="BV4" i="8"/>
  <c r="BW4" i="8"/>
  <c r="BX4" i="8"/>
  <c r="BY4" i="8"/>
  <c r="BZ4" i="8"/>
  <c r="CA4" i="8"/>
  <c r="CB4" i="8"/>
  <c r="CC4" i="8"/>
  <c r="CD4" i="8"/>
  <c r="CE4" i="8"/>
  <c r="CF4" i="8"/>
  <c r="CG4" i="8"/>
  <c r="CH4" i="8"/>
  <c r="CI4" i="8"/>
  <c r="CJ4" i="8"/>
  <c r="CK4" i="8"/>
  <c r="CL4" i="8"/>
  <c r="CM4" i="8"/>
  <c r="CN4" i="8"/>
  <c r="CO4" i="8"/>
  <c r="CP4" i="8"/>
  <c r="CQ4" i="8"/>
  <c r="CR4" i="8"/>
  <c r="CS4" i="8"/>
  <c r="CT4" i="8"/>
  <c r="CU4" i="8"/>
  <c r="CV4" i="8"/>
  <c r="CW4" i="8"/>
  <c r="CX4" i="8"/>
  <c r="CY4" i="8"/>
  <c r="CZ4" i="8"/>
  <c r="DA4" i="8"/>
  <c r="DB4" i="8"/>
  <c r="DC4" i="8"/>
  <c r="DD4" i="8"/>
  <c r="DE4" i="8"/>
  <c r="DF4" i="8"/>
  <c r="DG4" i="8"/>
  <c r="DH4" i="8"/>
  <c r="DI4" i="8"/>
  <c r="DJ4" i="8"/>
  <c r="DK4" i="8"/>
  <c r="DL4" i="8"/>
  <c r="DM4" i="8"/>
  <c r="DN4" i="8"/>
  <c r="DO4" i="8"/>
  <c r="DP4" i="8"/>
  <c r="DQ4" i="8"/>
  <c r="DR4" i="8"/>
  <c r="DS4" i="8"/>
  <c r="DT4" i="8"/>
  <c r="DU4" i="8"/>
  <c r="DV4" i="8"/>
  <c r="DW4" i="8"/>
  <c r="DX4" i="8"/>
  <c r="DY4" i="8"/>
  <c r="DZ4" i="8"/>
  <c r="EA4" i="8"/>
  <c r="EB4" i="8"/>
  <c r="EC4" i="8"/>
  <c r="ED4" i="8"/>
  <c r="EE4" i="8"/>
  <c r="EF4" i="8"/>
  <c r="EG4" i="8"/>
  <c r="EH4" i="8"/>
  <c r="EI4" i="8"/>
  <c r="EJ4" i="8"/>
  <c r="EK4" i="8"/>
  <c r="EL4" i="8"/>
  <c r="EM4" i="8"/>
  <c r="EN4" i="8"/>
  <c r="EO4" i="8"/>
  <c r="EP4" i="8"/>
  <c r="EQ4" i="8"/>
  <c r="ER4" i="8"/>
  <c r="ES4" i="8"/>
  <c r="ET4" i="8"/>
  <c r="EU4" i="8"/>
  <c r="EV4" i="8"/>
  <c r="EW4" i="8"/>
  <c r="EX4" i="8"/>
  <c r="EY4" i="8"/>
  <c r="EZ4" i="8"/>
  <c r="FA4" i="8"/>
  <c r="FB4" i="8"/>
  <c r="FC4" i="8"/>
  <c r="FD4" i="8"/>
  <c r="FE4" i="8"/>
  <c r="FF4" i="8"/>
  <c r="FG4" i="8"/>
  <c r="FH4" i="8"/>
  <c r="FI4" i="8"/>
  <c r="FJ4" i="8"/>
  <c r="FK4" i="8"/>
  <c r="FL4" i="8"/>
  <c r="FM4" i="8"/>
  <c r="FN4" i="8"/>
  <c r="FO4" i="8"/>
  <c r="FP4" i="8"/>
  <c r="FQ4" i="8"/>
  <c r="FR4" i="8"/>
  <c r="FS4" i="8"/>
  <c r="FT4" i="8"/>
  <c r="FU4" i="8"/>
  <c r="FV4" i="8"/>
  <c r="FW4" i="8"/>
  <c r="FX4" i="8"/>
  <c r="FY4" i="8"/>
  <c r="FZ4" i="8"/>
  <c r="GA4" i="8"/>
  <c r="GB4" i="8"/>
  <c r="GC4" i="8"/>
  <c r="GD4" i="8"/>
  <c r="GE4" i="8"/>
  <c r="GF4" i="8"/>
  <c r="GG4" i="8"/>
  <c r="GH4" i="8"/>
  <c r="GI4" i="8"/>
  <c r="GJ4" i="8"/>
  <c r="GK4" i="8"/>
  <c r="GL4" i="8"/>
  <c r="GM4" i="8"/>
  <c r="GN4" i="8"/>
  <c r="GO4" i="8"/>
  <c r="GP4" i="8"/>
  <c r="GQ4" i="8"/>
  <c r="GR4" i="8"/>
  <c r="GS4" i="8"/>
  <c r="GT4" i="8"/>
  <c r="GU4" i="8"/>
  <c r="GV4" i="8"/>
  <c r="GW4" i="8"/>
  <c r="GX4" i="8"/>
  <c r="GY4" i="8"/>
  <c r="GZ4" i="8"/>
  <c r="HA4" i="8"/>
  <c r="HB4" i="8"/>
  <c r="HC4" i="8"/>
  <c r="HD4" i="8"/>
  <c r="HE4" i="8"/>
  <c r="HF4" i="8"/>
  <c r="HG4" i="8"/>
  <c r="HH4" i="8"/>
  <c r="HI4" i="8"/>
  <c r="HJ4" i="8"/>
  <c r="HK4" i="8"/>
  <c r="HL4" i="8"/>
  <c r="HM4" i="8"/>
  <c r="HN4" i="8"/>
  <c r="HO4" i="8"/>
  <c r="HP4" i="8"/>
  <c r="HQ4" i="8"/>
  <c r="HR4" i="8"/>
  <c r="HS4" i="8"/>
  <c r="HT4" i="8"/>
  <c r="HU4" i="8"/>
  <c r="HV4" i="8"/>
  <c r="HW4" i="8"/>
  <c r="HX4" i="8"/>
  <c r="HY4" i="8"/>
  <c r="HZ4" i="8"/>
  <c r="IA4" i="8"/>
  <c r="IB4" i="8"/>
  <c r="IC4" i="8"/>
  <c r="ID4" i="8"/>
  <c r="IE4" i="8"/>
  <c r="IF4" i="8"/>
  <c r="IG4" i="8"/>
  <c r="IH4" i="8"/>
  <c r="II4" i="8"/>
  <c r="IJ4" i="8"/>
  <c r="IK4" i="8"/>
  <c r="IL4" i="8"/>
  <c r="IM4" i="8"/>
  <c r="IN4" i="8"/>
  <c r="IO4" i="8"/>
  <c r="IP4" i="8"/>
  <c r="IQ4" i="8"/>
  <c r="IR4" i="8"/>
  <c r="IS4" i="8"/>
  <c r="IT4" i="8"/>
  <c r="IU4" i="8"/>
  <c r="IV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  <c r="BA5" i="8"/>
  <c r="BB5" i="8"/>
  <c r="BC5" i="8"/>
  <c r="BD5" i="8"/>
  <c r="BE5" i="8"/>
  <c r="BF5" i="8"/>
  <c r="BG5" i="8"/>
  <c r="BH5" i="8"/>
  <c r="BI5" i="8"/>
  <c r="BJ5" i="8"/>
  <c r="BK5" i="8"/>
  <c r="BL5" i="8"/>
  <c r="BM5" i="8"/>
  <c r="BN5" i="8"/>
  <c r="BO5" i="8"/>
  <c r="BP5" i="8"/>
  <c r="BQ5" i="8"/>
  <c r="BR5" i="8"/>
  <c r="BS5" i="8"/>
  <c r="BT5" i="8"/>
  <c r="BU5" i="8"/>
  <c r="BV5" i="8"/>
  <c r="BW5" i="8"/>
  <c r="BX5" i="8"/>
  <c r="BY5" i="8"/>
  <c r="BZ5" i="8"/>
  <c r="CA5" i="8"/>
  <c r="CB5" i="8"/>
  <c r="CC5" i="8"/>
  <c r="CD5" i="8"/>
  <c r="CE5" i="8"/>
  <c r="CF5" i="8"/>
  <c r="CG5" i="8"/>
  <c r="CH5" i="8"/>
  <c r="CI5" i="8"/>
  <c r="CJ5" i="8"/>
  <c r="CK5" i="8"/>
  <c r="CL5" i="8"/>
  <c r="CM5" i="8"/>
  <c r="CN5" i="8"/>
  <c r="CO5" i="8"/>
  <c r="CP5" i="8"/>
  <c r="CQ5" i="8"/>
  <c r="CR5" i="8"/>
  <c r="CS5" i="8"/>
  <c r="CT5" i="8"/>
  <c r="CU5" i="8"/>
  <c r="CV5" i="8"/>
  <c r="CW5" i="8"/>
  <c r="CX5" i="8"/>
  <c r="CY5" i="8"/>
  <c r="CZ5" i="8"/>
  <c r="DA5" i="8"/>
  <c r="DB5" i="8"/>
  <c r="DC5" i="8"/>
  <c r="DD5" i="8"/>
  <c r="DE5" i="8"/>
  <c r="DF5" i="8"/>
  <c r="DG5" i="8"/>
  <c r="DH5" i="8"/>
  <c r="DI5" i="8"/>
  <c r="DJ5" i="8"/>
  <c r="DK5" i="8"/>
  <c r="DL5" i="8"/>
  <c r="DM5" i="8"/>
  <c r="DN5" i="8"/>
  <c r="DO5" i="8"/>
  <c r="DP5" i="8"/>
  <c r="DQ5" i="8"/>
  <c r="DR5" i="8"/>
  <c r="DS5" i="8"/>
  <c r="DT5" i="8"/>
  <c r="DU5" i="8"/>
  <c r="DV5" i="8"/>
  <c r="DW5" i="8"/>
  <c r="DX5" i="8"/>
  <c r="DY5" i="8"/>
  <c r="DZ5" i="8"/>
  <c r="EA5" i="8"/>
  <c r="EB5" i="8"/>
  <c r="EC5" i="8"/>
  <c r="ED5" i="8"/>
  <c r="EE5" i="8"/>
  <c r="EF5" i="8"/>
  <c r="EG5" i="8"/>
  <c r="EH5" i="8"/>
  <c r="EI5" i="8"/>
  <c r="EJ5" i="8"/>
  <c r="EK5" i="8"/>
  <c r="EL5" i="8"/>
  <c r="EM5" i="8"/>
  <c r="EN5" i="8"/>
  <c r="EO5" i="8"/>
  <c r="EP5" i="8"/>
  <c r="EQ5" i="8"/>
  <c r="ER5" i="8"/>
  <c r="ES5" i="8"/>
  <c r="ET5" i="8"/>
  <c r="EU5" i="8"/>
  <c r="EV5" i="8"/>
  <c r="EW5" i="8"/>
  <c r="EX5" i="8"/>
  <c r="EY5" i="8"/>
  <c r="EZ5" i="8"/>
  <c r="FA5" i="8"/>
  <c r="FB5" i="8"/>
  <c r="FC5" i="8"/>
  <c r="FD5" i="8"/>
  <c r="FE5" i="8"/>
  <c r="FF5" i="8"/>
  <c r="FG5" i="8"/>
  <c r="FH5" i="8"/>
  <c r="FI5" i="8"/>
  <c r="FJ5" i="8"/>
  <c r="FK5" i="8"/>
  <c r="FL5" i="8"/>
  <c r="FM5" i="8"/>
  <c r="FN5" i="8"/>
  <c r="FO5" i="8"/>
  <c r="FP5" i="8"/>
  <c r="FQ5" i="8"/>
  <c r="FR5" i="8"/>
  <c r="FS5" i="8"/>
  <c r="FT5" i="8"/>
  <c r="FU5" i="8"/>
  <c r="FV5" i="8"/>
  <c r="FW5" i="8"/>
  <c r="FX5" i="8"/>
  <c r="FY5" i="8"/>
  <c r="FZ5" i="8"/>
  <c r="GA5" i="8"/>
  <c r="GB5" i="8"/>
  <c r="GC5" i="8"/>
  <c r="GD5" i="8"/>
  <c r="GE5" i="8"/>
  <c r="GF5" i="8"/>
  <c r="GG5" i="8"/>
  <c r="GH5" i="8"/>
  <c r="GI5" i="8"/>
  <c r="GJ5" i="8"/>
  <c r="GK5" i="8"/>
  <c r="GL5" i="8"/>
  <c r="GM5" i="8"/>
  <c r="GN5" i="8"/>
  <c r="GO5" i="8"/>
  <c r="GP5" i="8"/>
  <c r="GQ5" i="8"/>
  <c r="GR5" i="8"/>
  <c r="GS5" i="8"/>
  <c r="GT5" i="8"/>
  <c r="GU5" i="8"/>
  <c r="GV5" i="8"/>
  <c r="GW5" i="8"/>
  <c r="GX5" i="8"/>
  <c r="GY5" i="8"/>
  <c r="GZ5" i="8"/>
  <c r="HA5" i="8"/>
  <c r="HB5" i="8"/>
  <c r="HC5" i="8"/>
  <c r="HD5" i="8"/>
  <c r="HE5" i="8"/>
  <c r="HF5" i="8"/>
  <c r="HG5" i="8"/>
  <c r="HH5" i="8"/>
  <c r="HI5" i="8"/>
  <c r="HJ5" i="8"/>
  <c r="HK5" i="8"/>
  <c r="HL5" i="8"/>
  <c r="HM5" i="8"/>
  <c r="HN5" i="8"/>
  <c r="HO5" i="8"/>
  <c r="HP5" i="8"/>
  <c r="HQ5" i="8"/>
  <c r="HR5" i="8"/>
  <c r="HS5" i="8"/>
  <c r="HT5" i="8"/>
  <c r="HU5" i="8"/>
  <c r="HV5" i="8"/>
  <c r="HW5" i="8"/>
  <c r="HX5" i="8"/>
  <c r="HY5" i="8"/>
  <c r="HZ5" i="8"/>
  <c r="IA5" i="8"/>
  <c r="IB5" i="8"/>
  <c r="IC5" i="8"/>
  <c r="ID5" i="8"/>
  <c r="IE5" i="8"/>
  <c r="IF5" i="8"/>
  <c r="IG5" i="8"/>
  <c r="IH5" i="8"/>
  <c r="II5" i="8"/>
  <c r="IJ5" i="8"/>
  <c r="IK5" i="8"/>
  <c r="IL5" i="8"/>
  <c r="IM5" i="8"/>
  <c r="IN5" i="8"/>
  <c r="IO5" i="8"/>
  <c r="IP5" i="8"/>
  <c r="IQ5" i="8"/>
  <c r="IR5" i="8"/>
  <c r="IS5" i="8"/>
  <c r="IT5" i="8"/>
  <c r="IU5" i="8"/>
  <c r="IV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BV6" i="8"/>
  <c r="BW6" i="8"/>
  <c r="BX6" i="8"/>
  <c r="BY6" i="8"/>
  <c r="BZ6" i="8"/>
  <c r="CA6" i="8"/>
  <c r="CB6" i="8"/>
  <c r="CC6" i="8"/>
  <c r="CD6" i="8"/>
  <c r="CE6" i="8"/>
  <c r="CF6" i="8"/>
  <c r="CG6" i="8"/>
  <c r="CH6" i="8"/>
  <c r="CI6" i="8"/>
  <c r="CJ6" i="8"/>
  <c r="CK6" i="8"/>
  <c r="CL6" i="8"/>
  <c r="CM6" i="8"/>
  <c r="CN6" i="8"/>
  <c r="CO6" i="8"/>
  <c r="CP6" i="8"/>
  <c r="CQ6" i="8"/>
  <c r="CR6" i="8"/>
  <c r="CS6" i="8"/>
  <c r="CT6" i="8"/>
  <c r="CU6" i="8"/>
  <c r="CV6" i="8"/>
  <c r="CW6" i="8"/>
  <c r="CX6" i="8"/>
  <c r="CY6" i="8"/>
  <c r="CZ6" i="8"/>
  <c r="DA6" i="8"/>
  <c r="DB6" i="8"/>
  <c r="DC6" i="8"/>
  <c r="DD6" i="8"/>
  <c r="DE6" i="8"/>
  <c r="DF6" i="8"/>
  <c r="DG6" i="8"/>
  <c r="DH6" i="8"/>
  <c r="DI6" i="8"/>
  <c r="DJ6" i="8"/>
  <c r="DK6" i="8"/>
  <c r="DL6" i="8"/>
  <c r="DM6" i="8"/>
  <c r="DN6" i="8"/>
  <c r="DO6" i="8"/>
  <c r="DP6" i="8"/>
  <c r="DQ6" i="8"/>
  <c r="DR6" i="8"/>
  <c r="DS6" i="8"/>
  <c r="DT6" i="8"/>
  <c r="DU6" i="8"/>
  <c r="DV6" i="8"/>
  <c r="DW6" i="8"/>
  <c r="DX6" i="8"/>
  <c r="DY6" i="8"/>
  <c r="DZ6" i="8"/>
  <c r="EA6" i="8"/>
  <c r="EB6" i="8"/>
  <c r="EC6" i="8"/>
  <c r="ED6" i="8"/>
  <c r="EE6" i="8"/>
  <c r="EF6" i="8"/>
  <c r="EG6" i="8"/>
  <c r="EH6" i="8"/>
  <c r="EI6" i="8"/>
  <c r="EJ6" i="8"/>
  <c r="EK6" i="8"/>
  <c r="EL6" i="8"/>
  <c r="EM6" i="8"/>
  <c r="EN6" i="8"/>
  <c r="EO6" i="8"/>
  <c r="EP6" i="8"/>
  <c r="EQ6" i="8"/>
  <c r="ER6" i="8"/>
  <c r="ES6" i="8"/>
  <c r="ET6" i="8"/>
  <c r="EU6" i="8"/>
  <c r="EV6" i="8"/>
  <c r="EW6" i="8"/>
  <c r="EX6" i="8"/>
  <c r="EY6" i="8"/>
  <c r="EZ6" i="8"/>
  <c r="FA6" i="8"/>
  <c r="FB6" i="8"/>
  <c r="FC6" i="8"/>
  <c r="FD6" i="8"/>
  <c r="FE6" i="8"/>
  <c r="FF6" i="8"/>
  <c r="FG6" i="8"/>
  <c r="FH6" i="8"/>
  <c r="FI6" i="8"/>
  <c r="FJ6" i="8"/>
  <c r="FK6" i="8"/>
  <c r="FL6" i="8"/>
  <c r="FM6" i="8"/>
  <c r="FN6" i="8"/>
  <c r="FO6" i="8"/>
  <c r="FP6" i="8"/>
  <c r="FQ6" i="8"/>
  <c r="FR6" i="8"/>
  <c r="FS6" i="8"/>
  <c r="FT6" i="8"/>
  <c r="FU6" i="8"/>
  <c r="FV6" i="8"/>
  <c r="FW6" i="8"/>
  <c r="FX6" i="8"/>
  <c r="FY6" i="8"/>
  <c r="FZ6" i="8"/>
  <c r="GA6" i="8"/>
  <c r="GB6" i="8"/>
  <c r="GC6" i="8"/>
  <c r="GD6" i="8"/>
  <c r="GE6" i="8"/>
  <c r="GF6" i="8"/>
  <c r="GG6" i="8"/>
  <c r="GH6" i="8"/>
  <c r="GI6" i="8"/>
  <c r="GJ6" i="8"/>
  <c r="GK6" i="8"/>
  <c r="GL6" i="8"/>
  <c r="GM6" i="8"/>
  <c r="GN6" i="8"/>
  <c r="GO6" i="8"/>
  <c r="GP6" i="8"/>
  <c r="GQ6" i="8"/>
  <c r="GR6" i="8"/>
  <c r="GS6" i="8"/>
  <c r="GT6" i="8"/>
  <c r="GU6" i="8"/>
  <c r="GV6" i="8"/>
  <c r="GW6" i="8"/>
  <c r="GX6" i="8"/>
  <c r="GY6" i="8"/>
  <c r="GZ6" i="8"/>
  <c r="HA6" i="8"/>
  <c r="HB6" i="8"/>
  <c r="HC6" i="8"/>
  <c r="HD6" i="8"/>
  <c r="HE6" i="8"/>
  <c r="HF6" i="8"/>
  <c r="HG6" i="8"/>
  <c r="HH6" i="8"/>
  <c r="HI6" i="8"/>
  <c r="HJ6" i="8"/>
  <c r="HK6" i="8"/>
  <c r="HL6" i="8"/>
  <c r="HM6" i="8"/>
  <c r="HN6" i="8"/>
  <c r="HO6" i="8"/>
  <c r="HP6" i="8"/>
  <c r="HQ6" i="8"/>
  <c r="HR6" i="8"/>
  <c r="HS6" i="8"/>
  <c r="HT6" i="8"/>
  <c r="HU6" i="8"/>
  <c r="HV6" i="8"/>
  <c r="HW6" i="8"/>
  <c r="HX6" i="8"/>
  <c r="HY6" i="8"/>
  <c r="HZ6" i="8"/>
  <c r="IA6" i="8"/>
  <c r="IB6" i="8"/>
  <c r="IC6" i="8"/>
  <c r="ID6" i="8"/>
  <c r="IE6" i="8"/>
  <c r="IF6" i="8"/>
  <c r="IG6" i="8"/>
  <c r="IH6" i="8"/>
  <c r="II6" i="8"/>
  <c r="IJ6" i="8"/>
  <c r="IK6" i="8"/>
  <c r="IL6" i="8"/>
  <c r="IM6" i="8"/>
  <c r="IN6" i="8"/>
  <c r="IO6" i="8"/>
  <c r="IP6" i="8"/>
  <c r="IQ6" i="8"/>
  <c r="IR6" i="8"/>
  <c r="IS6" i="8"/>
  <c r="IT6" i="8"/>
  <c r="IU6" i="8"/>
  <c r="IV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BV7" i="8"/>
  <c r="BW7" i="8"/>
  <c r="BX7" i="8"/>
  <c r="BY7" i="8"/>
  <c r="BZ7" i="8"/>
  <c r="CA7" i="8"/>
  <c r="CB7" i="8"/>
  <c r="CC7" i="8"/>
  <c r="CD7" i="8"/>
  <c r="CE7" i="8"/>
  <c r="CF7" i="8"/>
  <c r="CG7" i="8"/>
  <c r="CH7" i="8"/>
  <c r="CI7" i="8"/>
  <c r="CJ7" i="8"/>
  <c r="CK7" i="8"/>
  <c r="CL7" i="8"/>
  <c r="CM7" i="8"/>
  <c r="CN7" i="8"/>
  <c r="CO7" i="8"/>
  <c r="CP7" i="8"/>
  <c r="CQ7" i="8"/>
  <c r="CR7" i="8"/>
  <c r="CS7" i="8"/>
  <c r="CT7" i="8"/>
  <c r="CU7" i="8"/>
  <c r="CV7" i="8"/>
  <c r="CW7" i="8"/>
  <c r="CX7" i="8"/>
  <c r="CY7" i="8"/>
  <c r="CZ7" i="8"/>
  <c r="DA7" i="8"/>
  <c r="DB7" i="8"/>
  <c r="DC7" i="8"/>
  <c r="DD7" i="8"/>
  <c r="DE7" i="8"/>
  <c r="DF7" i="8"/>
  <c r="DG7" i="8"/>
  <c r="DH7" i="8"/>
  <c r="DI7" i="8"/>
  <c r="DJ7" i="8"/>
  <c r="DK7" i="8"/>
  <c r="DL7" i="8"/>
  <c r="DM7" i="8"/>
  <c r="DN7" i="8"/>
  <c r="DO7" i="8"/>
  <c r="DP7" i="8"/>
  <c r="DQ7" i="8"/>
  <c r="DR7" i="8"/>
  <c r="DS7" i="8"/>
  <c r="DT7" i="8"/>
  <c r="DU7" i="8"/>
  <c r="DV7" i="8"/>
  <c r="DW7" i="8"/>
  <c r="DX7" i="8"/>
  <c r="DY7" i="8"/>
  <c r="DZ7" i="8"/>
  <c r="EA7" i="8"/>
  <c r="EB7" i="8"/>
  <c r="EC7" i="8"/>
  <c r="ED7" i="8"/>
  <c r="EE7" i="8"/>
  <c r="EF7" i="8"/>
  <c r="EG7" i="8"/>
  <c r="EH7" i="8"/>
  <c r="EI7" i="8"/>
  <c r="EJ7" i="8"/>
  <c r="EK7" i="8"/>
  <c r="EL7" i="8"/>
  <c r="EM7" i="8"/>
  <c r="EN7" i="8"/>
  <c r="EO7" i="8"/>
  <c r="EP7" i="8"/>
  <c r="EQ7" i="8"/>
  <c r="ER7" i="8"/>
  <c r="ES7" i="8"/>
  <c r="ET7" i="8"/>
  <c r="EU7" i="8"/>
  <c r="EV7" i="8"/>
  <c r="EW7" i="8"/>
  <c r="EX7" i="8"/>
  <c r="EY7" i="8"/>
  <c r="EZ7" i="8"/>
  <c r="FA7" i="8"/>
  <c r="FB7" i="8"/>
  <c r="FC7" i="8"/>
  <c r="FD7" i="8"/>
  <c r="FE7" i="8"/>
  <c r="FF7" i="8"/>
  <c r="FG7" i="8"/>
  <c r="FH7" i="8"/>
  <c r="FI7" i="8"/>
  <c r="FJ7" i="8"/>
  <c r="FK7" i="8"/>
  <c r="FL7" i="8"/>
  <c r="FM7" i="8"/>
  <c r="FN7" i="8"/>
  <c r="FO7" i="8"/>
  <c r="FP7" i="8"/>
  <c r="FQ7" i="8"/>
  <c r="FR7" i="8"/>
  <c r="FS7" i="8"/>
  <c r="FT7" i="8"/>
  <c r="FU7" i="8"/>
  <c r="FV7" i="8"/>
  <c r="FW7" i="8"/>
  <c r="FX7" i="8"/>
  <c r="FY7" i="8"/>
  <c r="FZ7" i="8"/>
  <c r="GA7" i="8"/>
  <c r="GB7" i="8"/>
  <c r="GC7" i="8"/>
  <c r="GD7" i="8"/>
  <c r="GE7" i="8"/>
  <c r="GF7" i="8"/>
  <c r="GG7" i="8"/>
  <c r="GH7" i="8"/>
  <c r="GI7" i="8"/>
  <c r="GJ7" i="8"/>
  <c r="GK7" i="8"/>
  <c r="GL7" i="8"/>
  <c r="GM7" i="8"/>
  <c r="GN7" i="8"/>
  <c r="GO7" i="8"/>
  <c r="GP7" i="8"/>
  <c r="GQ7" i="8"/>
  <c r="GR7" i="8"/>
  <c r="GS7" i="8"/>
  <c r="GT7" i="8"/>
  <c r="GU7" i="8"/>
  <c r="GV7" i="8"/>
  <c r="GW7" i="8"/>
  <c r="GX7" i="8"/>
  <c r="GY7" i="8"/>
  <c r="GZ7" i="8"/>
  <c r="HA7" i="8"/>
  <c r="HB7" i="8"/>
  <c r="HC7" i="8"/>
  <c r="HD7" i="8"/>
  <c r="HE7" i="8"/>
  <c r="HF7" i="8"/>
  <c r="HG7" i="8"/>
  <c r="HH7" i="8"/>
  <c r="HI7" i="8"/>
  <c r="HJ7" i="8"/>
  <c r="HK7" i="8"/>
  <c r="HL7" i="8"/>
  <c r="HM7" i="8"/>
  <c r="HN7" i="8"/>
  <c r="HO7" i="8"/>
  <c r="HP7" i="8"/>
  <c r="HQ7" i="8"/>
  <c r="HR7" i="8"/>
  <c r="HS7" i="8"/>
  <c r="HT7" i="8"/>
  <c r="HU7" i="8"/>
  <c r="HV7" i="8"/>
  <c r="HW7" i="8"/>
  <c r="HX7" i="8"/>
  <c r="HY7" i="8"/>
  <c r="HZ7" i="8"/>
  <c r="IA7" i="8"/>
  <c r="IB7" i="8"/>
  <c r="IC7" i="8"/>
  <c r="ID7" i="8"/>
  <c r="IE7" i="8"/>
  <c r="IF7" i="8"/>
  <c r="IG7" i="8"/>
  <c r="IH7" i="8"/>
  <c r="II7" i="8"/>
  <c r="IJ7" i="8"/>
  <c r="IK7" i="8"/>
  <c r="IL7" i="8"/>
  <c r="IM7" i="8"/>
  <c r="IN7" i="8"/>
  <c r="IO7" i="8"/>
  <c r="IP7" i="8"/>
  <c r="IQ7" i="8"/>
  <c r="IR7" i="8"/>
  <c r="IS7" i="8"/>
  <c r="IT7" i="8"/>
  <c r="IU7" i="8"/>
  <c r="IV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BV8" i="8"/>
  <c r="BW8" i="8"/>
  <c r="BX8" i="8"/>
  <c r="BY8" i="8"/>
  <c r="BZ8" i="8"/>
  <c r="CA8" i="8"/>
  <c r="CB8" i="8"/>
  <c r="CC8" i="8"/>
  <c r="CD8" i="8"/>
  <c r="CE8" i="8"/>
  <c r="CF8" i="8"/>
  <c r="CG8" i="8"/>
  <c r="CH8" i="8"/>
  <c r="CI8" i="8"/>
  <c r="CJ8" i="8"/>
  <c r="CK8" i="8"/>
  <c r="CL8" i="8"/>
  <c r="CM8" i="8"/>
  <c r="CN8" i="8"/>
  <c r="CO8" i="8"/>
  <c r="CP8" i="8"/>
  <c r="CQ8" i="8"/>
  <c r="CR8" i="8"/>
  <c r="CS8" i="8"/>
  <c r="CT8" i="8"/>
  <c r="CU8" i="8"/>
  <c r="CV8" i="8"/>
  <c r="CW8" i="8"/>
  <c r="CX8" i="8"/>
  <c r="CY8" i="8"/>
  <c r="CZ8" i="8"/>
  <c r="DA8" i="8"/>
  <c r="DB8" i="8"/>
  <c r="DC8" i="8"/>
  <c r="DD8" i="8"/>
  <c r="DE8" i="8"/>
  <c r="DF8" i="8"/>
  <c r="DG8" i="8"/>
  <c r="DH8" i="8"/>
  <c r="DI8" i="8"/>
  <c r="DJ8" i="8"/>
  <c r="DK8" i="8"/>
  <c r="DL8" i="8"/>
  <c r="DM8" i="8"/>
  <c r="DN8" i="8"/>
  <c r="DO8" i="8"/>
  <c r="DP8" i="8"/>
  <c r="DQ8" i="8"/>
  <c r="DR8" i="8"/>
  <c r="DS8" i="8"/>
  <c r="DT8" i="8"/>
  <c r="DU8" i="8"/>
  <c r="DV8" i="8"/>
  <c r="DW8" i="8"/>
  <c r="DX8" i="8"/>
  <c r="DY8" i="8"/>
  <c r="DZ8" i="8"/>
  <c r="EA8" i="8"/>
  <c r="EB8" i="8"/>
  <c r="EC8" i="8"/>
  <c r="ED8" i="8"/>
  <c r="EE8" i="8"/>
  <c r="EF8" i="8"/>
  <c r="EG8" i="8"/>
  <c r="EH8" i="8"/>
  <c r="EI8" i="8"/>
  <c r="EJ8" i="8"/>
  <c r="EK8" i="8"/>
  <c r="EL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HV8" i="8"/>
  <c r="HW8" i="8"/>
  <c r="HX8" i="8"/>
  <c r="HY8" i="8"/>
  <c r="HZ8" i="8"/>
  <c r="IA8" i="8"/>
  <c r="IB8" i="8"/>
  <c r="IC8" i="8"/>
  <c r="ID8" i="8"/>
  <c r="IE8" i="8"/>
  <c r="IF8" i="8"/>
  <c r="IG8" i="8"/>
  <c r="IH8" i="8"/>
  <c r="II8" i="8"/>
  <c r="IJ8" i="8"/>
  <c r="IK8" i="8"/>
  <c r="IL8" i="8"/>
  <c r="IM8" i="8"/>
  <c r="IN8" i="8"/>
  <c r="IO8" i="8"/>
  <c r="IP8" i="8"/>
  <c r="IQ8" i="8"/>
  <c r="IR8" i="8"/>
  <c r="IS8" i="8"/>
  <c r="IT8" i="8"/>
  <c r="IU8" i="8"/>
  <c r="IV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D9" i="8"/>
  <c r="CE9" i="8"/>
  <c r="CF9" i="8"/>
  <c r="CG9" i="8"/>
  <c r="CH9" i="8"/>
  <c r="CI9" i="8"/>
  <c r="CJ9" i="8"/>
  <c r="CK9" i="8"/>
  <c r="CL9" i="8"/>
  <c r="CM9" i="8"/>
  <c r="CN9" i="8"/>
  <c r="CO9" i="8"/>
  <c r="CP9" i="8"/>
  <c r="CQ9" i="8"/>
  <c r="CR9" i="8"/>
  <c r="CS9" i="8"/>
  <c r="CT9" i="8"/>
  <c r="CU9" i="8"/>
  <c r="CV9" i="8"/>
  <c r="CW9" i="8"/>
  <c r="CX9" i="8"/>
  <c r="CY9" i="8"/>
  <c r="CZ9" i="8"/>
  <c r="DA9" i="8"/>
  <c r="DB9" i="8"/>
  <c r="DC9" i="8"/>
  <c r="DD9" i="8"/>
  <c r="DE9" i="8"/>
  <c r="DF9" i="8"/>
  <c r="DG9" i="8"/>
  <c r="DH9" i="8"/>
  <c r="DI9" i="8"/>
  <c r="DJ9" i="8"/>
  <c r="DK9" i="8"/>
  <c r="DL9" i="8"/>
  <c r="DM9" i="8"/>
  <c r="DN9" i="8"/>
  <c r="DO9" i="8"/>
  <c r="DP9" i="8"/>
  <c r="DQ9" i="8"/>
  <c r="DR9" i="8"/>
  <c r="DS9" i="8"/>
  <c r="DT9" i="8"/>
  <c r="DU9" i="8"/>
  <c r="DV9" i="8"/>
  <c r="DW9" i="8"/>
  <c r="DX9" i="8"/>
  <c r="DY9" i="8"/>
  <c r="DZ9" i="8"/>
  <c r="EA9" i="8"/>
  <c r="EB9" i="8"/>
  <c r="EC9" i="8"/>
  <c r="ED9" i="8"/>
  <c r="EE9" i="8"/>
  <c r="EF9" i="8"/>
  <c r="EG9" i="8"/>
  <c r="EH9" i="8"/>
  <c r="EI9" i="8"/>
  <c r="EJ9" i="8"/>
  <c r="EK9" i="8"/>
  <c r="EL9" i="8"/>
  <c r="EM9" i="8"/>
  <c r="EN9" i="8"/>
  <c r="EO9" i="8"/>
  <c r="EP9" i="8"/>
  <c r="EQ9" i="8"/>
  <c r="ER9" i="8"/>
  <c r="ES9" i="8"/>
  <c r="ET9" i="8"/>
  <c r="EU9" i="8"/>
  <c r="EV9" i="8"/>
  <c r="EW9" i="8"/>
  <c r="EX9" i="8"/>
  <c r="EY9" i="8"/>
  <c r="EZ9" i="8"/>
  <c r="FA9" i="8"/>
  <c r="FB9" i="8"/>
  <c r="FC9" i="8"/>
  <c r="FD9" i="8"/>
  <c r="FE9" i="8"/>
  <c r="FF9" i="8"/>
  <c r="FG9" i="8"/>
  <c r="FH9" i="8"/>
  <c r="FI9" i="8"/>
  <c r="FJ9" i="8"/>
  <c r="FK9" i="8"/>
  <c r="FL9" i="8"/>
  <c r="FM9" i="8"/>
  <c r="FN9" i="8"/>
  <c r="FO9" i="8"/>
  <c r="FP9" i="8"/>
  <c r="FQ9" i="8"/>
  <c r="FR9" i="8"/>
  <c r="FS9" i="8"/>
  <c r="FT9" i="8"/>
  <c r="FU9" i="8"/>
  <c r="FV9" i="8"/>
  <c r="FW9" i="8"/>
  <c r="FX9" i="8"/>
  <c r="FY9" i="8"/>
  <c r="FZ9" i="8"/>
  <c r="GA9" i="8"/>
  <c r="GB9" i="8"/>
  <c r="GC9" i="8"/>
  <c r="GD9" i="8"/>
  <c r="GE9" i="8"/>
  <c r="GF9" i="8"/>
  <c r="GG9" i="8"/>
  <c r="GH9" i="8"/>
  <c r="GI9" i="8"/>
  <c r="GJ9" i="8"/>
  <c r="GK9" i="8"/>
  <c r="GL9" i="8"/>
  <c r="GM9" i="8"/>
  <c r="GN9" i="8"/>
  <c r="GO9" i="8"/>
  <c r="GP9" i="8"/>
  <c r="GQ9" i="8"/>
  <c r="GR9" i="8"/>
  <c r="GS9" i="8"/>
  <c r="GT9" i="8"/>
  <c r="GU9" i="8"/>
  <c r="GV9" i="8"/>
  <c r="GW9" i="8"/>
  <c r="GX9" i="8"/>
  <c r="GY9" i="8"/>
  <c r="GZ9" i="8"/>
  <c r="HA9" i="8"/>
  <c r="HB9" i="8"/>
  <c r="HC9" i="8"/>
  <c r="HD9" i="8"/>
  <c r="HE9" i="8"/>
  <c r="HF9" i="8"/>
  <c r="HG9" i="8"/>
  <c r="HH9" i="8"/>
  <c r="HI9" i="8"/>
  <c r="HJ9" i="8"/>
  <c r="HK9" i="8"/>
  <c r="HL9" i="8"/>
  <c r="HM9" i="8"/>
  <c r="HN9" i="8"/>
  <c r="HO9" i="8"/>
  <c r="HP9" i="8"/>
  <c r="HQ9" i="8"/>
  <c r="HR9" i="8"/>
  <c r="HS9" i="8"/>
  <c r="HT9" i="8"/>
  <c r="HU9" i="8"/>
  <c r="HV9" i="8"/>
  <c r="HW9" i="8"/>
  <c r="HX9" i="8"/>
  <c r="HY9" i="8"/>
  <c r="HZ9" i="8"/>
  <c r="IA9" i="8"/>
  <c r="IB9" i="8"/>
  <c r="IC9" i="8"/>
  <c r="ID9" i="8"/>
  <c r="IE9" i="8"/>
  <c r="IF9" i="8"/>
  <c r="IG9" i="8"/>
  <c r="IH9" i="8"/>
  <c r="II9" i="8"/>
  <c r="IJ9" i="8"/>
  <c r="IK9" i="8"/>
  <c r="IL9" i="8"/>
  <c r="IM9" i="8"/>
  <c r="IN9" i="8"/>
  <c r="IO9" i="8"/>
  <c r="IP9" i="8"/>
  <c r="IQ9" i="8"/>
  <c r="IR9" i="8"/>
  <c r="IS9" i="8"/>
  <c r="IT9" i="8"/>
  <c r="IU9" i="8"/>
  <c r="IV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CA10" i="8"/>
  <c r="CB10" i="8"/>
  <c r="CC10" i="8"/>
  <c r="CD10" i="8"/>
  <c r="CE10" i="8"/>
  <c r="CF10" i="8"/>
  <c r="CG10" i="8"/>
  <c r="CH10" i="8"/>
  <c r="CI10" i="8"/>
  <c r="CJ10" i="8"/>
  <c r="CK10" i="8"/>
  <c r="CL10" i="8"/>
  <c r="CM10" i="8"/>
  <c r="CN10" i="8"/>
  <c r="CO10" i="8"/>
  <c r="CP10" i="8"/>
  <c r="CQ10" i="8"/>
  <c r="CR10" i="8"/>
  <c r="CS10" i="8"/>
  <c r="CT10" i="8"/>
  <c r="CU10" i="8"/>
  <c r="CV10" i="8"/>
  <c r="CW10" i="8"/>
  <c r="CX10" i="8"/>
  <c r="CY10" i="8"/>
  <c r="CZ10" i="8"/>
  <c r="DA10" i="8"/>
  <c r="DB10" i="8"/>
  <c r="DC10" i="8"/>
  <c r="DD10" i="8"/>
  <c r="DE10" i="8"/>
  <c r="DF10" i="8"/>
  <c r="DG10" i="8"/>
  <c r="DH10" i="8"/>
  <c r="DI10" i="8"/>
  <c r="DJ10" i="8"/>
  <c r="DK10" i="8"/>
  <c r="DL10" i="8"/>
  <c r="DM10" i="8"/>
  <c r="DN10" i="8"/>
  <c r="DO10" i="8"/>
  <c r="DP10" i="8"/>
  <c r="DQ10" i="8"/>
  <c r="DR10" i="8"/>
  <c r="DS10" i="8"/>
  <c r="DT10" i="8"/>
  <c r="DU10" i="8"/>
  <c r="DV10" i="8"/>
  <c r="DW10" i="8"/>
  <c r="DX10" i="8"/>
  <c r="DY10" i="8"/>
  <c r="DZ10" i="8"/>
  <c r="EA10" i="8"/>
  <c r="EB10" i="8"/>
  <c r="EC10" i="8"/>
  <c r="ED10" i="8"/>
  <c r="EE10" i="8"/>
  <c r="EF10" i="8"/>
  <c r="EG10" i="8"/>
  <c r="EH10" i="8"/>
  <c r="EI10" i="8"/>
  <c r="EJ10" i="8"/>
  <c r="EK10" i="8"/>
  <c r="EL10" i="8"/>
  <c r="EM10" i="8"/>
  <c r="EN10" i="8"/>
  <c r="EO10" i="8"/>
  <c r="EP10" i="8"/>
  <c r="EQ10" i="8"/>
  <c r="ER10" i="8"/>
  <c r="ES10" i="8"/>
  <c r="ET10" i="8"/>
  <c r="EU10" i="8"/>
  <c r="EV10" i="8"/>
  <c r="EW10" i="8"/>
  <c r="EX10" i="8"/>
  <c r="EY10" i="8"/>
  <c r="EZ10" i="8"/>
  <c r="FA10" i="8"/>
  <c r="FB10" i="8"/>
  <c r="FC10" i="8"/>
  <c r="FD10" i="8"/>
  <c r="FE10" i="8"/>
  <c r="FF10" i="8"/>
  <c r="FG10" i="8"/>
  <c r="FH10" i="8"/>
  <c r="FI10" i="8"/>
  <c r="FJ10" i="8"/>
  <c r="FK10" i="8"/>
  <c r="FL10" i="8"/>
  <c r="FM10" i="8"/>
  <c r="FN10" i="8"/>
  <c r="FO10" i="8"/>
  <c r="FP10" i="8"/>
  <c r="FQ10" i="8"/>
  <c r="FR10" i="8"/>
  <c r="FS10" i="8"/>
  <c r="FT10" i="8"/>
  <c r="FU10" i="8"/>
  <c r="FV10" i="8"/>
  <c r="FW10" i="8"/>
  <c r="FX10" i="8"/>
  <c r="FY10" i="8"/>
  <c r="FZ10" i="8"/>
  <c r="GA10" i="8"/>
  <c r="GB10" i="8"/>
  <c r="GC10" i="8"/>
  <c r="GD10" i="8"/>
  <c r="GE10" i="8"/>
  <c r="GF10" i="8"/>
  <c r="GG10" i="8"/>
  <c r="GH10" i="8"/>
  <c r="GI10" i="8"/>
  <c r="GJ10" i="8"/>
  <c r="GK10" i="8"/>
  <c r="GL10" i="8"/>
  <c r="GM10" i="8"/>
  <c r="GN10" i="8"/>
  <c r="GO10" i="8"/>
  <c r="GP10" i="8"/>
  <c r="GQ10" i="8"/>
  <c r="GR10" i="8"/>
  <c r="GS10" i="8"/>
  <c r="GT10" i="8"/>
  <c r="GU10" i="8"/>
  <c r="GV10" i="8"/>
  <c r="GW10" i="8"/>
  <c r="GX10" i="8"/>
  <c r="GY10" i="8"/>
  <c r="GZ10" i="8"/>
  <c r="HA10" i="8"/>
  <c r="HB10" i="8"/>
  <c r="HC10" i="8"/>
  <c r="HD10" i="8"/>
  <c r="HE10" i="8"/>
  <c r="HF10" i="8"/>
  <c r="HG10" i="8"/>
  <c r="HH10" i="8"/>
  <c r="HI10" i="8"/>
  <c r="HJ10" i="8"/>
  <c r="HK10" i="8"/>
  <c r="HL10" i="8"/>
  <c r="HM10" i="8"/>
  <c r="HN10" i="8"/>
  <c r="HO10" i="8"/>
  <c r="HP10" i="8"/>
  <c r="HQ10" i="8"/>
  <c r="HR10" i="8"/>
  <c r="HS10" i="8"/>
  <c r="HT10" i="8"/>
  <c r="HU10" i="8"/>
  <c r="HV10" i="8"/>
  <c r="HW10" i="8"/>
  <c r="HX10" i="8"/>
  <c r="HY10" i="8"/>
  <c r="HZ10" i="8"/>
  <c r="IA10" i="8"/>
  <c r="IB10" i="8"/>
  <c r="IC10" i="8"/>
  <c r="ID10" i="8"/>
  <c r="IE10" i="8"/>
  <c r="IF10" i="8"/>
  <c r="IG10" i="8"/>
  <c r="IH10" i="8"/>
  <c r="II10" i="8"/>
  <c r="IJ10" i="8"/>
  <c r="IK10" i="8"/>
  <c r="IL10" i="8"/>
  <c r="IM10" i="8"/>
  <c r="IN10" i="8"/>
  <c r="IO10" i="8"/>
  <c r="IP10" i="8"/>
  <c r="IQ10" i="8"/>
  <c r="IR10" i="8"/>
  <c r="IS10" i="8"/>
  <c r="IT10" i="8"/>
  <c r="IU10" i="8"/>
  <c r="IV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HV11" i="8"/>
  <c r="HW11" i="8"/>
  <c r="HX11" i="8"/>
  <c r="HY11" i="8"/>
  <c r="HZ11" i="8"/>
  <c r="IA11" i="8"/>
  <c r="IB11" i="8"/>
  <c r="IC11" i="8"/>
  <c r="ID11" i="8"/>
  <c r="IE11" i="8"/>
  <c r="IF11" i="8"/>
  <c r="IG11" i="8"/>
  <c r="IH11" i="8"/>
  <c r="II11" i="8"/>
  <c r="IJ11" i="8"/>
  <c r="IK11" i="8"/>
  <c r="IL11" i="8"/>
  <c r="IM11" i="8"/>
  <c r="IN11" i="8"/>
  <c r="IO11" i="8"/>
  <c r="IP11" i="8"/>
  <c r="IQ11" i="8"/>
  <c r="IR11" i="8"/>
  <c r="IS11" i="8"/>
  <c r="IT11" i="8"/>
  <c r="IU11" i="8"/>
  <c r="IV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CA12" i="8"/>
  <c r="CB12" i="8"/>
  <c r="CC12" i="8"/>
  <c r="CD12" i="8"/>
  <c r="CE12" i="8"/>
  <c r="CF12" i="8"/>
  <c r="CG12" i="8"/>
  <c r="CH12" i="8"/>
  <c r="CI12" i="8"/>
  <c r="CJ12" i="8"/>
  <c r="CK12" i="8"/>
  <c r="CL12" i="8"/>
  <c r="CM12" i="8"/>
  <c r="CN12" i="8"/>
  <c r="CO12" i="8"/>
  <c r="CP12" i="8"/>
  <c r="CQ12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DD12" i="8"/>
  <c r="DE12" i="8"/>
  <c r="DF12" i="8"/>
  <c r="DG12" i="8"/>
  <c r="DH12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U12" i="8"/>
  <c r="DV12" i="8"/>
  <c r="DW12" i="8"/>
  <c r="DX12" i="8"/>
  <c r="DY12" i="8"/>
  <c r="DZ12" i="8"/>
  <c r="EA12" i="8"/>
  <c r="EB12" i="8"/>
  <c r="EC12" i="8"/>
  <c r="ED12" i="8"/>
  <c r="EE12" i="8"/>
  <c r="EF12" i="8"/>
  <c r="EG12" i="8"/>
  <c r="EH12" i="8"/>
  <c r="EI12" i="8"/>
  <c r="EJ12" i="8"/>
  <c r="EK12" i="8"/>
  <c r="EL12" i="8"/>
  <c r="EM12" i="8"/>
  <c r="EN12" i="8"/>
  <c r="EO12" i="8"/>
  <c r="EP12" i="8"/>
  <c r="EQ12" i="8"/>
  <c r="ER12" i="8"/>
  <c r="ES12" i="8"/>
  <c r="ET12" i="8"/>
  <c r="EU12" i="8"/>
  <c r="EV12" i="8"/>
  <c r="EW12" i="8"/>
  <c r="EX12" i="8"/>
  <c r="EY12" i="8"/>
  <c r="EZ12" i="8"/>
  <c r="FA12" i="8"/>
  <c r="FB12" i="8"/>
  <c r="FC12" i="8"/>
  <c r="FD12" i="8"/>
  <c r="FE12" i="8"/>
  <c r="FF12" i="8"/>
  <c r="FG12" i="8"/>
  <c r="FH12" i="8"/>
  <c r="FI12" i="8"/>
  <c r="FJ12" i="8"/>
  <c r="FK12" i="8"/>
  <c r="FL12" i="8"/>
  <c r="FM12" i="8"/>
  <c r="FN12" i="8"/>
  <c r="FO12" i="8"/>
  <c r="FP12" i="8"/>
  <c r="FQ12" i="8"/>
  <c r="FR12" i="8"/>
  <c r="FS12" i="8"/>
  <c r="FT12" i="8"/>
  <c r="FU12" i="8"/>
  <c r="FV12" i="8"/>
  <c r="FW12" i="8"/>
  <c r="FX12" i="8"/>
  <c r="FY12" i="8"/>
  <c r="FZ12" i="8"/>
  <c r="GA12" i="8"/>
  <c r="GB12" i="8"/>
  <c r="GC12" i="8"/>
  <c r="GD12" i="8"/>
  <c r="GE12" i="8"/>
  <c r="GF12" i="8"/>
  <c r="GG12" i="8"/>
  <c r="GH12" i="8"/>
  <c r="GI12" i="8"/>
  <c r="GJ12" i="8"/>
  <c r="GK12" i="8"/>
  <c r="GL12" i="8"/>
  <c r="GM12" i="8"/>
  <c r="GN12" i="8"/>
  <c r="GO12" i="8"/>
  <c r="GP12" i="8"/>
  <c r="GQ12" i="8"/>
  <c r="GR12" i="8"/>
  <c r="GS12" i="8"/>
  <c r="GT12" i="8"/>
  <c r="GU12" i="8"/>
  <c r="GV12" i="8"/>
  <c r="GW12" i="8"/>
  <c r="GX12" i="8"/>
  <c r="GY12" i="8"/>
  <c r="GZ12" i="8"/>
  <c r="HA12" i="8"/>
  <c r="HB12" i="8"/>
  <c r="HC12" i="8"/>
  <c r="HD12" i="8"/>
  <c r="HE12" i="8"/>
  <c r="HF12" i="8"/>
  <c r="HG12" i="8"/>
  <c r="HH12" i="8"/>
  <c r="HI12" i="8"/>
  <c r="HJ12" i="8"/>
  <c r="HK12" i="8"/>
  <c r="HL12" i="8"/>
  <c r="HM12" i="8"/>
  <c r="HN12" i="8"/>
  <c r="HO12" i="8"/>
  <c r="HP12" i="8"/>
  <c r="HQ12" i="8"/>
  <c r="HR12" i="8"/>
  <c r="HS12" i="8"/>
  <c r="HT12" i="8"/>
  <c r="HU12" i="8"/>
  <c r="HV12" i="8"/>
  <c r="HW12" i="8"/>
  <c r="HX12" i="8"/>
  <c r="HY12" i="8"/>
  <c r="HZ12" i="8"/>
  <c r="IA12" i="8"/>
  <c r="IB12" i="8"/>
  <c r="IC12" i="8"/>
  <c r="ID12" i="8"/>
  <c r="IE12" i="8"/>
  <c r="IF12" i="8"/>
  <c r="IG12" i="8"/>
  <c r="IH12" i="8"/>
  <c r="II12" i="8"/>
  <c r="IJ12" i="8"/>
  <c r="IK12" i="8"/>
  <c r="IL12" i="8"/>
  <c r="IM12" i="8"/>
  <c r="IN12" i="8"/>
  <c r="IO12" i="8"/>
  <c r="IP12" i="8"/>
  <c r="IQ12" i="8"/>
  <c r="IR12" i="8"/>
  <c r="IS12" i="8"/>
  <c r="IT12" i="8"/>
  <c r="IU12" i="8"/>
  <c r="IV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CA13" i="8"/>
  <c r="CB13" i="8"/>
  <c r="CC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P13" i="8"/>
  <c r="CQ13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DD13" i="8"/>
  <c r="DE13" i="8"/>
  <c r="DF13" i="8"/>
  <c r="DG13" i="8"/>
  <c r="DH13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U13" i="8"/>
  <c r="DV13" i="8"/>
  <c r="DW13" i="8"/>
  <c r="DX13" i="8"/>
  <c r="DY13" i="8"/>
  <c r="DZ13" i="8"/>
  <c r="EA13" i="8"/>
  <c r="EB13" i="8"/>
  <c r="EC13" i="8"/>
  <c r="ED13" i="8"/>
  <c r="EE13" i="8"/>
  <c r="EF13" i="8"/>
  <c r="EG13" i="8"/>
  <c r="EH13" i="8"/>
  <c r="EI13" i="8"/>
  <c r="EJ13" i="8"/>
  <c r="EK13" i="8"/>
  <c r="EL13" i="8"/>
  <c r="EM13" i="8"/>
  <c r="EN13" i="8"/>
  <c r="EO13" i="8"/>
  <c r="EP13" i="8"/>
  <c r="EQ13" i="8"/>
  <c r="ER13" i="8"/>
  <c r="ES13" i="8"/>
  <c r="ET13" i="8"/>
  <c r="EU13" i="8"/>
  <c r="EV13" i="8"/>
  <c r="EW13" i="8"/>
  <c r="EX13" i="8"/>
  <c r="EY13" i="8"/>
  <c r="EZ13" i="8"/>
  <c r="FA13" i="8"/>
  <c r="FB13" i="8"/>
  <c r="FC13" i="8"/>
  <c r="FD13" i="8"/>
  <c r="FE13" i="8"/>
  <c r="FF13" i="8"/>
  <c r="FG13" i="8"/>
  <c r="FH13" i="8"/>
  <c r="FI13" i="8"/>
  <c r="FJ13" i="8"/>
  <c r="FK13" i="8"/>
  <c r="FL13" i="8"/>
  <c r="FM13" i="8"/>
  <c r="FN13" i="8"/>
  <c r="FO13" i="8"/>
  <c r="FP13" i="8"/>
  <c r="FQ13" i="8"/>
  <c r="FR13" i="8"/>
  <c r="FS13" i="8"/>
  <c r="FT13" i="8"/>
  <c r="FU13" i="8"/>
  <c r="FV13" i="8"/>
  <c r="FW13" i="8"/>
  <c r="FX13" i="8"/>
  <c r="FY13" i="8"/>
  <c r="FZ13" i="8"/>
  <c r="GA13" i="8"/>
  <c r="GB13" i="8"/>
  <c r="GC13" i="8"/>
  <c r="GD13" i="8"/>
  <c r="GE13" i="8"/>
  <c r="GF13" i="8"/>
  <c r="GG13" i="8"/>
  <c r="GH13" i="8"/>
  <c r="GI13" i="8"/>
  <c r="GJ13" i="8"/>
  <c r="GK13" i="8"/>
  <c r="GL13" i="8"/>
  <c r="GM13" i="8"/>
  <c r="GN13" i="8"/>
  <c r="GO13" i="8"/>
  <c r="GP13" i="8"/>
  <c r="GQ13" i="8"/>
  <c r="GR13" i="8"/>
  <c r="GS13" i="8"/>
  <c r="GT13" i="8"/>
  <c r="GU13" i="8"/>
  <c r="GV13" i="8"/>
  <c r="GW13" i="8"/>
  <c r="GX13" i="8"/>
  <c r="GY13" i="8"/>
  <c r="GZ13" i="8"/>
  <c r="HA13" i="8"/>
  <c r="HB13" i="8"/>
  <c r="HC13" i="8"/>
  <c r="HD13" i="8"/>
  <c r="HE13" i="8"/>
  <c r="HF13" i="8"/>
  <c r="HG13" i="8"/>
  <c r="HH13" i="8"/>
  <c r="HI13" i="8"/>
  <c r="HJ13" i="8"/>
  <c r="HK13" i="8"/>
  <c r="HL13" i="8"/>
  <c r="HM13" i="8"/>
  <c r="HN13" i="8"/>
  <c r="HO13" i="8"/>
  <c r="HP13" i="8"/>
  <c r="HQ13" i="8"/>
  <c r="HR13" i="8"/>
  <c r="HS13" i="8"/>
  <c r="HT13" i="8"/>
  <c r="HU13" i="8"/>
  <c r="HV13" i="8"/>
  <c r="HW13" i="8"/>
  <c r="HX13" i="8"/>
  <c r="HY13" i="8"/>
  <c r="HZ13" i="8"/>
  <c r="IA13" i="8"/>
  <c r="IB13" i="8"/>
  <c r="IC13" i="8"/>
  <c r="ID13" i="8"/>
  <c r="IE13" i="8"/>
  <c r="IF13" i="8"/>
  <c r="IG13" i="8"/>
  <c r="IH13" i="8"/>
  <c r="II13" i="8"/>
  <c r="IJ13" i="8"/>
  <c r="IK13" i="8"/>
  <c r="IL13" i="8"/>
  <c r="IM13" i="8"/>
  <c r="IN13" i="8"/>
  <c r="IO13" i="8"/>
  <c r="IP13" i="8"/>
  <c r="IQ13" i="8"/>
  <c r="IR13" i="8"/>
  <c r="IS13" i="8"/>
  <c r="IT13" i="8"/>
  <c r="IU13" i="8"/>
  <c r="IV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CA14" i="8"/>
  <c r="CB14" i="8"/>
  <c r="CC14" i="8"/>
  <c r="CD14" i="8"/>
  <c r="CE14" i="8"/>
  <c r="CF14" i="8"/>
  <c r="CG14" i="8"/>
  <c r="CH14" i="8"/>
  <c r="CI14" i="8"/>
  <c r="CJ14" i="8"/>
  <c r="CK14" i="8"/>
  <c r="CL14" i="8"/>
  <c r="CM14" i="8"/>
  <c r="CN14" i="8"/>
  <c r="CO14" i="8"/>
  <c r="CP14" i="8"/>
  <c r="CQ14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DD14" i="8"/>
  <c r="DE14" i="8"/>
  <c r="DF14" i="8"/>
  <c r="DG14" i="8"/>
  <c r="DH14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U14" i="8"/>
  <c r="DV14" i="8"/>
  <c r="DW14" i="8"/>
  <c r="DX14" i="8"/>
  <c r="DY14" i="8"/>
  <c r="DZ14" i="8"/>
  <c r="EA14" i="8"/>
  <c r="EB14" i="8"/>
  <c r="EC14" i="8"/>
  <c r="ED14" i="8"/>
  <c r="EE14" i="8"/>
  <c r="EF14" i="8"/>
  <c r="EG14" i="8"/>
  <c r="EH14" i="8"/>
  <c r="EI14" i="8"/>
  <c r="EJ14" i="8"/>
  <c r="EK14" i="8"/>
  <c r="EL14" i="8"/>
  <c r="EM14" i="8"/>
  <c r="EN14" i="8"/>
  <c r="EO14" i="8"/>
  <c r="EP14" i="8"/>
  <c r="EQ14" i="8"/>
  <c r="ER14" i="8"/>
  <c r="ES14" i="8"/>
  <c r="ET14" i="8"/>
  <c r="EU14" i="8"/>
  <c r="EV14" i="8"/>
  <c r="EW14" i="8"/>
  <c r="EX14" i="8"/>
  <c r="EY14" i="8"/>
  <c r="EZ14" i="8"/>
  <c r="FA14" i="8"/>
  <c r="FB14" i="8"/>
  <c r="FC14" i="8"/>
  <c r="FD14" i="8"/>
  <c r="FE14" i="8"/>
  <c r="FF14" i="8"/>
  <c r="FG14" i="8"/>
  <c r="FH14" i="8"/>
  <c r="FI14" i="8"/>
  <c r="FJ14" i="8"/>
  <c r="FK14" i="8"/>
  <c r="FL14" i="8"/>
  <c r="FM14" i="8"/>
  <c r="FN14" i="8"/>
  <c r="FO14" i="8"/>
  <c r="FP14" i="8"/>
  <c r="FQ14" i="8"/>
  <c r="FR14" i="8"/>
  <c r="FS14" i="8"/>
  <c r="FT14" i="8"/>
  <c r="FU14" i="8"/>
  <c r="FV14" i="8"/>
  <c r="FW14" i="8"/>
  <c r="FX14" i="8"/>
  <c r="FY14" i="8"/>
  <c r="FZ14" i="8"/>
  <c r="GA14" i="8"/>
  <c r="GB14" i="8"/>
  <c r="GC14" i="8"/>
  <c r="GD14" i="8"/>
  <c r="GE14" i="8"/>
  <c r="GF14" i="8"/>
  <c r="GG14" i="8"/>
  <c r="GH14" i="8"/>
  <c r="GI14" i="8"/>
  <c r="GJ14" i="8"/>
  <c r="GK14" i="8"/>
  <c r="GL14" i="8"/>
  <c r="GM14" i="8"/>
  <c r="GN14" i="8"/>
  <c r="GO14" i="8"/>
  <c r="GP14" i="8"/>
  <c r="GQ14" i="8"/>
  <c r="GR14" i="8"/>
  <c r="GS14" i="8"/>
  <c r="GT14" i="8"/>
  <c r="GU14" i="8"/>
  <c r="GV14" i="8"/>
  <c r="GW14" i="8"/>
  <c r="GX14" i="8"/>
  <c r="GY14" i="8"/>
  <c r="GZ14" i="8"/>
  <c r="HA14" i="8"/>
  <c r="HB14" i="8"/>
  <c r="HC14" i="8"/>
  <c r="HD14" i="8"/>
  <c r="HE14" i="8"/>
  <c r="HF14" i="8"/>
  <c r="HG14" i="8"/>
  <c r="HH14" i="8"/>
  <c r="HI14" i="8"/>
  <c r="HJ14" i="8"/>
  <c r="HK14" i="8"/>
  <c r="HL14" i="8"/>
  <c r="HM14" i="8"/>
  <c r="HN14" i="8"/>
  <c r="HO14" i="8"/>
  <c r="HP14" i="8"/>
  <c r="HQ14" i="8"/>
  <c r="HR14" i="8"/>
  <c r="HS14" i="8"/>
  <c r="HT14" i="8"/>
  <c r="HU14" i="8"/>
  <c r="HV14" i="8"/>
  <c r="HW14" i="8"/>
  <c r="HX14" i="8"/>
  <c r="HY14" i="8"/>
  <c r="HZ14" i="8"/>
  <c r="IA14" i="8"/>
  <c r="IB14" i="8"/>
  <c r="IC14" i="8"/>
  <c r="ID14" i="8"/>
  <c r="IE14" i="8"/>
  <c r="IF14" i="8"/>
  <c r="IG14" i="8"/>
  <c r="IH14" i="8"/>
  <c r="II14" i="8"/>
  <c r="IJ14" i="8"/>
  <c r="IK14" i="8"/>
  <c r="IL14" i="8"/>
  <c r="IM14" i="8"/>
  <c r="IN14" i="8"/>
  <c r="IO14" i="8"/>
  <c r="IP14" i="8"/>
  <c r="IQ14" i="8"/>
  <c r="IR14" i="8"/>
  <c r="IS14" i="8"/>
  <c r="IT14" i="8"/>
  <c r="IU14" i="8"/>
  <c r="IV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CA15" i="8"/>
  <c r="CB15" i="8"/>
  <c r="CC15" i="8"/>
  <c r="CD15" i="8"/>
  <c r="CE15" i="8"/>
  <c r="CF15" i="8"/>
  <c r="CG15" i="8"/>
  <c r="CH15" i="8"/>
  <c r="CI15" i="8"/>
  <c r="CJ15" i="8"/>
  <c r="CK15" i="8"/>
  <c r="CL15" i="8"/>
  <c r="CM15" i="8"/>
  <c r="CN15" i="8"/>
  <c r="CO15" i="8"/>
  <c r="CP15" i="8"/>
  <c r="CQ15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DD15" i="8"/>
  <c r="DE15" i="8"/>
  <c r="DF15" i="8"/>
  <c r="DG15" i="8"/>
  <c r="DH15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U15" i="8"/>
  <c r="DV15" i="8"/>
  <c r="DW15" i="8"/>
  <c r="DX15" i="8"/>
  <c r="DY15" i="8"/>
  <c r="DZ15" i="8"/>
  <c r="EA15" i="8"/>
  <c r="EB15" i="8"/>
  <c r="EC15" i="8"/>
  <c r="ED15" i="8"/>
  <c r="EE15" i="8"/>
  <c r="EF15" i="8"/>
  <c r="EG15" i="8"/>
  <c r="EH15" i="8"/>
  <c r="EI15" i="8"/>
  <c r="EJ15" i="8"/>
  <c r="EK15" i="8"/>
  <c r="EL15" i="8"/>
  <c r="EM15" i="8"/>
  <c r="EN15" i="8"/>
  <c r="EO15" i="8"/>
  <c r="EP15" i="8"/>
  <c r="EQ15" i="8"/>
  <c r="ER15" i="8"/>
  <c r="ES15" i="8"/>
  <c r="ET15" i="8"/>
  <c r="EU15" i="8"/>
  <c r="EV15" i="8"/>
  <c r="EW15" i="8"/>
  <c r="EX15" i="8"/>
  <c r="EY15" i="8"/>
  <c r="EZ15" i="8"/>
  <c r="FA15" i="8"/>
  <c r="FB15" i="8"/>
  <c r="FC15" i="8"/>
  <c r="FD15" i="8"/>
  <c r="FE15" i="8"/>
  <c r="FF15" i="8"/>
  <c r="FG15" i="8"/>
  <c r="FH15" i="8"/>
  <c r="FI15" i="8"/>
  <c r="FJ15" i="8"/>
  <c r="FK15" i="8"/>
  <c r="FL15" i="8"/>
  <c r="FM15" i="8"/>
  <c r="FN15" i="8"/>
  <c r="FO15" i="8"/>
  <c r="FP15" i="8"/>
  <c r="FQ15" i="8"/>
  <c r="FR15" i="8"/>
  <c r="FS15" i="8"/>
  <c r="FT15" i="8"/>
  <c r="FU15" i="8"/>
  <c r="FV15" i="8"/>
  <c r="FW15" i="8"/>
  <c r="FX15" i="8"/>
  <c r="FY15" i="8"/>
  <c r="FZ15" i="8"/>
  <c r="GA15" i="8"/>
  <c r="GB15" i="8"/>
  <c r="GC15" i="8"/>
  <c r="GD15" i="8"/>
  <c r="GE15" i="8"/>
  <c r="GF15" i="8"/>
  <c r="GG15" i="8"/>
  <c r="GH15" i="8"/>
  <c r="GI15" i="8"/>
  <c r="GJ15" i="8"/>
  <c r="GK15" i="8"/>
  <c r="GL15" i="8"/>
  <c r="GM15" i="8"/>
  <c r="GN15" i="8"/>
  <c r="GO15" i="8"/>
  <c r="GP15" i="8"/>
  <c r="GQ15" i="8"/>
  <c r="GR15" i="8"/>
  <c r="GS15" i="8"/>
  <c r="GT15" i="8"/>
  <c r="GU15" i="8"/>
  <c r="GV15" i="8"/>
  <c r="GW15" i="8"/>
  <c r="GX15" i="8"/>
  <c r="GY15" i="8"/>
  <c r="GZ15" i="8"/>
  <c r="HA15" i="8"/>
  <c r="HB15" i="8"/>
  <c r="HC15" i="8"/>
  <c r="HD15" i="8"/>
  <c r="HE15" i="8"/>
  <c r="HF15" i="8"/>
  <c r="HG15" i="8"/>
  <c r="HH15" i="8"/>
  <c r="HI15" i="8"/>
  <c r="HJ15" i="8"/>
  <c r="HK15" i="8"/>
  <c r="HL15" i="8"/>
  <c r="HM15" i="8"/>
  <c r="HN15" i="8"/>
  <c r="HO15" i="8"/>
  <c r="HP15" i="8"/>
  <c r="HQ15" i="8"/>
  <c r="HR15" i="8"/>
  <c r="HS15" i="8"/>
  <c r="HT15" i="8"/>
  <c r="HU15" i="8"/>
  <c r="HV15" i="8"/>
  <c r="HW15" i="8"/>
  <c r="HX15" i="8"/>
  <c r="HY15" i="8"/>
  <c r="HZ15" i="8"/>
  <c r="IA15" i="8"/>
  <c r="IB15" i="8"/>
  <c r="IC15" i="8"/>
  <c r="ID15" i="8"/>
  <c r="IE15" i="8"/>
  <c r="IF15" i="8"/>
  <c r="IG15" i="8"/>
  <c r="IH15" i="8"/>
  <c r="II15" i="8"/>
  <c r="IJ15" i="8"/>
  <c r="IK15" i="8"/>
  <c r="IL15" i="8"/>
  <c r="IM15" i="8"/>
  <c r="IN15" i="8"/>
  <c r="IO15" i="8"/>
  <c r="IP15" i="8"/>
  <c r="IQ15" i="8"/>
  <c r="IR15" i="8"/>
  <c r="IS15" i="8"/>
  <c r="IT15" i="8"/>
  <c r="IU15" i="8"/>
  <c r="IV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CA16" i="8"/>
  <c r="CB16" i="8"/>
  <c r="CC16" i="8"/>
  <c r="CD16" i="8"/>
  <c r="CE16" i="8"/>
  <c r="CF16" i="8"/>
  <c r="CG16" i="8"/>
  <c r="CH16" i="8"/>
  <c r="CI16" i="8"/>
  <c r="CJ16" i="8"/>
  <c r="CK16" i="8"/>
  <c r="CL16" i="8"/>
  <c r="CM16" i="8"/>
  <c r="CN16" i="8"/>
  <c r="CO16" i="8"/>
  <c r="CP16" i="8"/>
  <c r="CQ16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DD16" i="8"/>
  <c r="DE16" i="8"/>
  <c r="DF16" i="8"/>
  <c r="DG16" i="8"/>
  <c r="DH16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U16" i="8"/>
  <c r="DV16" i="8"/>
  <c r="DW16" i="8"/>
  <c r="DX16" i="8"/>
  <c r="DY16" i="8"/>
  <c r="DZ16" i="8"/>
  <c r="EA16" i="8"/>
  <c r="EB16" i="8"/>
  <c r="EC16" i="8"/>
  <c r="ED16" i="8"/>
  <c r="EE16" i="8"/>
  <c r="EF16" i="8"/>
  <c r="EG16" i="8"/>
  <c r="EH16" i="8"/>
  <c r="EI16" i="8"/>
  <c r="EJ16" i="8"/>
  <c r="EK16" i="8"/>
  <c r="EL16" i="8"/>
  <c r="EM16" i="8"/>
  <c r="EN16" i="8"/>
  <c r="EO16" i="8"/>
  <c r="EP16" i="8"/>
  <c r="EQ16" i="8"/>
  <c r="ER16" i="8"/>
  <c r="ES16" i="8"/>
  <c r="ET16" i="8"/>
  <c r="EU16" i="8"/>
  <c r="EV16" i="8"/>
  <c r="EW16" i="8"/>
  <c r="EX16" i="8"/>
  <c r="EY16" i="8"/>
  <c r="EZ16" i="8"/>
  <c r="FA16" i="8"/>
  <c r="FB16" i="8"/>
  <c r="FC16" i="8"/>
  <c r="FD16" i="8"/>
  <c r="FE16" i="8"/>
  <c r="FF16" i="8"/>
  <c r="FG16" i="8"/>
  <c r="FH16" i="8"/>
  <c r="FI16" i="8"/>
  <c r="FJ16" i="8"/>
  <c r="FK16" i="8"/>
  <c r="FL16" i="8"/>
  <c r="FM16" i="8"/>
  <c r="FN16" i="8"/>
  <c r="FO16" i="8"/>
  <c r="FP16" i="8"/>
  <c r="FQ16" i="8"/>
  <c r="FR16" i="8"/>
  <c r="FS16" i="8"/>
  <c r="FT16" i="8"/>
  <c r="FU16" i="8"/>
  <c r="FV16" i="8"/>
  <c r="FW16" i="8"/>
  <c r="FX16" i="8"/>
  <c r="FY16" i="8"/>
  <c r="FZ16" i="8"/>
  <c r="GA16" i="8"/>
  <c r="GB16" i="8"/>
  <c r="GC16" i="8"/>
  <c r="GD16" i="8"/>
  <c r="GE16" i="8"/>
  <c r="GF16" i="8"/>
  <c r="GG16" i="8"/>
  <c r="GH16" i="8"/>
  <c r="GI16" i="8"/>
  <c r="GJ16" i="8"/>
  <c r="GK16" i="8"/>
  <c r="GL16" i="8"/>
  <c r="GM16" i="8"/>
  <c r="GN16" i="8"/>
  <c r="GO16" i="8"/>
  <c r="GP16" i="8"/>
  <c r="GQ16" i="8"/>
  <c r="GR16" i="8"/>
  <c r="GS16" i="8"/>
  <c r="GT16" i="8"/>
  <c r="GU16" i="8"/>
  <c r="GV16" i="8"/>
  <c r="GW16" i="8"/>
  <c r="GX16" i="8"/>
  <c r="GY16" i="8"/>
  <c r="GZ16" i="8"/>
  <c r="HA16" i="8"/>
  <c r="HB16" i="8"/>
  <c r="HC16" i="8"/>
  <c r="HD16" i="8"/>
  <c r="HE16" i="8"/>
  <c r="HF16" i="8"/>
  <c r="HG16" i="8"/>
  <c r="HH16" i="8"/>
  <c r="HI16" i="8"/>
  <c r="HJ16" i="8"/>
  <c r="HK16" i="8"/>
  <c r="HL16" i="8"/>
  <c r="HM16" i="8"/>
  <c r="HN16" i="8"/>
  <c r="HO16" i="8"/>
  <c r="HP16" i="8"/>
  <c r="HQ16" i="8"/>
  <c r="HR16" i="8"/>
  <c r="HS16" i="8"/>
  <c r="HT16" i="8"/>
  <c r="HU16" i="8"/>
  <c r="HV16" i="8"/>
  <c r="HW16" i="8"/>
  <c r="HX16" i="8"/>
  <c r="HY16" i="8"/>
  <c r="HZ16" i="8"/>
  <c r="IA16" i="8"/>
  <c r="IB16" i="8"/>
  <c r="IC16" i="8"/>
  <c r="ID16" i="8"/>
  <c r="IE16" i="8"/>
  <c r="IF16" i="8"/>
  <c r="IG16" i="8"/>
  <c r="IH16" i="8"/>
  <c r="II16" i="8"/>
  <c r="IJ16" i="8"/>
  <c r="IK16" i="8"/>
  <c r="IL16" i="8"/>
  <c r="IM16" i="8"/>
  <c r="IN16" i="8"/>
  <c r="IO16" i="8"/>
  <c r="IP16" i="8"/>
  <c r="IQ16" i="8"/>
  <c r="IR16" i="8"/>
  <c r="IS16" i="8"/>
  <c r="IT16" i="8"/>
  <c r="IU16" i="8"/>
  <c r="IV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CA17" i="8"/>
  <c r="CB17" i="8"/>
  <c r="CC17" i="8"/>
  <c r="CD17" i="8"/>
  <c r="CE17" i="8"/>
  <c r="CF17" i="8"/>
  <c r="CG17" i="8"/>
  <c r="CH17" i="8"/>
  <c r="CI17" i="8"/>
  <c r="CJ17" i="8"/>
  <c r="CK17" i="8"/>
  <c r="CL17" i="8"/>
  <c r="CM17" i="8"/>
  <c r="CN17" i="8"/>
  <c r="CO17" i="8"/>
  <c r="CP17" i="8"/>
  <c r="CQ17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DD17" i="8"/>
  <c r="DE17" i="8"/>
  <c r="DF17" i="8"/>
  <c r="DG17" i="8"/>
  <c r="DH17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U17" i="8"/>
  <c r="DV17" i="8"/>
  <c r="DW17" i="8"/>
  <c r="DX17" i="8"/>
  <c r="DY17" i="8"/>
  <c r="DZ17" i="8"/>
  <c r="EA17" i="8"/>
  <c r="EB17" i="8"/>
  <c r="EC17" i="8"/>
  <c r="ED17" i="8"/>
  <c r="EE17" i="8"/>
  <c r="EF17" i="8"/>
  <c r="EG17" i="8"/>
  <c r="EH17" i="8"/>
  <c r="EI17" i="8"/>
  <c r="EJ17" i="8"/>
  <c r="EK17" i="8"/>
  <c r="EL17" i="8"/>
  <c r="EM17" i="8"/>
  <c r="EN17" i="8"/>
  <c r="EO17" i="8"/>
  <c r="EP17" i="8"/>
  <c r="EQ17" i="8"/>
  <c r="ER17" i="8"/>
  <c r="ES17" i="8"/>
  <c r="ET17" i="8"/>
  <c r="EU17" i="8"/>
  <c r="EV17" i="8"/>
  <c r="EW17" i="8"/>
  <c r="EX17" i="8"/>
  <c r="EY17" i="8"/>
  <c r="EZ17" i="8"/>
  <c r="FA17" i="8"/>
  <c r="FB17" i="8"/>
  <c r="FC17" i="8"/>
  <c r="FD17" i="8"/>
  <c r="FE17" i="8"/>
  <c r="FF17" i="8"/>
  <c r="FG17" i="8"/>
  <c r="FH17" i="8"/>
  <c r="FI17" i="8"/>
  <c r="FJ17" i="8"/>
  <c r="FK17" i="8"/>
  <c r="FL17" i="8"/>
  <c r="FM17" i="8"/>
  <c r="FN17" i="8"/>
  <c r="FO17" i="8"/>
  <c r="FP17" i="8"/>
  <c r="FQ17" i="8"/>
  <c r="FR17" i="8"/>
  <c r="FS17" i="8"/>
  <c r="FT17" i="8"/>
  <c r="FU17" i="8"/>
  <c r="FV17" i="8"/>
  <c r="FW17" i="8"/>
  <c r="FX17" i="8"/>
  <c r="FY17" i="8"/>
  <c r="FZ17" i="8"/>
  <c r="GA17" i="8"/>
  <c r="GB17" i="8"/>
  <c r="GC17" i="8"/>
  <c r="GD17" i="8"/>
  <c r="GE17" i="8"/>
  <c r="GF17" i="8"/>
  <c r="GG17" i="8"/>
  <c r="GH17" i="8"/>
  <c r="GI17" i="8"/>
  <c r="GJ17" i="8"/>
  <c r="GK17" i="8"/>
  <c r="GL17" i="8"/>
  <c r="GM17" i="8"/>
  <c r="GN17" i="8"/>
  <c r="GO17" i="8"/>
  <c r="GP17" i="8"/>
  <c r="GQ17" i="8"/>
  <c r="GR17" i="8"/>
  <c r="GS17" i="8"/>
  <c r="GT17" i="8"/>
  <c r="GU17" i="8"/>
  <c r="GV17" i="8"/>
  <c r="GW17" i="8"/>
  <c r="GX17" i="8"/>
  <c r="GY17" i="8"/>
  <c r="GZ17" i="8"/>
  <c r="HA17" i="8"/>
  <c r="HB17" i="8"/>
  <c r="HC17" i="8"/>
  <c r="HD17" i="8"/>
  <c r="HE17" i="8"/>
  <c r="HF17" i="8"/>
  <c r="HG17" i="8"/>
  <c r="HH17" i="8"/>
  <c r="HI17" i="8"/>
  <c r="HJ17" i="8"/>
  <c r="HK17" i="8"/>
  <c r="HL17" i="8"/>
  <c r="HM17" i="8"/>
  <c r="HN17" i="8"/>
  <c r="HO17" i="8"/>
  <c r="HP17" i="8"/>
  <c r="HQ17" i="8"/>
  <c r="HR17" i="8"/>
  <c r="HS17" i="8"/>
  <c r="HT17" i="8"/>
  <c r="HU17" i="8"/>
  <c r="HV17" i="8"/>
  <c r="HW17" i="8"/>
  <c r="HX17" i="8"/>
  <c r="HY17" i="8"/>
  <c r="HZ17" i="8"/>
  <c r="IA17" i="8"/>
  <c r="IB17" i="8"/>
  <c r="IC17" i="8"/>
  <c r="ID17" i="8"/>
  <c r="IE17" i="8"/>
  <c r="IF17" i="8"/>
  <c r="IG17" i="8"/>
  <c r="IH17" i="8"/>
  <c r="II17" i="8"/>
  <c r="IJ17" i="8"/>
  <c r="IK17" i="8"/>
  <c r="IL17" i="8"/>
  <c r="IM17" i="8"/>
  <c r="IN17" i="8"/>
  <c r="IO17" i="8"/>
  <c r="IP17" i="8"/>
  <c r="IQ17" i="8"/>
  <c r="IR17" i="8"/>
  <c r="IS17" i="8"/>
  <c r="IT17" i="8"/>
  <c r="IU17" i="8"/>
  <c r="IV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HV18" i="8"/>
  <c r="HW18" i="8"/>
  <c r="HX18" i="8"/>
  <c r="HY18" i="8"/>
  <c r="HZ18" i="8"/>
  <c r="IA18" i="8"/>
  <c r="IB18" i="8"/>
  <c r="IC18" i="8"/>
  <c r="ID18" i="8"/>
  <c r="IE18" i="8"/>
  <c r="IF18" i="8"/>
  <c r="IG18" i="8"/>
  <c r="IH18" i="8"/>
  <c r="II18" i="8"/>
  <c r="IJ18" i="8"/>
  <c r="IK18" i="8"/>
  <c r="IL18" i="8"/>
  <c r="IM18" i="8"/>
  <c r="IN18" i="8"/>
  <c r="IO18" i="8"/>
  <c r="IP18" i="8"/>
  <c r="IQ18" i="8"/>
  <c r="IR18" i="8"/>
  <c r="IS18" i="8"/>
  <c r="IT18" i="8"/>
  <c r="IU18" i="8"/>
  <c r="IV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CA19" i="8"/>
  <c r="CB19" i="8"/>
  <c r="CC19" i="8"/>
  <c r="CD19" i="8"/>
  <c r="CE19" i="8"/>
  <c r="CF19" i="8"/>
  <c r="CG19" i="8"/>
  <c r="CH19" i="8"/>
  <c r="CI19" i="8"/>
  <c r="CJ19" i="8"/>
  <c r="CK19" i="8"/>
  <c r="CL19" i="8"/>
  <c r="CM19" i="8"/>
  <c r="CN19" i="8"/>
  <c r="CO19" i="8"/>
  <c r="CP19" i="8"/>
  <c r="CQ19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DD19" i="8"/>
  <c r="DE19" i="8"/>
  <c r="DF19" i="8"/>
  <c r="DG19" i="8"/>
  <c r="DH19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U19" i="8"/>
  <c r="DV19" i="8"/>
  <c r="DW19" i="8"/>
  <c r="DX19" i="8"/>
  <c r="DY19" i="8"/>
  <c r="DZ19" i="8"/>
  <c r="EA19" i="8"/>
  <c r="EB19" i="8"/>
  <c r="EC19" i="8"/>
  <c r="ED19" i="8"/>
  <c r="EE19" i="8"/>
  <c r="EF19" i="8"/>
  <c r="EG19" i="8"/>
  <c r="EH19" i="8"/>
  <c r="EI19" i="8"/>
  <c r="EJ19" i="8"/>
  <c r="EK19" i="8"/>
  <c r="EL19" i="8"/>
  <c r="EM19" i="8"/>
  <c r="EN19" i="8"/>
  <c r="EO19" i="8"/>
  <c r="EP19" i="8"/>
  <c r="EQ19" i="8"/>
  <c r="ER19" i="8"/>
  <c r="ES19" i="8"/>
  <c r="ET19" i="8"/>
  <c r="EU19" i="8"/>
  <c r="EV19" i="8"/>
  <c r="EW19" i="8"/>
  <c r="EX19" i="8"/>
  <c r="EY19" i="8"/>
  <c r="EZ19" i="8"/>
  <c r="FA19" i="8"/>
  <c r="FB19" i="8"/>
  <c r="FC19" i="8"/>
  <c r="FD19" i="8"/>
  <c r="FE19" i="8"/>
  <c r="FF19" i="8"/>
  <c r="FG19" i="8"/>
  <c r="FH19" i="8"/>
  <c r="FI19" i="8"/>
  <c r="FJ19" i="8"/>
  <c r="FK19" i="8"/>
  <c r="FL19" i="8"/>
  <c r="FM19" i="8"/>
  <c r="FN19" i="8"/>
  <c r="FO19" i="8"/>
  <c r="FP19" i="8"/>
  <c r="FQ19" i="8"/>
  <c r="FR19" i="8"/>
  <c r="FS19" i="8"/>
  <c r="FT19" i="8"/>
  <c r="FU19" i="8"/>
  <c r="FV19" i="8"/>
  <c r="FW19" i="8"/>
  <c r="FX19" i="8"/>
  <c r="FY19" i="8"/>
  <c r="FZ19" i="8"/>
  <c r="GA19" i="8"/>
  <c r="GB19" i="8"/>
  <c r="GC19" i="8"/>
  <c r="GD19" i="8"/>
  <c r="GE19" i="8"/>
  <c r="GF19" i="8"/>
  <c r="GG19" i="8"/>
  <c r="GH19" i="8"/>
  <c r="GI19" i="8"/>
  <c r="GJ19" i="8"/>
  <c r="GK19" i="8"/>
  <c r="GL19" i="8"/>
  <c r="GM19" i="8"/>
  <c r="GN19" i="8"/>
  <c r="GO19" i="8"/>
  <c r="GP19" i="8"/>
  <c r="GQ19" i="8"/>
  <c r="GR19" i="8"/>
  <c r="GS19" i="8"/>
  <c r="GT19" i="8"/>
  <c r="GU19" i="8"/>
  <c r="GV19" i="8"/>
  <c r="GW19" i="8"/>
  <c r="GX19" i="8"/>
  <c r="GY19" i="8"/>
  <c r="GZ19" i="8"/>
  <c r="HA19" i="8"/>
  <c r="HB19" i="8"/>
  <c r="HC19" i="8"/>
  <c r="HD19" i="8"/>
  <c r="HE19" i="8"/>
  <c r="HF19" i="8"/>
  <c r="HG19" i="8"/>
  <c r="HH19" i="8"/>
  <c r="HI19" i="8"/>
  <c r="HJ19" i="8"/>
  <c r="HK19" i="8"/>
  <c r="HL19" i="8"/>
  <c r="HM19" i="8"/>
  <c r="HN19" i="8"/>
  <c r="HO19" i="8"/>
  <c r="HP19" i="8"/>
  <c r="HQ19" i="8"/>
  <c r="HR19" i="8"/>
  <c r="HS19" i="8"/>
  <c r="HT19" i="8"/>
  <c r="HU19" i="8"/>
  <c r="HV19" i="8"/>
  <c r="HW19" i="8"/>
  <c r="HX19" i="8"/>
  <c r="HY19" i="8"/>
  <c r="HZ19" i="8"/>
  <c r="IA19" i="8"/>
  <c r="IB19" i="8"/>
  <c r="IC19" i="8"/>
  <c r="ID19" i="8"/>
  <c r="IE19" i="8"/>
  <c r="IF19" i="8"/>
  <c r="IG19" i="8"/>
  <c r="IH19" i="8"/>
  <c r="II19" i="8"/>
  <c r="IJ19" i="8"/>
  <c r="IK19" i="8"/>
  <c r="IL19" i="8"/>
  <c r="IM19" i="8"/>
  <c r="IN19" i="8"/>
  <c r="IO19" i="8"/>
  <c r="IP19" i="8"/>
  <c r="IQ19" i="8"/>
  <c r="IR19" i="8"/>
  <c r="IS19" i="8"/>
  <c r="IT19" i="8"/>
  <c r="IU19" i="8"/>
  <c r="IV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CA20" i="8"/>
  <c r="CB20" i="8"/>
  <c r="CC20" i="8"/>
  <c r="CD20" i="8"/>
  <c r="CE20" i="8"/>
  <c r="CF20" i="8"/>
  <c r="CG20" i="8"/>
  <c r="CH20" i="8"/>
  <c r="CI20" i="8"/>
  <c r="CJ20" i="8"/>
  <c r="CK20" i="8"/>
  <c r="CL20" i="8"/>
  <c r="CM20" i="8"/>
  <c r="CN20" i="8"/>
  <c r="CO20" i="8"/>
  <c r="CP20" i="8"/>
  <c r="CQ20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DD20" i="8"/>
  <c r="DE20" i="8"/>
  <c r="DF20" i="8"/>
  <c r="DG20" i="8"/>
  <c r="DH20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U20" i="8"/>
  <c r="DV20" i="8"/>
  <c r="DW20" i="8"/>
  <c r="DX20" i="8"/>
  <c r="DY20" i="8"/>
  <c r="DZ20" i="8"/>
  <c r="EA20" i="8"/>
  <c r="EB20" i="8"/>
  <c r="EC20" i="8"/>
  <c r="ED20" i="8"/>
  <c r="EE20" i="8"/>
  <c r="EF20" i="8"/>
  <c r="EG20" i="8"/>
  <c r="EH20" i="8"/>
  <c r="EI20" i="8"/>
  <c r="EJ20" i="8"/>
  <c r="EK20" i="8"/>
  <c r="EL20" i="8"/>
  <c r="EM20" i="8"/>
  <c r="EN20" i="8"/>
  <c r="EO20" i="8"/>
  <c r="EP20" i="8"/>
  <c r="EQ20" i="8"/>
  <c r="ER20" i="8"/>
  <c r="ES20" i="8"/>
  <c r="ET20" i="8"/>
  <c r="EU20" i="8"/>
  <c r="EV20" i="8"/>
  <c r="EW20" i="8"/>
  <c r="EX20" i="8"/>
  <c r="EY20" i="8"/>
  <c r="EZ20" i="8"/>
  <c r="FA20" i="8"/>
  <c r="FB20" i="8"/>
  <c r="FC20" i="8"/>
  <c r="FD20" i="8"/>
  <c r="FE20" i="8"/>
  <c r="FF20" i="8"/>
  <c r="FG20" i="8"/>
  <c r="FH20" i="8"/>
  <c r="FI20" i="8"/>
  <c r="FJ20" i="8"/>
  <c r="FK20" i="8"/>
  <c r="FL20" i="8"/>
  <c r="FM20" i="8"/>
  <c r="FN20" i="8"/>
  <c r="FO20" i="8"/>
  <c r="FP20" i="8"/>
  <c r="FQ20" i="8"/>
  <c r="FR20" i="8"/>
  <c r="FS20" i="8"/>
  <c r="FT20" i="8"/>
  <c r="FU20" i="8"/>
  <c r="FV20" i="8"/>
  <c r="FW20" i="8"/>
  <c r="FX20" i="8"/>
  <c r="FY20" i="8"/>
  <c r="FZ20" i="8"/>
  <c r="GA20" i="8"/>
  <c r="GB20" i="8"/>
  <c r="GC20" i="8"/>
  <c r="GD20" i="8"/>
  <c r="GE20" i="8"/>
  <c r="GF20" i="8"/>
  <c r="GG20" i="8"/>
  <c r="GH20" i="8"/>
  <c r="GI20" i="8"/>
  <c r="GJ20" i="8"/>
  <c r="GK20" i="8"/>
  <c r="GL20" i="8"/>
  <c r="GM20" i="8"/>
  <c r="GN20" i="8"/>
  <c r="GO20" i="8"/>
  <c r="GP20" i="8"/>
  <c r="GQ20" i="8"/>
  <c r="GR20" i="8"/>
  <c r="GS20" i="8"/>
  <c r="GT20" i="8"/>
  <c r="GU20" i="8"/>
  <c r="GV20" i="8"/>
  <c r="GW20" i="8"/>
  <c r="GX20" i="8"/>
  <c r="GY20" i="8"/>
  <c r="GZ20" i="8"/>
  <c r="HA20" i="8"/>
  <c r="HB20" i="8"/>
  <c r="HC20" i="8"/>
  <c r="HD20" i="8"/>
  <c r="HE20" i="8"/>
  <c r="HF20" i="8"/>
  <c r="HG20" i="8"/>
  <c r="HH20" i="8"/>
  <c r="HI20" i="8"/>
  <c r="HJ20" i="8"/>
  <c r="HK20" i="8"/>
  <c r="HL20" i="8"/>
  <c r="HM20" i="8"/>
  <c r="HN20" i="8"/>
  <c r="HO20" i="8"/>
  <c r="HP20" i="8"/>
  <c r="HQ20" i="8"/>
  <c r="HR20" i="8"/>
  <c r="HS20" i="8"/>
  <c r="HT20" i="8"/>
  <c r="HU20" i="8"/>
  <c r="HV20" i="8"/>
  <c r="HW20" i="8"/>
  <c r="HX20" i="8"/>
  <c r="HY20" i="8"/>
  <c r="HZ20" i="8"/>
  <c r="IA20" i="8"/>
  <c r="IB20" i="8"/>
  <c r="IC20" i="8"/>
  <c r="ID20" i="8"/>
  <c r="IE20" i="8"/>
  <c r="IF20" i="8"/>
  <c r="IG20" i="8"/>
  <c r="IH20" i="8"/>
  <c r="II20" i="8"/>
  <c r="IJ20" i="8"/>
  <c r="IK20" i="8"/>
  <c r="IL20" i="8"/>
  <c r="IM20" i="8"/>
  <c r="IN20" i="8"/>
  <c r="IO20" i="8"/>
  <c r="IP20" i="8"/>
  <c r="IQ20" i="8"/>
  <c r="IR20" i="8"/>
  <c r="IS20" i="8"/>
  <c r="IT20" i="8"/>
  <c r="IU20" i="8"/>
  <c r="IV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CA21" i="8"/>
  <c r="CB21" i="8"/>
  <c r="CC21" i="8"/>
  <c r="CD21" i="8"/>
  <c r="CE21" i="8"/>
  <c r="CF21" i="8"/>
  <c r="CG21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F21" i="8"/>
  <c r="DG21" i="8"/>
  <c r="DH21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U21" i="8"/>
  <c r="DV21" i="8"/>
  <c r="DW21" i="8"/>
  <c r="DX21" i="8"/>
  <c r="DY21" i="8"/>
  <c r="DZ21" i="8"/>
  <c r="EA21" i="8"/>
  <c r="EB21" i="8"/>
  <c r="EC21" i="8"/>
  <c r="ED21" i="8"/>
  <c r="EE21" i="8"/>
  <c r="EF21" i="8"/>
  <c r="EG21" i="8"/>
  <c r="EH21" i="8"/>
  <c r="EI21" i="8"/>
  <c r="EJ21" i="8"/>
  <c r="EK21" i="8"/>
  <c r="EL21" i="8"/>
  <c r="EM21" i="8"/>
  <c r="EN21" i="8"/>
  <c r="EO21" i="8"/>
  <c r="EP21" i="8"/>
  <c r="EQ21" i="8"/>
  <c r="ER21" i="8"/>
  <c r="ES21" i="8"/>
  <c r="ET21" i="8"/>
  <c r="EU21" i="8"/>
  <c r="EV21" i="8"/>
  <c r="EW21" i="8"/>
  <c r="EX21" i="8"/>
  <c r="EY21" i="8"/>
  <c r="EZ21" i="8"/>
  <c r="FA21" i="8"/>
  <c r="FB21" i="8"/>
  <c r="FC21" i="8"/>
  <c r="FD21" i="8"/>
  <c r="FE21" i="8"/>
  <c r="FF21" i="8"/>
  <c r="FG21" i="8"/>
  <c r="FH21" i="8"/>
  <c r="FI21" i="8"/>
  <c r="FJ21" i="8"/>
  <c r="FK21" i="8"/>
  <c r="FL21" i="8"/>
  <c r="FM21" i="8"/>
  <c r="FN21" i="8"/>
  <c r="FO21" i="8"/>
  <c r="FP21" i="8"/>
  <c r="FQ21" i="8"/>
  <c r="FR21" i="8"/>
  <c r="FS21" i="8"/>
  <c r="FT21" i="8"/>
  <c r="FU21" i="8"/>
  <c r="FV21" i="8"/>
  <c r="FW21" i="8"/>
  <c r="FX21" i="8"/>
  <c r="FY21" i="8"/>
  <c r="FZ21" i="8"/>
  <c r="GA21" i="8"/>
  <c r="GB21" i="8"/>
  <c r="GC21" i="8"/>
  <c r="GD21" i="8"/>
  <c r="GE21" i="8"/>
  <c r="GF21" i="8"/>
  <c r="GG21" i="8"/>
  <c r="GH21" i="8"/>
  <c r="GI21" i="8"/>
  <c r="GJ21" i="8"/>
  <c r="GK21" i="8"/>
  <c r="GL21" i="8"/>
  <c r="GM21" i="8"/>
  <c r="GN21" i="8"/>
  <c r="GO21" i="8"/>
  <c r="GP21" i="8"/>
  <c r="GQ21" i="8"/>
  <c r="GR21" i="8"/>
  <c r="GS21" i="8"/>
  <c r="GT21" i="8"/>
  <c r="GU21" i="8"/>
  <c r="GV21" i="8"/>
  <c r="GW21" i="8"/>
  <c r="GX21" i="8"/>
  <c r="GY21" i="8"/>
  <c r="GZ21" i="8"/>
  <c r="HA21" i="8"/>
  <c r="HB21" i="8"/>
  <c r="HC21" i="8"/>
  <c r="HD21" i="8"/>
  <c r="HE21" i="8"/>
  <c r="HF21" i="8"/>
  <c r="HG21" i="8"/>
  <c r="HH21" i="8"/>
  <c r="HI21" i="8"/>
  <c r="HJ21" i="8"/>
  <c r="HK21" i="8"/>
  <c r="HL21" i="8"/>
  <c r="HM21" i="8"/>
  <c r="HN21" i="8"/>
  <c r="HO21" i="8"/>
  <c r="HP21" i="8"/>
  <c r="HQ21" i="8"/>
  <c r="HR21" i="8"/>
  <c r="HS21" i="8"/>
  <c r="HT21" i="8"/>
  <c r="HU21" i="8"/>
  <c r="HV21" i="8"/>
  <c r="HW21" i="8"/>
  <c r="HX21" i="8"/>
  <c r="HY21" i="8"/>
  <c r="HZ21" i="8"/>
  <c r="IA21" i="8"/>
  <c r="IB21" i="8"/>
  <c r="IC21" i="8"/>
  <c r="ID21" i="8"/>
  <c r="IE21" i="8"/>
  <c r="IF21" i="8"/>
  <c r="IG21" i="8"/>
  <c r="IH21" i="8"/>
  <c r="II21" i="8"/>
  <c r="IJ21" i="8"/>
  <c r="IK21" i="8"/>
  <c r="IL21" i="8"/>
  <c r="IM21" i="8"/>
  <c r="IN21" i="8"/>
  <c r="IO21" i="8"/>
  <c r="IP21" i="8"/>
  <c r="IQ21" i="8"/>
  <c r="IR21" i="8"/>
  <c r="IS21" i="8"/>
  <c r="IT21" i="8"/>
  <c r="IU21" i="8"/>
  <c r="IV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U22" i="8"/>
  <c r="DV22" i="8"/>
  <c r="DW22" i="8"/>
  <c r="DX22" i="8"/>
  <c r="DY22" i="8"/>
  <c r="DZ22" i="8"/>
  <c r="EA22" i="8"/>
  <c r="EB22" i="8"/>
  <c r="EC22" i="8"/>
  <c r="ED22" i="8"/>
  <c r="EE22" i="8"/>
  <c r="EF22" i="8"/>
  <c r="EG22" i="8"/>
  <c r="EH22" i="8"/>
  <c r="EI22" i="8"/>
  <c r="EJ22" i="8"/>
  <c r="EK22" i="8"/>
  <c r="EL22" i="8"/>
  <c r="EM22" i="8"/>
  <c r="EN22" i="8"/>
  <c r="EO22" i="8"/>
  <c r="EP22" i="8"/>
  <c r="EQ22" i="8"/>
  <c r="ER22" i="8"/>
  <c r="ES22" i="8"/>
  <c r="ET22" i="8"/>
  <c r="EU22" i="8"/>
  <c r="EV22" i="8"/>
  <c r="EW22" i="8"/>
  <c r="EX22" i="8"/>
  <c r="EY22" i="8"/>
  <c r="EZ22" i="8"/>
  <c r="FA22" i="8"/>
  <c r="FB22" i="8"/>
  <c r="FC22" i="8"/>
  <c r="FD22" i="8"/>
  <c r="FE22" i="8"/>
  <c r="FF22" i="8"/>
  <c r="FG22" i="8"/>
  <c r="FH22" i="8"/>
  <c r="FI22" i="8"/>
  <c r="FJ22" i="8"/>
  <c r="FK22" i="8"/>
  <c r="FL22" i="8"/>
  <c r="FM22" i="8"/>
  <c r="FN22" i="8"/>
  <c r="FO22" i="8"/>
  <c r="FP22" i="8"/>
  <c r="FQ22" i="8"/>
  <c r="FR22" i="8"/>
  <c r="FS22" i="8"/>
  <c r="FT22" i="8"/>
  <c r="FU22" i="8"/>
  <c r="FV22" i="8"/>
  <c r="FW22" i="8"/>
  <c r="FX22" i="8"/>
  <c r="FY22" i="8"/>
  <c r="FZ22" i="8"/>
  <c r="GA22" i="8"/>
  <c r="GB22" i="8"/>
  <c r="GC22" i="8"/>
  <c r="GD22" i="8"/>
  <c r="GE22" i="8"/>
  <c r="GF22" i="8"/>
  <c r="GG22" i="8"/>
  <c r="GH22" i="8"/>
  <c r="GI22" i="8"/>
  <c r="GJ22" i="8"/>
  <c r="GK22" i="8"/>
  <c r="GL22" i="8"/>
  <c r="GM22" i="8"/>
  <c r="GN22" i="8"/>
  <c r="GO22" i="8"/>
  <c r="GP22" i="8"/>
  <c r="GQ22" i="8"/>
  <c r="GR22" i="8"/>
  <c r="GS22" i="8"/>
  <c r="GT22" i="8"/>
  <c r="GU22" i="8"/>
  <c r="GV22" i="8"/>
  <c r="GW22" i="8"/>
  <c r="GX22" i="8"/>
  <c r="GY22" i="8"/>
  <c r="GZ22" i="8"/>
  <c r="HA22" i="8"/>
  <c r="HB22" i="8"/>
  <c r="HC22" i="8"/>
  <c r="HD22" i="8"/>
  <c r="HE22" i="8"/>
  <c r="HF22" i="8"/>
  <c r="HG22" i="8"/>
  <c r="HH22" i="8"/>
  <c r="HI22" i="8"/>
  <c r="HJ22" i="8"/>
  <c r="HK22" i="8"/>
  <c r="HL22" i="8"/>
  <c r="HM22" i="8"/>
  <c r="HN22" i="8"/>
  <c r="HO22" i="8"/>
  <c r="HP22" i="8"/>
  <c r="HQ22" i="8"/>
  <c r="HR22" i="8"/>
  <c r="HS22" i="8"/>
  <c r="HT22" i="8"/>
  <c r="HU22" i="8"/>
  <c r="HV22" i="8"/>
  <c r="HW22" i="8"/>
  <c r="HX22" i="8"/>
  <c r="HY22" i="8"/>
  <c r="HZ22" i="8"/>
  <c r="IA22" i="8"/>
  <c r="IB22" i="8"/>
  <c r="IC22" i="8"/>
  <c r="ID22" i="8"/>
  <c r="IE22" i="8"/>
  <c r="IF22" i="8"/>
  <c r="IG22" i="8"/>
  <c r="IH22" i="8"/>
  <c r="II22" i="8"/>
  <c r="IJ22" i="8"/>
  <c r="IK22" i="8"/>
  <c r="IL22" i="8"/>
  <c r="IM22" i="8"/>
  <c r="IN22" i="8"/>
  <c r="IO22" i="8"/>
  <c r="IP22" i="8"/>
  <c r="IQ22" i="8"/>
  <c r="IR22" i="8"/>
  <c r="IS22" i="8"/>
  <c r="IT22" i="8"/>
  <c r="IU22" i="8"/>
  <c r="IV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HV23" i="8"/>
  <c r="HW23" i="8"/>
  <c r="HX23" i="8"/>
  <c r="HY23" i="8"/>
  <c r="HZ23" i="8"/>
  <c r="IA23" i="8"/>
  <c r="IB23" i="8"/>
  <c r="IC23" i="8"/>
  <c r="ID23" i="8"/>
  <c r="IE23" i="8"/>
  <c r="IF23" i="8"/>
  <c r="IG23" i="8"/>
  <c r="IH23" i="8"/>
  <c r="II23" i="8"/>
  <c r="IJ23" i="8"/>
  <c r="IK23" i="8"/>
  <c r="IL23" i="8"/>
  <c r="IM23" i="8"/>
  <c r="IN23" i="8"/>
  <c r="IO23" i="8"/>
  <c r="IP23" i="8"/>
  <c r="IQ23" i="8"/>
  <c r="IR23" i="8"/>
  <c r="IS23" i="8"/>
  <c r="IT23" i="8"/>
  <c r="IU23" i="8"/>
  <c r="IV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CA24" i="8"/>
  <c r="CB24" i="8"/>
  <c r="CC24" i="8"/>
  <c r="CD24" i="8"/>
  <c r="CE24" i="8"/>
  <c r="CF24" i="8"/>
  <c r="CG24" i="8"/>
  <c r="CH24" i="8"/>
  <c r="CI24" i="8"/>
  <c r="CJ24" i="8"/>
  <c r="CK24" i="8"/>
  <c r="CL24" i="8"/>
  <c r="CM24" i="8"/>
  <c r="CN24" i="8"/>
  <c r="CO24" i="8"/>
  <c r="CP24" i="8"/>
  <c r="CQ24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DD24" i="8"/>
  <c r="DE24" i="8"/>
  <c r="DF24" i="8"/>
  <c r="DG24" i="8"/>
  <c r="DH24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U24" i="8"/>
  <c r="DV24" i="8"/>
  <c r="DW24" i="8"/>
  <c r="DX24" i="8"/>
  <c r="DY24" i="8"/>
  <c r="DZ24" i="8"/>
  <c r="EA24" i="8"/>
  <c r="EB24" i="8"/>
  <c r="EC24" i="8"/>
  <c r="ED24" i="8"/>
  <c r="EE24" i="8"/>
  <c r="EF24" i="8"/>
  <c r="EG24" i="8"/>
  <c r="EH24" i="8"/>
  <c r="EI24" i="8"/>
  <c r="EJ24" i="8"/>
  <c r="EK24" i="8"/>
  <c r="EL24" i="8"/>
  <c r="EM24" i="8"/>
  <c r="EN24" i="8"/>
  <c r="EO24" i="8"/>
  <c r="EP24" i="8"/>
  <c r="EQ24" i="8"/>
  <c r="ER24" i="8"/>
  <c r="ES24" i="8"/>
  <c r="ET24" i="8"/>
  <c r="EU24" i="8"/>
  <c r="EV24" i="8"/>
  <c r="EW24" i="8"/>
  <c r="EX24" i="8"/>
  <c r="EY24" i="8"/>
  <c r="EZ24" i="8"/>
  <c r="FA24" i="8"/>
  <c r="FB24" i="8"/>
  <c r="FC24" i="8"/>
  <c r="FD24" i="8"/>
  <c r="FE24" i="8"/>
  <c r="FF24" i="8"/>
  <c r="FG24" i="8"/>
  <c r="FH24" i="8"/>
  <c r="FI24" i="8"/>
  <c r="FJ24" i="8"/>
  <c r="FK24" i="8"/>
  <c r="FL24" i="8"/>
  <c r="FM24" i="8"/>
  <c r="FN24" i="8"/>
  <c r="FO24" i="8"/>
  <c r="FP24" i="8"/>
  <c r="FQ24" i="8"/>
  <c r="FR24" i="8"/>
  <c r="FS24" i="8"/>
  <c r="FT24" i="8"/>
  <c r="FU24" i="8"/>
  <c r="FV24" i="8"/>
  <c r="FW24" i="8"/>
  <c r="FX24" i="8"/>
  <c r="FY24" i="8"/>
  <c r="FZ24" i="8"/>
  <c r="GA24" i="8"/>
  <c r="GB24" i="8"/>
  <c r="GC24" i="8"/>
  <c r="GD24" i="8"/>
  <c r="GE24" i="8"/>
  <c r="GF24" i="8"/>
  <c r="GG24" i="8"/>
  <c r="GH24" i="8"/>
  <c r="GI24" i="8"/>
  <c r="GJ24" i="8"/>
  <c r="GK24" i="8"/>
  <c r="GL24" i="8"/>
  <c r="GM24" i="8"/>
  <c r="GN24" i="8"/>
  <c r="GO24" i="8"/>
  <c r="GP24" i="8"/>
  <c r="GQ24" i="8"/>
  <c r="GR24" i="8"/>
  <c r="GS24" i="8"/>
  <c r="GT24" i="8"/>
  <c r="GU24" i="8"/>
  <c r="GV24" i="8"/>
  <c r="GW24" i="8"/>
  <c r="GX24" i="8"/>
  <c r="GY24" i="8"/>
  <c r="GZ24" i="8"/>
  <c r="HA24" i="8"/>
  <c r="HB24" i="8"/>
  <c r="HC24" i="8"/>
  <c r="HD24" i="8"/>
  <c r="HE24" i="8"/>
  <c r="HF24" i="8"/>
  <c r="HG24" i="8"/>
  <c r="HH24" i="8"/>
  <c r="HI24" i="8"/>
  <c r="HJ24" i="8"/>
  <c r="HK24" i="8"/>
  <c r="HL24" i="8"/>
  <c r="HM24" i="8"/>
  <c r="HN24" i="8"/>
  <c r="HO24" i="8"/>
  <c r="HP24" i="8"/>
  <c r="HQ24" i="8"/>
  <c r="HR24" i="8"/>
  <c r="HS24" i="8"/>
  <c r="HT24" i="8"/>
  <c r="HU24" i="8"/>
  <c r="HV24" i="8"/>
  <c r="HW24" i="8"/>
  <c r="HX24" i="8"/>
  <c r="HY24" i="8"/>
  <c r="HZ24" i="8"/>
  <c r="IA24" i="8"/>
  <c r="IB24" i="8"/>
  <c r="IC24" i="8"/>
  <c r="ID24" i="8"/>
  <c r="IE24" i="8"/>
  <c r="IF24" i="8"/>
  <c r="IG24" i="8"/>
  <c r="IH24" i="8"/>
  <c r="II24" i="8"/>
  <c r="IJ24" i="8"/>
  <c r="IK24" i="8"/>
  <c r="IL24" i="8"/>
  <c r="IM24" i="8"/>
  <c r="IN24" i="8"/>
  <c r="IO24" i="8"/>
  <c r="IP24" i="8"/>
  <c r="IQ24" i="8"/>
  <c r="IR24" i="8"/>
  <c r="IS24" i="8"/>
  <c r="IT24" i="8"/>
  <c r="IU24" i="8"/>
  <c r="IV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CA25" i="8"/>
  <c r="CB25" i="8"/>
  <c r="CC25" i="8"/>
  <c r="CD25" i="8"/>
  <c r="CE25" i="8"/>
  <c r="CF25" i="8"/>
  <c r="CG25" i="8"/>
  <c r="CH25" i="8"/>
  <c r="CI25" i="8"/>
  <c r="CJ25" i="8"/>
  <c r="CK25" i="8"/>
  <c r="CL25" i="8"/>
  <c r="CM25" i="8"/>
  <c r="CN25" i="8"/>
  <c r="CO25" i="8"/>
  <c r="CP25" i="8"/>
  <c r="CQ25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DD25" i="8"/>
  <c r="DE25" i="8"/>
  <c r="DF25" i="8"/>
  <c r="DG25" i="8"/>
  <c r="DH25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U25" i="8"/>
  <c r="DV25" i="8"/>
  <c r="DW25" i="8"/>
  <c r="DX25" i="8"/>
  <c r="DY25" i="8"/>
  <c r="DZ25" i="8"/>
  <c r="EA25" i="8"/>
  <c r="EB25" i="8"/>
  <c r="EC25" i="8"/>
  <c r="ED25" i="8"/>
  <c r="EE25" i="8"/>
  <c r="EF25" i="8"/>
  <c r="EG25" i="8"/>
  <c r="EH25" i="8"/>
  <c r="EI25" i="8"/>
  <c r="EJ25" i="8"/>
  <c r="EK25" i="8"/>
  <c r="EL25" i="8"/>
  <c r="EM25" i="8"/>
  <c r="EN25" i="8"/>
  <c r="EO25" i="8"/>
  <c r="EP25" i="8"/>
  <c r="EQ25" i="8"/>
  <c r="ER25" i="8"/>
  <c r="ES25" i="8"/>
  <c r="ET25" i="8"/>
  <c r="EU25" i="8"/>
  <c r="EV25" i="8"/>
  <c r="EW25" i="8"/>
  <c r="EX25" i="8"/>
  <c r="EY25" i="8"/>
  <c r="EZ25" i="8"/>
  <c r="FA25" i="8"/>
  <c r="FB25" i="8"/>
  <c r="FC25" i="8"/>
  <c r="FD25" i="8"/>
  <c r="FE25" i="8"/>
  <c r="FF25" i="8"/>
  <c r="FG25" i="8"/>
  <c r="FH25" i="8"/>
  <c r="FI25" i="8"/>
  <c r="FJ25" i="8"/>
  <c r="FK25" i="8"/>
  <c r="FL25" i="8"/>
  <c r="FM25" i="8"/>
  <c r="FN25" i="8"/>
  <c r="FO25" i="8"/>
  <c r="FP25" i="8"/>
  <c r="FQ25" i="8"/>
  <c r="FR25" i="8"/>
  <c r="FS25" i="8"/>
  <c r="FT25" i="8"/>
  <c r="FU25" i="8"/>
  <c r="FV25" i="8"/>
  <c r="FW25" i="8"/>
  <c r="FX25" i="8"/>
  <c r="FY25" i="8"/>
  <c r="FZ25" i="8"/>
  <c r="GA25" i="8"/>
  <c r="GB25" i="8"/>
  <c r="GC25" i="8"/>
  <c r="GD25" i="8"/>
  <c r="GE25" i="8"/>
  <c r="GF25" i="8"/>
  <c r="GG25" i="8"/>
  <c r="GH25" i="8"/>
  <c r="GI25" i="8"/>
  <c r="GJ25" i="8"/>
  <c r="GK25" i="8"/>
  <c r="GL25" i="8"/>
  <c r="GM25" i="8"/>
  <c r="GN25" i="8"/>
  <c r="GO25" i="8"/>
  <c r="GP25" i="8"/>
  <c r="GQ25" i="8"/>
  <c r="GR25" i="8"/>
  <c r="GS25" i="8"/>
  <c r="GT25" i="8"/>
  <c r="GU25" i="8"/>
  <c r="GV25" i="8"/>
  <c r="GW25" i="8"/>
  <c r="GX25" i="8"/>
  <c r="GY25" i="8"/>
  <c r="GZ25" i="8"/>
  <c r="HA25" i="8"/>
  <c r="HB25" i="8"/>
  <c r="HC25" i="8"/>
  <c r="HD25" i="8"/>
  <c r="HE25" i="8"/>
  <c r="HF25" i="8"/>
  <c r="HG25" i="8"/>
  <c r="HH25" i="8"/>
  <c r="HI25" i="8"/>
  <c r="HJ25" i="8"/>
  <c r="HK25" i="8"/>
  <c r="HL25" i="8"/>
  <c r="HM25" i="8"/>
  <c r="HN25" i="8"/>
  <c r="HO25" i="8"/>
  <c r="HP25" i="8"/>
  <c r="HQ25" i="8"/>
  <c r="HR25" i="8"/>
  <c r="HS25" i="8"/>
  <c r="HT25" i="8"/>
  <c r="HU25" i="8"/>
  <c r="HV25" i="8"/>
  <c r="HW25" i="8"/>
  <c r="HX25" i="8"/>
  <c r="HY25" i="8"/>
  <c r="HZ25" i="8"/>
  <c r="IA25" i="8"/>
  <c r="IB25" i="8"/>
  <c r="IC25" i="8"/>
  <c r="ID25" i="8"/>
  <c r="IE25" i="8"/>
  <c r="IF25" i="8"/>
  <c r="IG25" i="8"/>
  <c r="IH25" i="8"/>
  <c r="II25" i="8"/>
  <c r="IJ25" i="8"/>
  <c r="IK25" i="8"/>
  <c r="IL25" i="8"/>
  <c r="IM25" i="8"/>
  <c r="IN25" i="8"/>
  <c r="IO25" i="8"/>
  <c r="IP25" i="8"/>
  <c r="IQ25" i="8"/>
  <c r="IR25" i="8"/>
  <c r="IS25" i="8"/>
  <c r="IT25" i="8"/>
  <c r="IU25" i="8"/>
  <c r="IV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CG26" i="8"/>
  <c r="CH26" i="8"/>
  <c r="CI26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HV26" i="8"/>
  <c r="HW26" i="8"/>
  <c r="HX26" i="8"/>
  <c r="HY26" i="8"/>
  <c r="HZ26" i="8"/>
  <c r="IA26" i="8"/>
  <c r="IB26" i="8"/>
  <c r="IC26" i="8"/>
  <c r="ID26" i="8"/>
  <c r="IE26" i="8"/>
  <c r="IF26" i="8"/>
  <c r="IG26" i="8"/>
  <c r="IH26" i="8"/>
  <c r="II26" i="8"/>
  <c r="IJ26" i="8"/>
  <c r="IK26" i="8"/>
  <c r="IL26" i="8"/>
  <c r="IM26" i="8"/>
  <c r="IN26" i="8"/>
  <c r="IO26" i="8"/>
  <c r="IP26" i="8"/>
  <c r="IQ26" i="8"/>
  <c r="IR26" i="8"/>
  <c r="IS26" i="8"/>
  <c r="IT26" i="8"/>
  <c r="IU26" i="8"/>
  <c r="IV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CA27" i="8"/>
  <c r="CB27" i="8"/>
  <c r="CC27" i="8"/>
  <c r="CD27" i="8"/>
  <c r="CE27" i="8"/>
  <c r="CF27" i="8"/>
  <c r="CG27" i="8"/>
  <c r="CH27" i="8"/>
  <c r="CI27" i="8"/>
  <c r="CJ27" i="8"/>
  <c r="CK27" i="8"/>
  <c r="CL27" i="8"/>
  <c r="CM27" i="8"/>
  <c r="CN27" i="8"/>
  <c r="CO27" i="8"/>
  <c r="CP27" i="8"/>
  <c r="CQ27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DD27" i="8"/>
  <c r="DE27" i="8"/>
  <c r="DF27" i="8"/>
  <c r="DG27" i="8"/>
  <c r="DH27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U27" i="8"/>
  <c r="DV27" i="8"/>
  <c r="DW27" i="8"/>
  <c r="DX27" i="8"/>
  <c r="DY27" i="8"/>
  <c r="DZ27" i="8"/>
  <c r="EA27" i="8"/>
  <c r="EB27" i="8"/>
  <c r="EC27" i="8"/>
  <c r="ED27" i="8"/>
  <c r="EE27" i="8"/>
  <c r="EF27" i="8"/>
  <c r="EG27" i="8"/>
  <c r="EH27" i="8"/>
  <c r="EI27" i="8"/>
  <c r="EJ27" i="8"/>
  <c r="EK27" i="8"/>
  <c r="EL27" i="8"/>
  <c r="EM27" i="8"/>
  <c r="EN27" i="8"/>
  <c r="EO27" i="8"/>
  <c r="EP27" i="8"/>
  <c r="EQ27" i="8"/>
  <c r="ER27" i="8"/>
  <c r="ES27" i="8"/>
  <c r="ET27" i="8"/>
  <c r="EU27" i="8"/>
  <c r="EV27" i="8"/>
  <c r="EW27" i="8"/>
  <c r="EX27" i="8"/>
  <c r="EY27" i="8"/>
  <c r="EZ27" i="8"/>
  <c r="FA27" i="8"/>
  <c r="FB27" i="8"/>
  <c r="FC27" i="8"/>
  <c r="FD27" i="8"/>
  <c r="FE27" i="8"/>
  <c r="FF27" i="8"/>
  <c r="FG27" i="8"/>
  <c r="FH27" i="8"/>
  <c r="FI27" i="8"/>
  <c r="FJ27" i="8"/>
  <c r="FK27" i="8"/>
  <c r="FL27" i="8"/>
  <c r="FM27" i="8"/>
  <c r="FN27" i="8"/>
  <c r="FO27" i="8"/>
  <c r="FP27" i="8"/>
  <c r="FQ27" i="8"/>
  <c r="FR27" i="8"/>
  <c r="FS27" i="8"/>
  <c r="FT27" i="8"/>
  <c r="FU27" i="8"/>
  <c r="FV27" i="8"/>
  <c r="FW27" i="8"/>
  <c r="FX27" i="8"/>
  <c r="FY27" i="8"/>
  <c r="FZ27" i="8"/>
  <c r="GA27" i="8"/>
  <c r="GB27" i="8"/>
  <c r="GC27" i="8"/>
  <c r="GD27" i="8"/>
  <c r="GE27" i="8"/>
  <c r="GF27" i="8"/>
  <c r="GG27" i="8"/>
  <c r="GH27" i="8"/>
  <c r="GI27" i="8"/>
  <c r="GJ27" i="8"/>
  <c r="GK27" i="8"/>
  <c r="GL27" i="8"/>
  <c r="GM27" i="8"/>
  <c r="GN27" i="8"/>
  <c r="GO27" i="8"/>
  <c r="GP27" i="8"/>
  <c r="GQ27" i="8"/>
  <c r="GR27" i="8"/>
  <c r="GS27" i="8"/>
  <c r="GT27" i="8"/>
  <c r="GU27" i="8"/>
  <c r="GV27" i="8"/>
  <c r="GW27" i="8"/>
  <c r="GX27" i="8"/>
  <c r="GY27" i="8"/>
  <c r="GZ27" i="8"/>
  <c r="HA27" i="8"/>
  <c r="HB27" i="8"/>
  <c r="HC27" i="8"/>
  <c r="HD27" i="8"/>
  <c r="HE27" i="8"/>
  <c r="HF27" i="8"/>
  <c r="HG27" i="8"/>
  <c r="HH27" i="8"/>
  <c r="HI27" i="8"/>
  <c r="HJ27" i="8"/>
  <c r="HK27" i="8"/>
  <c r="HL27" i="8"/>
  <c r="HM27" i="8"/>
  <c r="HN27" i="8"/>
  <c r="HO27" i="8"/>
  <c r="HP27" i="8"/>
  <c r="HQ27" i="8"/>
  <c r="HR27" i="8"/>
  <c r="HS27" i="8"/>
  <c r="HT27" i="8"/>
  <c r="HU27" i="8"/>
  <c r="HV27" i="8"/>
  <c r="HW27" i="8"/>
  <c r="HX27" i="8"/>
  <c r="HY27" i="8"/>
  <c r="HZ27" i="8"/>
  <c r="IA27" i="8"/>
  <c r="IB27" i="8"/>
  <c r="IC27" i="8"/>
  <c r="ID27" i="8"/>
  <c r="IE27" i="8"/>
  <c r="IF27" i="8"/>
  <c r="IG27" i="8"/>
  <c r="IH27" i="8"/>
  <c r="II27" i="8"/>
  <c r="IJ27" i="8"/>
  <c r="IK27" i="8"/>
  <c r="IL27" i="8"/>
  <c r="IM27" i="8"/>
  <c r="IN27" i="8"/>
  <c r="IO27" i="8"/>
  <c r="IP27" i="8"/>
  <c r="IQ27" i="8"/>
  <c r="IR27" i="8"/>
  <c r="IS27" i="8"/>
  <c r="IT27" i="8"/>
  <c r="IU27" i="8"/>
  <c r="IV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CA28" i="8"/>
  <c r="CB28" i="8"/>
  <c r="CC28" i="8"/>
  <c r="CD28" i="8"/>
  <c r="CE28" i="8"/>
  <c r="CF28" i="8"/>
  <c r="CG28" i="8"/>
  <c r="CH28" i="8"/>
  <c r="CI28" i="8"/>
  <c r="CJ28" i="8"/>
  <c r="CK28" i="8"/>
  <c r="CL28" i="8"/>
  <c r="CM28" i="8"/>
  <c r="CN28" i="8"/>
  <c r="CO28" i="8"/>
  <c r="CP28" i="8"/>
  <c r="CQ28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DD28" i="8"/>
  <c r="DE28" i="8"/>
  <c r="DF28" i="8"/>
  <c r="DG28" i="8"/>
  <c r="DH28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U28" i="8"/>
  <c r="DV28" i="8"/>
  <c r="DW28" i="8"/>
  <c r="DX28" i="8"/>
  <c r="DY28" i="8"/>
  <c r="DZ28" i="8"/>
  <c r="EA28" i="8"/>
  <c r="EB28" i="8"/>
  <c r="EC28" i="8"/>
  <c r="ED28" i="8"/>
  <c r="EE28" i="8"/>
  <c r="EF28" i="8"/>
  <c r="EG28" i="8"/>
  <c r="EH28" i="8"/>
  <c r="EI28" i="8"/>
  <c r="EJ28" i="8"/>
  <c r="EK28" i="8"/>
  <c r="EL28" i="8"/>
  <c r="EM28" i="8"/>
  <c r="EN28" i="8"/>
  <c r="EO28" i="8"/>
  <c r="EP28" i="8"/>
  <c r="EQ28" i="8"/>
  <c r="ER28" i="8"/>
  <c r="ES28" i="8"/>
  <c r="ET28" i="8"/>
  <c r="EU28" i="8"/>
  <c r="EV28" i="8"/>
  <c r="EW28" i="8"/>
  <c r="EX28" i="8"/>
  <c r="EY28" i="8"/>
  <c r="EZ28" i="8"/>
  <c r="FA28" i="8"/>
  <c r="FB28" i="8"/>
  <c r="FC28" i="8"/>
  <c r="FD28" i="8"/>
  <c r="FE28" i="8"/>
  <c r="FF28" i="8"/>
  <c r="FG28" i="8"/>
  <c r="FH28" i="8"/>
  <c r="FI28" i="8"/>
  <c r="FJ28" i="8"/>
  <c r="FK28" i="8"/>
  <c r="FL28" i="8"/>
  <c r="FM28" i="8"/>
  <c r="FN28" i="8"/>
  <c r="FO28" i="8"/>
  <c r="FP28" i="8"/>
  <c r="FQ28" i="8"/>
  <c r="FR28" i="8"/>
  <c r="FS28" i="8"/>
  <c r="FT28" i="8"/>
  <c r="FU28" i="8"/>
  <c r="FV28" i="8"/>
  <c r="FW28" i="8"/>
  <c r="FX28" i="8"/>
  <c r="FY28" i="8"/>
  <c r="FZ28" i="8"/>
  <c r="GA28" i="8"/>
  <c r="GB28" i="8"/>
  <c r="GC28" i="8"/>
  <c r="GD28" i="8"/>
  <c r="GE28" i="8"/>
  <c r="GF28" i="8"/>
  <c r="GG28" i="8"/>
  <c r="GH28" i="8"/>
  <c r="GI28" i="8"/>
  <c r="GJ28" i="8"/>
  <c r="GK28" i="8"/>
  <c r="GL28" i="8"/>
  <c r="GM28" i="8"/>
  <c r="GN28" i="8"/>
  <c r="GO28" i="8"/>
  <c r="GP28" i="8"/>
  <c r="GQ28" i="8"/>
  <c r="GR28" i="8"/>
  <c r="GS28" i="8"/>
  <c r="GT28" i="8"/>
  <c r="GU28" i="8"/>
  <c r="GV28" i="8"/>
  <c r="GW28" i="8"/>
  <c r="GX28" i="8"/>
  <c r="GY28" i="8"/>
  <c r="GZ28" i="8"/>
  <c r="HA28" i="8"/>
  <c r="HB28" i="8"/>
  <c r="HC28" i="8"/>
  <c r="HD28" i="8"/>
  <c r="HE28" i="8"/>
  <c r="HF28" i="8"/>
  <c r="HG28" i="8"/>
  <c r="HH28" i="8"/>
  <c r="HI28" i="8"/>
  <c r="HJ28" i="8"/>
  <c r="HK28" i="8"/>
  <c r="HL28" i="8"/>
  <c r="HM28" i="8"/>
  <c r="HN28" i="8"/>
  <c r="HO28" i="8"/>
  <c r="HP28" i="8"/>
  <c r="HQ28" i="8"/>
  <c r="HR28" i="8"/>
  <c r="HS28" i="8"/>
  <c r="HT28" i="8"/>
  <c r="HU28" i="8"/>
  <c r="HV28" i="8"/>
  <c r="HW28" i="8"/>
  <c r="HX28" i="8"/>
  <c r="HY28" i="8"/>
  <c r="HZ28" i="8"/>
  <c r="IA28" i="8"/>
  <c r="IB28" i="8"/>
  <c r="IC28" i="8"/>
  <c r="ID28" i="8"/>
  <c r="IE28" i="8"/>
  <c r="IF28" i="8"/>
  <c r="IG28" i="8"/>
  <c r="IH28" i="8"/>
  <c r="II28" i="8"/>
  <c r="IJ28" i="8"/>
  <c r="IK28" i="8"/>
  <c r="IL28" i="8"/>
  <c r="IM28" i="8"/>
  <c r="IN28" i="8"/>
  <c r="IO28" i="8"/>
  <c r="IP28" i="8"/>
  <c r="IQ28" i="8"/>
  <c r="IR28" i="8"/>
  <c r="IS28" i="8"/>
  <c r="IT28" i="8"/>
  <c r="IU28" i="8"/>
  <c r="IV28" i="8"/>
  <c r="A29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HV29" i="8"/>
  <c r="HW29" i="8"/>
  <c r="HX29" i="8"/>
  <c r="HY29" i="8"/>
  <c r="HZ29" i="8"/>
  <c r="IA29" i="8"/>
  <c r="IB29" i="8"/>
  <c r="IC29" i="8"/>
  <c r="ID29" i="8"/>
  <c r="IE29" i="8"/>
  <c r="IF29" i="8"/>
  <c r="IG29" i="8"/>
  <c r="IH29" i="8"/>
  <c r="II29" i="8"/>
  <c r="IJ29" i="8"/>
  <c r="IK29" i="8"/>
  <c r="IL29" i="8"/>
  <c r="IM29" i="8"/>
  <c r="IN29" i="8"/>
  <c r="IO29" i="8"/>
  <c r="IP29" i="8"/>
  <c r="IQ29" i="8"/>
  <c r="IR29" i="8"/>
  <c r="IS29" i="8"/>
  <c r="IT29" i="8"/>
  <c r="IU29" i="8"/>
  <c r="IV29" i="8"/>
  <c r="A30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BK30" i="8"/>
  <c r="BL30" i="8"/>
  <c r="BM30" i="8"/>
  <c r="BN30" i="8"/>
  <c r="BO30" i="8"/>
  <c r="BP30" i="8"/>
  <c r="BQ30" i="8"/>
  <c r="BR30" i="8"/>
  <c r="BS30" i="8"/>
  <c r="BT30" i="8"/>
  <c r="BU30" i="8"/>
  <c r="BV30" i="8"/>
  <c r="BW30" i="8"/>
  <c r="BX30" i="8"/>
  <c r="BY30" i="8"/>
  <c r="BZ30" i="8"/>
  <c r="CA30" i="8"/>
  <c r="CB30" i="8"/>
  <c r="CC30" i="8"/>
  <c r="CD30" i="8"/>
  <c r="CE30" i="8"/>
  <c r="CF30" i="8"/>
  <c r="CG30" i="8"/>
  <c r="CH30" i="8"/>
  <c r="CI30" i="8"/>
  <c r="CJ30" i="8"/>
  <c r="CK30" i="8"/>
  <c r="CL30" i="8"/>
  <c r="CM30" i="8"/>
  <c r="CN30" i="8"/>
  <c r="CO30" i="8"/>
  <c r="CP30" i="8"/>
  <c r="CQ30" i="8"/>
  <c r="CR30" i="8"/>
  <c r="CS30" i="8"/>
  <c r="CT30" i="8"/>
  <c r="CU30" i="8"/>
  <c r="CV30" i="8"/>
  <c r="CW30" i="8"/>
  <c r="CX30" i="8"/>
  <c r="CY30" i="8"/>
  <c r="CZ30" i="8"/>
  <c r="DA30" i="8"/>
  <c r="DB30" i="8"/>
  <c r="DC30" i="8"/>
  <c r="DD30" i="8"/>
  <c r="DE30" i="8"/>
  <c r="DF30" i="8"/>
  <c r="DG30" i="8"/>
  <c r="DH30" i="8"/>
  <c r="DI30" i="8"/>
  <c r="DJ30" i="8"/>
  <c r="DK30" i="8"/>
  <c r="DL30" i="8"/>
  <c r="DM30" i="8"/>
  <c r="DN30" i="8"/>
  <c r="DO30" i="8"/>
  <c r="DP30" i="8"/>
  <c r="DQ30" i="8"/>
  <c r="DR30" i="8"/>
  <c r="DS30" i="8"/>
  <c r="DT30" i="8"/>
  <c r="DU30" i="8"/>
  <c r="DV30" i="8"/>
  <c r="DW30" i="8"/>
  <c r="DX30" i="8"/>
  <c r="DY30" i="8"/>
  <c r="DZ30" i="8"/>
  <c r="EA30" i="8"/>
  <c r="EB30" i="8"/>
  <c r="EC30" i="8"/>
  <c r="ED30" i="8"/>
  <c r="EE30" i="8"/>
  <c r="EF30" i="8"/>
  <c r="EG30" i="8"/>
  <c r="EH30" i="8"/>
  <c r="EI30" i="8"/>
  <c r="EJ30" i="8"/>
  <c r="EK30" i="8"/>
  <c r="EL30" i="8"/>
  <c r="EM30" i="8"/>
  <c r="EN30" i="8"/>
  <c r="EO30" i="8"/>
  <c r="EP30" i="8"/>
  <c r="EQ30" i="8"/>
  <c r="ER30" i="8"/>
  <c r="ES30" i="8"/>
  <c r="ET30" i="8"/>
  <c r="EU30" i="8"/>
  <c r="EV30" i="8"/>
  <c r="EW30" i="8"/>
  <c r="EX30" i="8"/>
  <c r="EY30" i="8"/>
  <c r="EZ30" i="8"/>
  <c r="FA30" i="8"/>
  <c r="FB30" i="8"/>
  <c r="FC30" i="8"/>
  <c r="FD30" i="8"/>
  <c r="FE30" i="8"/>
  <c r="FF30" i="8"/>
  <c r="FG30" i="8"/>
  <c r="FH30" i="8"/>
  <c r="FI30" i="8"/>
  <c r="FJ30" i="8"/>
  <c r="FK30" i="8"/>
  <c r="FL30" i="8"/>
  <c r="FM30" i="8"/>
  <c r="FN30" i="8"/>
  <c r="FO30" i="8"/>
  <c r="FP30" i="8"/>
  <c r="FQ30" i="8"/>
  <c r="FR30" i="8"/>
  <c r="FS30" i="8"/>
  <c r="FT30" i="8"/>
  <c r="FU30" i="8"/>
  <c r="FV30" i="8"/>
  <c r="FW30" i="8"/>
  <c r="FX30" i="8"/>
  <c r="FY30" i="8"/>
  <c r="FZ30" i="8"/>
  <c r="GA30" i="8"/>
  <c r="GB30" i="8"/>
  <c r="GC30" i="8"/>
  <c r="GD30" i="8"/>
  <c r="GE30" i="8"/>
  <c r="GF30" i="8"/>
  <c r="GG30" i="8"/>
  <c r="GH30" i="8"/>
  <c r="GI30" i="8"/>
  <c r="GJ30" i="8"/>
  <c r="GK30" i="8"/>
  <c r="GL30" i="8"/>
  <c r="GM30" i="8"/>
  <c r="GN30" i="8"/>
  <c r="GO30" i="8"/>
  <c r="GP30" i="8"/>
  <c r="GQ30" i="8"/>
  <c r="GR30" i="8"/>
  <c r="GS30" i="8"/>
  <c r="GT30" i="8"/>
  <c r="GU30" i="8"/>
  <c r="GV30" i="8"/>
  <c r="GW30" i="8"/>
  <c r="GX30" i="8"/>
  <c r="GY30" i="8"/>
  <c r="GZ30" i="8"/>
  <c r="HA30" i="8"/>
  <c r="HB30" i="8"/>
  <c r="HC30" i="8"/>
  <c r="HD30" i="8"/>
  <c r="HE30" i="8"/>
  <c r="HF30" i="8"/>
  <c r="HG30" i="8"/>
  <c r="HH30" i="8"/>
  <c r="HI30" i="8"/>
  <c r="HJ30" i="8"/>
  <c r="HK30" i="8"/>
  <c r="HL30" i="8"/>
  <c r="HM30" i="8"/>
  <c r="HN30" i="8"/>
  <c r="HO30" i="8"/>
  <c r="HP30" i="8"/>
  <c r="HQ30" i="8"/>
  <c r="HR30" i="8"/>
  <c r="HS30" i="8"/>
  <c r="HT30" i="8"/>
  <c r="HU30" i="8"/>
  <c r="HV30" i="8"/>
  <c r="HW30" i="8"/>
  <c r="HX30" i="8"/>
  <c r="HY30" i="8"/>
  <c r="HZ30" i="8"/>
  <c r="IA30" i="8"/>
  <c r="IB30" i="8"/>
  <c r="IC30" i="8"/>
  <c r="ID30" i="8"/>
  <c r="IE30" i="8"/>
  <c r="IF30" i="8"/>
  <c r="IG30" i="8"/>
  <c r="IH30" i="8"/>
  <c r="II30" i="8"/>
  <c r="IJ30" i="8"/>
  <c r="IK30" i="8"/>
  <c r="IL30" i="8"/>
  <c r="IM30" i="8"/>
  <c r="IN30" i="8"/>
  <c r="IO30" i="8"/>
  <c r="IP30" i="8"/>
  <c r="IQ30" i="8"/>
  <c r="IR30" i="8"/>
  <c r="IS30" i="8"/>
  <c r="IT30" i="8"/>
  <c r="IU30" i="8"/>
  <c r="IV30" i="8"/>
  <c r="A31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BK31" i="8"/>
  <c r="BL31" i="8"/>
  <c r="BM31" i="8"/>
  <c r="BN31" i="8"/>
  <c r="BO31" i="8"/>
  <c r="BP31" i="8"/>
  <c r="BQ31" i="8"/>
  <c r="BR31" i="8"/>
  <c r="BS31" i="8"/>
  <c r="BT31" i="8"/>
  <c r="BU31" i="8"/>
  <c r="BV31" i="8"/>
  <c r="BW31" i="8"/>
  <c r="BX31" i="8"/>
  <c r="BY31" i="8"/>
  <c r="BZ31" i="8"/>
  <c r="CA31" i="8"/>
  <c r="CB31" i="8"/>
  <c r="CC31" i="8"/>
  <c r="CD31" i="8"/>
  <c r="CE31" i="8"/>
  <c r="CF31" i="8"/>
  <c r="CG31" i="8"/>
  <c r="CH31" i="8"/>
  <c r="CI31" i="8"/>
  <c r="CJ31" i="8"/>
  <c r="CK31" i="8"/>
  <c r="CL31" i="8"/>
  <c r="CM31" i="8"/>
  <c r="CN31" i="8"/>
  <c r="CO31" i="8"/>
  <c r="CP31" i="8"/>
  <c r="CQ31" i="8"/>
  <c r="CR31" i="8"/>
  <c r="CS31" i="8"/>
  <c r="CT31" i="8"/>
  <c r="CU31" i="8"/>
  <c r="CV31" i="8"/>
  <c r="CW31" i="8"/>
  <c r="CX31" i="8"/>
  <c r="CY31" i="8"/>
  <c r="CZ31" i="8"/>
  <c r="DA31" i="8"/>
  <c r="DB31" i="8"/>
  <c r="DC31" i="8"/>
  <c r="DD31" i="8"/>
  <c r="DE31" i="8"/>
  <c r="DF31" i="8"/>
  <c r="DG31" i="8"/>
  <c r="DH31" i="8"/>
  <c r="DI31" i="8"/>
  <c r="DJ31" i="8"/>
  <c r="DK31" i="8"/>
  <c r="DL31" i="8"/>
  <c r="DM31" i="8"/>
  <c r="DN31" i="8"/>
  <c r="DO31" i="8"/>
  <c r="DP31" i="8"/>
  <c r="DQ31" i="8"/>
  <c r="DR31" i="8"/>
  <c r="DS31" i="8"/>
  <c r="DT31" i="8"/>
  <c r="DU31" i="8"/>
  <c r="DV31" i="8"/>
  <c r="DW31" i="8"/>
  <c r="DX31" i="8"/>
  <c r="DY31" i="8"/>
  <c r="DZ31" i="8"/>
  <c r="EA31" i="8"/>
  <c r="EB31" i="8"/>
  <c r="EC31" i="8"/>
  <c r="ED31" i="8"/>
  <c r="EE31" i="8"/>
  <c r="EF31" i="8"/>
  <c r="EG31" i="8"/>
  <c r="EH31" i="8"/>
  <c r="EI31" i="8"/>
  <c r="EJ31" i="8"/>
  <c r="EK31" i="8"/>
  <c r="EL31" i="8"/>
  <c r="EM31" i="8"/>
  <c r="EN31" i="8"/>
  <c r="EO31" i="8"/>
  <c r="EP31" i="8"/>
  <c r="EQ31" i="8"/>
  <c r="ER31" i="8"/>
  <c r="ES31" i="8"/>
  <c r="ET31" i="8"/>
  <c r="EU31" i="8"/>
  <c r="EV31" i="8"/>
  <c r="EW31" i="8"/>
  <c r="EX31" i="8"/>
  <c r="EY31" i="8"/>
  <c r="EZ31" i="8"/>
  <c r="FA31" i="8"/>
  <c r="FB31" i="8"/>
  <c r="FC31" i="8"/>
  <c r="FD31" i="8"/>
  <c r="FE31" i="8"/>
  <c r="FF31" i="8"/>
  <c r="FG31" i="8"/>
  <c r="FH31" i="8"/>
  <c r="FI31" i="8"/>
  <c r="FJ31" i="8"/>
  <c r="FK31" i="8"/>
  <c r="FL31" i="8"/>
  <c r="FM31" i="8"/>
  <c r="FN31" i="8"/>
  <c r="FO31" i="8"/>
  <c r="FP31" i="8"/>
  <c r="FQ31" i="8"/>
  <c r="FR31" i="8"/>
  <c r="FS31" i="8"/>
  <c r="FT31" i="8"/>
  <c r="FU31" i="8"/>
  <c r="FV31" i="8"/>
  <c r="FW31" i="8"/>
  <c r="FX31" i="8"/>
  <c r="FY31" i="8"/>
  <c r="FZ31" i="8"/>
  <c r="GA31" i="8"/>
  <c r="GB31" i="8"/>
  <c r="GC31" i="8"/>
  <c r="GD31" i="8"/>
  <c r="GE31" i="8"/>
  <c r="GF31" i="8"/>
  <c r="GG31" i="8"/>
  <c r="GH31" i="8"/>
  <c r="GI31" i="8"/>
  <c r="GJ31" i="8"/>
  <c r="GK31" i="8"/>
  <c r="GL31" i="8"/>
  <c r="GM31" i="8"/>
  <c r="GN31" i="8"/>
  <c r="GO31" i="8"/>
  <c r="GP31" i="8"/>
  <c r="GQ31" i="8"/>
  <c r="GR31" i="8"/>
  <c r="GS31" i="8"/>
  <c r="GT31" i="8"/>
  <c r="GU31" i="8"/>
  <c r="GV31" i="8"/>
  <c r="GW31" i="8"/>
  <c r="GX31" i="8"/>
  <c r="GY31" i="8"/>
  <c r="GZ31" i="8"/>
  <c r="HA31" i="8"/>
  <c r="HB31" i="8"/>
  <c r="HC31" i="8"/>
  <c r="HD31" i="8"/>
  <c r="HE31" i="8"/>
  <c r="HF31" i="8"/>
  <c r="HG31" i="8"/>
  <c r="HH31" i="8"/>
  <c r="HI31" i="8"/>
  <c r="HJ31" i="8"/>
  <c r="HK31" i="8"/>
  <c r="HL31" i="8"/>
  <c r="HM31" i="8"/>
  <c r="HN31" i="8"/>
  <c r="HO31" i="8"/>
  <c r="HP31" i="8"/>
  <c r="HQ31" i="8"/>
  <c r="HR31" i="8"/>
  <c r="HS31" i="8"/>
  <c r="HT31" i="8"/>
  <c r="HU31" i="8"/>
  <c r="HV31" i="8"/>
  <c r="HW31" i="8"/>
  <c r="HX31" i="8"/>
  <c r="HY31" i="8"/>
  <c r="HZ31" i="8"/>
  <c r="IA31" i="8"/>
  <c r="IB31" i="8"/>
  <c r="IC31" i="8"/>
  <c r="ID31" i="8"/>
  <c r="IE31" i="8"/>
  <c r="IF31" i="8"/>
  <c r="IG31" i="8"/>
  <c r="IH31" i="8"/>
  <c r="II31" i="8"/>
  <c r="IJ31" i="8"/>
  <c r="IK31" i="8"/>
  <c r="IL31" i="8"/>
  <c r="IM31" i="8"/>
  <c r="IN31" i="8"/>
  <c r="IO31" i="8"/>
  <c r="IP31" i="8"/>
  <c r="IQ31" i="8"/>
  <c r="IR31" i="8"/>
  <c r="IS31" i="8"/>
  <c r="IT31" i="8"/>
  <c r="IU31" i="8"/>
  <c r="IV31" i="8"/>
  <c r="A32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BK32" i="8"/>
  <c r="BL32" i="8"/>
  <c r="BM32" i="8"/>
  <c r="BN32" i="8"/>
  <c r="BO32" i="8"/>
  <c r="BP32" i="8"/>
  <c r="BQ32" i="8"/>
  <c r="BR32" i="8"/>
  <c r="BS32" i="8"/>
  <c r="BT32" i="8"/>
  <c r="BU32" i="8"/>
  <c r="BV32" i="8"/>
  <c r="BW32" i="8"/>
  <c r="BX32" i="8"/>
  <c r="BY32" i="8"/>
  <c r="BZ32" i="8"/>
  <c r="CA32" i="8"/>
  <c r="CB32" i="8"/>
  <c r="CC32" i="8"/>
  <c r="CD32" i="8"/>
  <c r="CE32" i="8"/>
  <c r="CF32" i="8"/>
  <c r="CG32" i="8"/>
  <c r="CH32" i="8"/>
  <c r="CI32" i="8"/>
  <c r="CJ32" i="8"/>
  <c r="CK32" i="8"/>
  <c r="CL32" i="8"/>
  <c r="CM32" i="8"/>
  <c r="CN32" i="8"/>
  <c r="CO32" i="8"/>
  <c r="CP32" i="8"/>
  <c r="CQ32" i="8"/>
  <c r="CR32" i="8"/>
  <c r="CS32" i="8"/>
  <c r="CT32" i="8"/>
  <c r="CU32" i="8"/>
  <c r="CV32" i="8"/>
  <c r="CW32" i="8"/>
  <c r="CX32" i="8"/>
  <c r="CY32" i="8"/>
  <c r="CZ32" i="8"/>
  <c r="DA32" i="8"/>
  <c r="DB32" i="8"/>
  <c r="DC32" i="8"/>
  <c r="DD32" i="8"/>
  <c r="DE32" i="8"/>
  <c r="DF32" i="8"/>
  <c r="DG32" i="8"/>
  <c r="DH32" i="8"/>
  <c r="DI32" i="8"/>
  <c r="DJ32" i="8"/>
  <c r="DK32" i="8"/>
  <c r="DL32" i="8"/>
  <c r="DM32" i="8"/>
  <c r="DN32" i="8"/>
  <c r="DO32" i="8"/>
  <c r="DP32" i="8"/>
  <c r="DQ32" i="8"/>
  <c r="DR32" i="8"/>
  <c r="DS32" i="8"/>
  <c r="DT32" i="8"/>
  <c r="DU32" i="8"/>
  <c r="DV32" i="8"/>
  <c r="DW32" i="8"/>
  <c r="DX32" i="8"/>
  <c r="DY32" i="8"/>
  <c r="DZ32" i="8"/>
  <c r="EA32" i="8"/>
  <c r="EB32" i="8"/>
  <c r="EC32" i="8"/>
  <c r="ED32" i="8"/>
  <c r="EE32" i="8"/>
  <c r="EF32" i="8"/>
  <c r="EG32" i="8"/>
  <c r="EH32" i="8"/>
  <c r="EI32" i="8"/>
  <c r="EJ32" i="8"/>
  <c r="EK32" i="8"/>
  <c r="EL32" i="8"/>
  <c r="EM32" i="8"/>
  <c r="EN32" i="8"/>
  <c r="EO32" i="8"/>
  <c r="EP32" i="8"/>
  <c r="EQ32" i="8"/>
  <c r="ER32" i="8"/>
  <c r="ES32" i="8"/>
  <c r="ET32" i="8"/>
  <c r="EU32" i="8"/>
  <c r="EV32" i="8"/>
  <c r="EW32" i="8"/>
  <c r="EX32" i="8"/>
  <c r="EY32" i="8"/>
  <c r="EZ32" i="8"/>
  <c r="FA32" i="8"/>
  <c r="FB32" i="8"/>
  <c r="FC32" i="8"/>
  <c r="FD32" i="8"/>
  <c r="FE32" i="8"/>
  <c r="FF32" i="8"/>
  <c r="FG32" i="8"/>
  <c r="FH32" i="8"/>
  <c r="FI32" i="8"/>
  <c r="FJ32" i="8"/>
  <c r="FK32" i="8"/>
  <c r="FL32" i="8"/>
  <c r="FM32" i="8"/>
  <c r="FN32" i="8"/>
  <c r="FO32" i="8"/>
  <c r="FP32" i="8"/>
  <c r="FQ32" i="8"/>
  <c r="FR32" i="8"/>
  <c r="FS32" i="8"/>
  <c r="FT32" i="8"/>
  <c r="FU32" i="8"/>
  <c r="FV32" i="8"/>
  <c r="FW32" i="8"/>
  <c r="FX32" i="8"/>
  <c r="FY32" i="8"/>
  <c r="FZ32" i="8"/>
  <c r="GA32" i="8"/>
  <c r="GB32" i="8"/>
  <c r="GC32" i="8"/>
  <c r="GD32" i="8"/>
  <c r="GE32" i="8"/>
  <c r="GF32" i="8"/>
  <c r="GG32" i="8"/>
  <c r="GH32" i="8"/>
  <c r="GI32" i="8"/>
  <c r="GJ32" i="8"/>
  <c r="GK32" i="8"/>
  <c r="GL32" i="8"/>
  <c r="GM32" i="8"/>
  <c r="GN32" i="8"/>
  <c r="GO32" i="8"/>
  <c r="GP32" i="8"/>
  <c r="GQ32" i="8"/>
  <c r="GR32" i="8"/>
  <c r="GS32" i="8"/>
  <c r="GT32" i="8"/>
  <c r="GU32" i="8"/>
  <c r="GV32" i="8"/>
  <c r="GW32" i="8"/>
  <c r="GX32" i="8"/>
  <c r="GY32" i="8"/>
  <c r="GZ32" i="8"/>
  <c r="HA32" i="8"/>
  <c r="HB32" i="8"/>
  <c r="HC32" i="8"/>
  <c r="HD32" i="8"/>
  <c r="HE32" i="8"/>
  <c r="HF32" i="8"/>
  <c r="HG32" i="8"/>
  <c r="HH32" i="8"/>
  <c r="HI32" i="8"/>
  <c r="HJ32" i="8"/>
  <c r="HK32" i="8"/>
  <c r="HL32" i="8"/>
  <c r="HM32" i="8"/>
  <c r="HN32" i="8"/>
  <c r="HO32" i="8"/>
  <c r="HP32" i="8"/>
  <c r="HQ32" i="8"/>
  <c r="HR32" i="8"/>
  <c r="HS32" i="8"/>
  <c r="HT32" i="8"/>
  <c r="HU32" i="8"/>
  <c r="HV32" i="8"/>
  <c r="HW32" i="8"/>
  <c r="HX32" i="8"/>
  <c r="HY32" i="8"/>
  <c r="HZ32" i="8"/>
  <c r="IA32" i="8"/>
  <c r="IB32" i="8"/>
  <c r="IC32" i="8"/>
  <c r="ID32" i="8"/>
  <c r="IE32" i="8"/>
  <c r="IF32" i="8"/>
  <c r="IG32" i="8"/>
  <c r="IH32" i="8"/>
  <c r="II32" i="8"/>
  <c r="IJ32" i="8"/>
  <c r="IK32" i="8"/>
  <c r="IL32" i="8"/>
  <c r="IM32" i="8"/>
  <c r="IN32" i="8"/>
  <c r="IO32" i="8"/>
  <c r="IP32" i="8"/>
  <c r="IQ32" i="8"/>
  <c r="IR32" i="8"/>
  <c r="IS32" i="8"/>
  <c r="IT32" i="8"/>
  <c r="IU32" i="8"/>
  <c r="IV32" i="8"/>
  <c r="A33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BT33" i="8"/>
  <c r="BU33" i="8"/>
  <c r="BV33" i="8"/>
  <c r="BW33" i="8"/>
  <c r="BX33" i="8"/>
  <c r="BY33" i="8"/>
  <c r="BZ33" i="8"/>
  <c r="CA33" i="8"/>
  <c r="CB33" i="8"/>
  <c r="CC33" i="8"/>
  <c r="CD33" i="8"/>
  <c r="CE33" i="8"/>
  <c r="CF33" i="8"/>
  <c r="CG33" i="8"/>
  <c r="CH33" i="8"/>
  <c r="CI33" i="8"/>
  <c r="CJ33" i="8"/>
  <c r="CK33" i="8"/>
  <c r="CL33" i="8"/>
  <c r="CM33" i="8"/>
  <c r="CN33" i="8"/>
  <c r="CO33" i="8"/>
  <c r="CP33" i="8"/>
  <c r="CQ33" i="8"/>
  <c r="CR33" i="8"/>
  <c r="CS33" i="8"/>
  <c r="CT33" i="8"/>
  <c r="CU33" i="8"/>
  <c r="CV33" i="8"/>
  <c r="CW33" i="8"/>
  <c r="CX33" i="8"/>
  <c r="CY33" i="8"/>
  <c r="CZ33" i="8"/>
  <c r="DA33" i="8"/>
  <c r="DB33" i="8"/>
  <c r="DC33" i="8"/>
  <c r="DD33" i="8"/>
  <c r="DE33" i="8"/>
  <c r="DF33" i="8"/>
  <c r="DG33" i="8"/>
  <c r="DH33" i="8"/>
  <c r="DI33" i="8"/>
  <c r="DJ33" i="8"/>
  <c r="DK33" i="8"/>
  <c r="DL33" i="8"/>
  <c r="DM33" i="8"/>
  <c r="DN33" i="8"/>
  <c r="DO33" i="8"/>
  <c r="DP33" i="8"/>
  <c r="DQ33" i="8"/>
  <c r="DR33" i="8"/>
  <c r="DS33" i="8"/>
  <c r="DT33" i="8"/>
  <c r="DU33" i="8"/>
  <c r="DV33" i="8"/>
  <c r="DW33" i="8"/>
  <c r="DX33" i="8"/>
  <c r="DY33" i="8"/>
  <c r="DZ33" i="8"/>
  <c r="EA33" i="8"/>
  <c r="EB33" i="8"/>
  <c r="EC33" i="8"/>
  <c r="ED33" i="8"/>
  <c r="EE33" i="8"/>
  <c r="EF33" i="8"/>
  <c r="EG33" i="8"/>
  <c r="EH33" i="8"/>
  <c r="EI33" i="8"/>
  <c r="EJ33" i="8"/>
  <c r="EK33" i="8"/>
  <c r="EL33" i="8"/>
  <c r="EM33" i="8"/>
  <c r="EN33" i="8"/>
  <c r="EO33" i="8"/>
  <c r="EP33" i="8"/>
  <c r="EQ33" i="8"/>
  <c r="ER33" i="8"/>
  <c r="ES33" i="8"/>
  <c r="ET33" i="8"/>
  <c r="EU33" i="8"/>
  <c r="EV33" i="8"/>
  <c r="EW33" i="8"/>
  <c r="EX33" i="8"/>
  <c r="EY33" i="8"/>
  <c r="EZ33" i="8"/>
  <c r="FA33" i="8"/>
  <c r="FB33" i="8"/>
  <c r="FC33" i="8"/>
  <c r="FD33" i="8"/>
  <c r="FE33" i="8"/>
  <c r="FF33" i="8"/>
  <c r="FG33" i="8"/>
  <c r="FH33" i="8"/>
  <c r="FI33" i="8"/>
  <c r="FJ33" i="8"/>
  <c r="FK33" i="8"/>
  <c r="FL33" i="8"/>
  <c r="FM33" i="8"/>
  <c r="FN33" i="8"/>
  <c r="FO33" i="8"/>
  <c r="FP33" i="8"/>
  <c r="FQ33" i="8"/>
  <c r="FR33" i="8"/>
  <c r="FS33" i="8"/>
  <c r="FT33" i="8"/>
  <c r="FU33" i="8"/>
  <c r="FV33" i="8"/>
  <c r="FW33" i="8"/>
  <c r="FX33" i="8"/>
  <c r="FY33" i="8"/>
  <c r="FZ33" i="8"/>
  <c r="GA33" i="8"/>
  <c r="GB33" i="8"/>
  <c r="GC33" i="8"/>
  <c r="GD33" i="8"/>
  <c r="GE33" i="8"/>
  <c r="GF33" i="8"/>
  <c r="GG33" i="8"/>
  <c r="GH33" i="8"/>
  <c r="GI33" i="8"/>
  <c r="GJ33" i="8"/>
  <c r="GK33" i="8"/>
  <c r="GL33" i="8"/>
  <c r="GM33" i="8"/>
  <c r="GN33" i="8"/>
  <c r="GO33" i="8"/>
  <c r="GP33" i="8"/>
  <c r="GQ33" i="8"/>
  <c r="GR33" i="8"/>
  <c r="GS33" i="8"/>
  <c r="GT33" i="8"/>
  <c r="GU33" i="8"/>
  <c r="GV33" i="8"/>
  <c r="GW33" i="8"/>
  <c r="GX33" i="8"/>
  <c r="GY33" i="8"/>
  <c r="GZ33" i="8"/>
  <c r="HA33" i="8"/>
  <c r="HB33" i="8"/>
  <c r="HC33" i="8"/>
  <c r="HD33" i="8"/>
  <c r="HE33" i="8"/>
  <c r="HF33" i="8"/>
  <c r="HG33" i="8"/>
  <c r="HH33" i="8"/>
  <c r="HI33" i="8"/>
  <c r="HJ33" i="8"/>
  <c r="HK33" i="8"/>
  <c r="HL33" i="8"/>
  <c r="HM33" i="8"/>
  <c r="HN33" i="8"/>
  <c r="HO33" i="8"/>
  <c r="HP33" i="8"/>
  <c r="HQ33" i="8"/>
  <c r="HR33" i="8"/>
  <c r="HS33" i="8"/>
  <c r="HT33" i="8"/>
  <c r="HU33" i="8"/>
  <c r="HV33" i="8"/>
  <c r="HW33" i="8"/>
  <c r="HX33" i="8"/>
  <c r="HY33" i="8"/>
  <c r="HZ33" i="8"/>
  <c r="IA33" i="8"/>
  <c r="IB33" i="8"/>
  <c r="IC33" i="8"/>
  <c r="ID33" i="8"/>
  <c r="IE33" i="8"/>
  <c r="IF33" i="8"/>
  <c r="IG33" i="8"/>
  <c r="IH33" i="8"/>
  <c r="II33" i="8"/>
  <c r="IJ33" i="8"/>
  <c r="IK33" i="8"/>
  <c r="IL33" i="8"/>
  <c r="IM33" i="8"/>
  <c r="IN33" i="8"/>
  <c r="IO33" i="8"/>
  <c r="IP33" i="8"/>
  <c r="IQ33" i="8"/>
  <c r="IR33" i="8"/>
  <c r="IS33" i="8"/>
  <c r="IT33" i="8"/>
  <c r="IU33" i="8"/>
  <c r="IV33" i="8"/>
  <c r="A34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BT34" i="8"/>
  <c r="BU34" i="8"/>
  <c r="BV34" i="8"/>
  <c r="BW34" i="8"/>
  <c r="BX34" i="8"/>
  <c r="BY34" i="8"/>
  <c r="BZ34" i="8"/>
  <c r="CA34" i="8"/>
  <c r="CB34" i="8"/>
  <c r="CC34" i="8"/>
  <c r="CD34" i="8"/>
  <c r="CE34" i="8"/>
  <c r="CF34" i="8"/>
  <c r="CG34" i="8"/>
  <c r="CH34" i="8"/>
  <c r="CI34" i="8"/>
  <c r="CJ34" i="8"/>
  <c r="CK34" i="8"/>
  <c r="CL34" i="8"/>
  <c r="CM34" i="8"/>
  <c r="CN34" i="8"/>
  <c r="CO34" i="8"/>
  <c r="CP34" i="8"/>
  <c r="CQ34" i="8"/>
  <c r="CR34" i="8"/>
  <c r="CS34" i="8"/>
  <c r="CT34" i="8"/>
  <c r="CU34" i="8"/>
  <c r="CV34" i="8"/>
  <c r="CW34" i="8"/>
  <c r="CX34" i="8"/>
  <c r="CY34" i="8"/>
  <c r="CZ34" i="8"/>
  <c r="DA34" i="8"/>
  <c r="DB34" i="8"/>
  <c r="DC34" i="8"/>
  <c r="DD34" i="8"/>
  <c r="DE34" i="8"/>
  <c r="DF34" i="8"/>
  <c r="DG34" i="8"/>
  <c r="DH34" i="8"/>
  <c r="DI34" i="8"/>
  <c r="DJ34" i="8"/>
  <c r="DK34" i="8"/>
  <c r="DL34" i="8"/>
  <c r="DM34" i="8"/>
  <c r="DN34" i="8"/>
  <c r="DO34" i="8"/>
  <c r="DP34" i="8"/>
  <c r="DQ34" i="8"/>
  <c r="DR34" i="8"/>
  <c r="DS34" i="8"/>
  <c r="DT34" i="8"/>
  <c r="DU34" i="8"/>
  <c r="DV34" i="8"/>
  <c r="DW34" i="8"/>
  <c r="DX34" i="8"/>
  <c r="DY34" i="8"/>
  <c r="DZ34" i="8"/>
  <c r="EA34" i="8"/>
  <c r="EB34" i="8"/>
  <c r="EC34" i="8"/>
  <c r="ED34" i="8"/>
  <c r="EE34" i="8"/>
  <c r="EF34" i="8"/>
  <c r="EG34" i="8"/>
  <c r="EH34" i="8"/>
  <c r="EI34" i="8"/>
  <c r="EJ34" i="8"/>
  <c r="EK34" i="8"/>
  <c r="EL34" i="8"/>
  <c r="EM34" i="8"/>
  <c r="EN34" i="8"/>
  <c r="EO34" i="8"/>
  <c r="EP34" i="8"/>
  <c r="EQ34" i="8"/>
  <c r="ER34" i="8"/>
  <c r="ES34" i="8"/>
  <c r="ET34" i="8"/>
  <c r="EU34" i="8"/>
  <c r="EV34" i="8"/>
  <c r="EW34" i="8"/>
  <c r="EX34" i="8"/>
  <c r="EY34" i="8"/>
  <c r="EZ34" i="8"/>
  <c r="FA34" i="8"/>
  <c r="FB34" i="8"/>
  <c r="FC34" i="8"/>
  <c r="FD34" i="8"/>
  <c r="FE34" i="8"/>
  <c r="FF34" i="8"/>
  <c r="FG34" i="8"/>
  <c r="FH34" i="8"/>
  <c r="FI34" i="8"/>
  <c r="FJ34" i="8"/>
  <c r="FK34" i="8"/>
  <c r="FL34" i="8"/>
  <c r="FM34" i="8"/>
  <c r="FN34" i="8"/>
  <c r="FO34" i="8"/>
  <c r="FP34" i="8"/>
  <c r="FQ34" i="8"/>
  <c r="FR34" i="8"/>
  <c r="FS34" i="8"/>
  <c r="FT34" i="8"/>
  <c r="FU34" i="8"/>
  <c r="FV34" i="8"/>
  <c r="FW34" i="8"/>
  <c r="FX34" i="8"/>
  <c r="FY34" i="8"/>
  <c r="FZ34" i="8"/>
  <c r="GA34" i="8"/>
  <c r="GB34" i="8"/>
  <c r="GC34" i="8"/>
  <c r="GD34" i="8"/>
  <c r="GE34" i="8"/>
  <c r="GF34" i="8"/>
  <c r="GG34" i="8"/>
  <c r="GH34" i="8"/>
  <c r="GI34" i="8"/>
  <c r="GJ34" i="8"/>
  <c r="GK34" i="8"/>
  <c r="GL34" i="8"/>
  <c r="GM34" i="8"/>
  <c r="GN34" i="8"/>
  <c r="GO34" i="8"/>
  <c r="GP34" i="8"/>
  <c r="GQ34" i="8"/>
  <c r="GR34" i="8"/>
  <c r="GS34" i="8"/>
  <c r="GT34" i="8"/>
  <c r="GU34" i="8"/>
  <c r="GV34" i="8"/>
  <c r="GW34" i="8"/>
  <c r="GX34" i="8"/>
  <c r="GY34" i="8"/>
  <c r="GZ34" i="8"/>
  <c r="HA34" i="8"/>
  <c r="HB34" i="8"/>
  <c r="HC34" i="8"/>
  <c r="HD34" i="8"/>
  <c r="HE34" i="8"/>
  <c r="HF34" i="8"/>
  <c r="HG34" i="8"/>
  <c r="HH34" i="8"/>
  <c r="HI34" i="8"/>
  <c r="HJ34" i="8"/>
  <c r="HK34" i="8"/>
  <c r="HL34" i="8"/>
  <c r="HM34" i="8"/>
  <c r="HN34" i="8"/>
  <c r="HO34" i="8"/>
  <c r="HP34" i="8"/>
  <c r="HQ34" i="8"/>
  <c r="HR34" i="8"/>
  <c r="HS34" i="8"/>
  <c r="HT34" i="8"/>
  <c r="HU34" i="8"/>
  <c r="HV34" i="8"/>
  <c r="HW34" i="8"/>
  <c r="HX34" i="8"/>
  <c r="HY34" i="8"/>
  <c r="HZ34" i="8"/>
  <c r="IA34" i="8"/>
  <c r="IB34" i="8"/>
  <c r="IC34" i="8"/>
  <c r="ID34" i="8"/>
  <c r="IE34" i="8"/>
  <c r="IF34" i="8"/>
  <c r="IG34" i="8"/>
  <c r="IH34" i="8"/>
  <c r="II34" i="8"/>
  <c r="IJ34" i="8"/>
  <c r="IK34" i="8"/>
  <c r="IL34" i="8"/>
  <c r="IM34" i="8"/>
  <c r="IN34" i="8"/>
  <c r="IO34" i="8"/>
  <c r="IP34" i="8"/>
  <c r="IQ34" i="8"/>
  <c r="IR34" i="8"/>
  <c r="IS34" i="8"/>
  <c r="IT34" i="8"/>
  <c r="IU34" i="8"/>
  <c r="IV34" i="8"/>
  <c r="A35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BT35" i="8"/>
  <c r="BU35" i="8"/>
  <c r="BV35" i="8"/>
  <c r="BW35" i="8"/>
  <c r="BX35" i="8"/>
  <c r="BY35" i="8"/>
  <c r="BZ35" i="8"/>
  <c r="CA35" i="8"/>
  <c r="CB35" i="8"/>
  <c r="CC35" i="8"/>
  <c r="CD35" i="8"/>
  <c r="CE35" i="8"/>
  <c r="CF35" i="8"/>
  <c r="CG35" i="8"/>
  <c r="CH35" i="8"/>
  <c r="CI35" i="8"/>
  <c r="CJ35" i="8"/>
  <c r="CK35" i="8"/>
  <c r="CL35" i="8"/>
  <c r="CM35" i="8"/>
  <c r="CN35" i="8"/>
  <c r="CO35" i="8"/>
  <c r="CP35" i="8"/>
  <c r="CQ35" i="8"/>
  <c r="CR35" i="8"/>
  <c r="CS35" i="8"/>
  <c r="CT35" i="8"/>
  <c r="CU35" i="8"/>
  <c r="CV35" i="8"/>
  <c r="CW35" i="8"/>
  <c r="CX35" i="8"/>
  <c r="CY35" i="8"/>
  <c r="CZ35" i="8"/>
  <c r="DA35" i="8"/>
  <c r="DB35" i="8"/>
  <c r="DC35" i="8"/>
  <c r="DD35" i="8"/>
  <c r="DE35" i="8"/>
  <c r="DF35" i="8"/>
  <c r="DG35" i="8"/>
  <c r="DH35" i="8"/>
  <c r="DI35" i="8"/>
  <c r="DJ35" i="8"/>
  <c r="DK35" i="8"/>
  <c r="DL35" i="8"/>
  <c r="DM35" i="8"/>
  <c r="DN35" i="8"/>
  <c r="DO35" i="8"/>
  <c r="DP35" i="8"/>
  <c r="DQ35" i="8"/>
  <c r="DR35" i="8"/>
  <c r="DS35" i="8"/>
  <c r="DT35" i="8"/>
  <c r="DU35" i="8"/>
  <c r="DV35" i="8"/>
  <c r="DW35" i="8"/>
  <c r="DX35" i="8"/>
  <c r="DY35" i="8"/>
  <c r="DZ35" i="8"/>
  <c r="EA35" i="8"/>
  <c r="EB35" i="8"/>
  <c r="EC35" i="8"/>
  <c r="ED35" i="8"/>
  <c r="EE35" i="8"/>
  <c r="EF35" i="8"/>
  <c r="EG35" i="8"/>
  <c r="EH35" i="8"/>
  <c r="EI35" i="8"/>
  <c r="EJ35" i="8"/>
  <c r="EK35" i="8"/>
  <c r="EL35" i="8"/>
  <c r="EM35" i="8"/>
  <c r="EN35" i="8"/>
  <c r="EO35" i="8"/>
  <c r="EP35" i="8"/>
  <c r="EQ35" i="8"/>
  <c r="ER35" i="8"/>
  <c r="ES35" i="8"/>
  <c r="ET35" i="8"/>
  <c r="EU35" i="8"/>
  <c r="EV35" i="8"/>
  <c r="EW35" i="8"/>
  <c r="EX35" i="8"/>
  <c r="EY35" i="8"/>
  <c r="EZ35" i="8"/>
  <c r="FA35" i="8"/>
  <c r="FB35" i="8"/>
  <c r="FC35" i="8"/>
  <c r="FD35" i="8"/>
  <c r="FE35" i="8"/>
  <c r="FF35" i="8"/>
  <c r="FG35" i="8"/>
  <c r="FH35" i="8"/>
  <c r="FI35" i="8"/>
  <c r="FJ35" i="8"/>
  <c r="FK35" i="8"/>
  <c r="FL35" i="8"/>
  <c r="FM35" i="8"/>
  <c r="FN35" i="8"/>
  <c r="FO35" i="8"/>
  <c r="FP35" i="8"/>
  <c r="FQ35" i="8"/>
  <c r="FR35" i="8"/>
  <c r="FS35" i="8"/>
  <c r="FT35" i="8"/>
  <c r="FU35" i="8"/>
  <c r="FV35" i="8"/>
  <c r="FW35" i="8"/>
  <c r="FX35" i="8"/>
  <c r="FY35" i="8"/>
  <c r="FZ35" i="8"/>
  <c r="GA35" i="8"/>
  <c r="GB35" i="8"/>
  <c r="GC35" i="8"/>
  <c r="GD35" i="8"/>
  <c r="GE35" i="8"/>
  <c r="GF35" i="8"/>
  <c r="GG35" i="8"/>
  <c r="GH35" i="8"/>
  <c r="GI35" i="8"/>
  <c r="GJ35" i="8"/>
  <c r="GK35" i="8"/>
  <c r="GL35" i="8"/>
  <c r="GM35" i="8"/>
  <c r="GN35" i="8"/>
  <c r="GO35" i="8"/>
  <c r="GP35" i="8"/>
  <c r="GQ35" i="8"/>
  <c r="GR35" i="8"/>
  <c r="GS35" i="8"/>
  <c r="GT35" i="8"/>
  <c r="GU35" i="8"/>
  <c r="GV35" i="8"/>
  <c r="GW35" i="8"/>
  <c r="GX35" i="8"/>
  <c r="GY35" i="8"/>
  <c r="GZ35" i="8"/>
  <c r="HA35" i="8"/>
  <c r="HB35" i="8"/>
  <c r="HC35" i="8"/>
  <c r="HD35" i="8"/>
  <c r="HE35" i="8"/>
  <c r="HF35" i="8"/>
  <c r="HG35" i="8"/>
  <c r="HH35" i="8"/>
  <c r="HI35" i="8"/>
  <c r="HJ35" i="8"/>
  <c r="HK35" i="8"/>
  <c r="HL35" i="8"/>
  <c r="HM35" i="8"/>
  <c r="HN35" i="8"/>
  <c r="HO35" i="8"/>
  <c r="HP35" i="8"/>
  <c r="HQ35" i="8"/>
  <c r="HR35" i="8"/>
  <c r="HS35" i="8"/>
  <c r="HT35" i="8"/>
  <c r="HU35" i="8"/>
  <c r="HV35" i="8"/>
  <c r="HW35" i="8"/>
  <c r="HX35" i="8"/>
  <c r="HY35" i="8"/>
  <c r="HZ35" i="8"/>
  <c r="IA35" i="8"/>
  <c r="IB35" i="8"/>
  <c r="IC35" i="8"/>
  <c r="ID35" i="8"/>
  <c r="IE35" i="8"/>
  <c r="IF35" i="8"/>
  <c r="IG35" i="8"/>
  <c r="IH35" i="8"/>
  <c r="II35" i="8"/>
  <c r="IJ35" i="8"/>
  <c r="IK35" i="8"/>
  <c r="IL35" i="8"/>
  <c r="IM35" i="8"/>
  <c r="IN35" i="8"/>
  <c r="IO35" i="8"/>
  <c r="IP35" i="8"/>
  <c r="IQ35" i="8"/>
  <c r="IR35" i="8"/>
  <c r="IS35" i="8"/>
  <c r="IT35" i="8"/>
  <c r="IU35" i="8"/>
  <c r="IV35" i="8"/>
  <c r="A36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BK36" i="8"/>
  <c r="BL36" i="8"/>
  <c r="BM36" i="8"/>
  <c r="BN36" i="8"/>
  <c r="BO36" i="8"/>
  <c r="BP36" i="8"/>
  <c r="BQ36" i="8"/>
  <c r="BR36" i="8"/>
  <c r="BS36" i="8"/>
  <c r="BT36" i="8"/>
  <c r="BU36" i="8"/>
  <c r="BV36" i="8"/>
  <c r="BW36" i="8"/>
  <c r="BX36" i="8"/>
  <c r="BY36" i="8"/>
  <c r="BZ36" i="8"/>
  <c r="CA36" i="8"/>
  <c r="CB36" i="8"/>
  <c r="CC36" i="8"/>
  <c r="CD36" i="8"/>
  <c r="CE36" i="8"/>
  <c r="CF36" i="8"/>
  <c r="CG36" i="8"/>
  <c r="CH36" i="8"/>
  <c r="CI36" i="8"/>
  <c r="CJ36" i="8"/>
  <c r="CK36" i="8"/>
  <c r="CL36" i="8"/>
  <c r="CM36" i="8"/>
  <c r="CN36" i="8"/>
  <c r="CO36" i="8"/>
  <c r="CP36" i="8"/>
  <c r="CQ36" i="8"/>
  <c r="CR36" i="8"/>
  <c r="CS36" i="8"/>
  <c r="CT36" i="8"/>
  <c r="CU36" i="8"/>
  <c r="CV36" i="8"/>
  <c r="CW36" i="8"/>
  <c r="CX36" i="8"/>
  <c r="CY36" i="8"/>
  <c r="CZ36" i="8"/>
  <c r="DA36" i="8"/>
  <c r="DB36" i="8"/>
  <c r="DC36" i="8"/>
  <c r="DD36" i="8"/>
  <c r="DE36" i="8"/>
  <c r="DF36" i="8"/>
  <c r="DG36" i="8"/>
  <c r="DH36" i="8"/>
  <c r="DI36" i="8"/>
  <c r="DJ36" i="8"/>
  <c r="DK36" i="8"/>
  <c r="DL36" i="8"/>
  <c r="DM36" i="8"/>
  <c r="DN36" i="8"/>
  <c r="DO36" i="8"/>
  <c r="DP36" i="8"/>
  <c r="DQ36" i="8"/>
  <c r="DR36" i="8"/>
  <c r="DS36" i="8"/>
  <c r="DT36" i="8"/>
  <c r="DU36" i="8"/>
  <c r="DV36" i="8"/>
  <c r="DW36" i="8"/>
  <c r="DX36" i="8"/>
  <c r="DY36" i="8"/>
  <c r="DZ36" i="8"/>
  <c r="EA36" i="8"/>
  <c r="EB36" i="8"/>
  <c r="EC36" i="8"/>
  <c r="ED36" i="8"/>
  <c r="EE36" i="8"/>
  <c r="EF36" i="8"/>
  <c r="EG36" i="8"/>
  <c r="EH36" i="8"/>
  <c r="EI36" i="8"/>
  <c r="EJ36" i="8"/>
  <c r="EK36" i="8"/>
  <c r="EL36" i="8"/>
  <c r="EM36" i="8"/>
  <c r="EN36" i="8"/>
  <c r="EO36" i="8"/>
  <c r="EP36" i="8"/>
  <c r="EQ36" i="8"/>
  <c r="ER36" i="8"/>
  <c r="ES36" i="8"/>
  <c r="ET36" i="8"/>
  <c r="EU36" i="8"/>
  <c r="EV36" i="8"/>
  <c r="EW36" i="8"/>
  <c r="EX36" i="8"/>
  <c r="EY36" i="8"/>
  <c r="EZ36" i="8"/>
  <c r="FA36" i="8"/>
  <c r="FB36" i="8"/>
  <c r="FC36" i="8"/>
  <c r="FD36" i="8"/>
  <c r="FE36" i="8"/>
  <c r="FF36" i="8"/>
  <c r="FG36" i="8"/>
  <c r="FH36" i="8"/>
  <c r="FI36" i="8"/>
  <c r="FJ36" i="8"/>
  <c r="FK36" i="8"/>
  <c r="FL36" i="8"/>
  <c r="FM36" i="8"/>
  <c r="FN36" i="8"/>
  <c r="FO36" i="8"/>
  <c r="FP36" i="8"/>
  <c r="FQ36" i="8"/>
  <c r="FR36" i="8"/>
  <c r="FS36" i="8"/>
  <c r="FT36" i="8"/>
  <c r="FU36" i="8"/>
  <c r="FV36" i="8"/>
  <c r="FW36" i="8"/>
  <c r="FX36" i="8"/>
  <c r="FY36" i="8"/>
  <c r="FZ36" i="8"/>
  <c r="GA36" i="8"/>
  <c r="GB36" i="8"/>
  <c r="GC36" i="8"/>
  <c r="GD36" i="8"/>
  <c r="GE36" i="8"/>
  <c r="GF36" i="8"/>
  <c r="GG36" i="8"/>
  <c r="GH36" i="8"/>
  <c r="GI36" i="8"/>
  <c r="GJ36" i="8"/>
  <c r="GK36" i="8"/>
  <c r="GL36" i="8"/>
  <c r="GM36" i="8"/>
  <c r="GN36" i="8"/>
  <c r="GO36" i="8"/>
  <c r="GP36" i="8"/>
  <c r="GQ36" i="8"/>
  <c r="GR36" i="8"/>
  <c r="GS36" i="8"/>
  <c r="GT36" i="8"/>
  <c r="GU36" i="8"/>
  <c r="GV36" i="8"/>
  <c r="GW36" i="8"/>
  <c r="GX36" i="8"/>
  <c r="GY36" i="8"/>
  <c r="GZ36" i="8"/>
  <c r="HA36" i="8"/>
  <c r="HB36" i="8"/>
  <c r="HC36" i="8"/>
  <c r="HD36" i="8"/>
  <c r="HE36" i="8"/>
  <c r="HF36" i="8"/>
  <c r="HG36" i="8"/>
  <c r="HH36" i="8"/>
  <c r="HI36" i="8"/>
  <c r="HJ36" i="8"/>
  <c r="HK36" i="8"/>
  <c r="HL36" i="8"/>
  <c r="HM36" i="8"/>
  <c r="HN36" i="8"/>
  <c r="HO36" i="8"/>
  <c r="HP36" i="8"/>
  <c r="HQ36" i="8"/>
  <c r="HR36" i="8"/>
  <c r="HS36" i="8"/>
  <c r="HT36" i="8"/>
  <c r="HU36" i="8"/>
  <c r="HV36" i="8"/>
  <c r="HW36" i="8"/>
  <c r="HX36" i="8"/>
  <c r="HY36" i="8"/>
  <c r="HZ36" i="8"/>
  <c r="IA36" i="8"/>
  <c r="IB36" i="8"/>
  <c r="IC36" i="8"/>
  <c r="ID36" i="8"/>
  <c r="IE36" i="8"/>
  <c r="IF36" i="8"/>
  <c r="IG36" i="8"/>
  <c r="IH36" i="8"/>
  <c r="II36" i="8"/>
  <c r="IJ36" i="8"/>
  <c r="IK36" i="8"/>
  <c r="IL36" i="8"/>
  <c r="IM36" i="8"/>
  <c r="IN36" i="8"/>
  <c r="IO36" i="8"/>
  <c r="IP36" i="8"/>
  <c r="IQ36" i="8"/>
  <c r="IR36" i="8"/>
  <c r="IS36" i="8"/>
  <c r="IT36" i="8"/>
  <c r="IU36" i="8"/>
  <c r="IV36" i="8"/>
  <c r="A37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BK37" i="8"/>
  <c r="BL37" i="8"/>
  <c r="BM37" i="8"/>
  <c r="BN37" i="8"/>
  <c r="BO37" i="8"/>
  <c r="BP37" i="8"/>
  <c r="BQ37" i="8"/>
  <c r="BR37" i="8"/>
  <c r="BS37" i="8"/>
  <c r="BT37" i="8"/>
  <c r="BU37" i="8"/>
  <c r="BV37" i="8"/>
  <c r="BW37" i="8"/>
  <c r="BX37" i="8"/>
  <c r="BY37" i="8"/>
  <c r="BZ37" i="8"/>
  <c r="CA37" i="8"/>
  <c r="CB37" i="8"/>
  <c r="CC37" i="8"/>
  <c r="CD37" i="8"/>
  <c r="CE37" i="8"/>
  <c r="CF37" i="8"/>
  <c r="CG37" i="8"/>
  <c r="CH37" i="8"/>
  <c r="CI37" i="8"/>
  <c r="CJ37" i="8"/>
  <c r="CK37" i="8"/>
  <c r="CL37" i="8"/>
  <c r="CM37" i="8"/>
  <c r="CN37" i="8"/>
  <c r="CO37" i="8"/>
  <c r="CP37" i="8"/>
  <c r="CQ37" i="8"/>
  <c r="CR37" i="8"/>
  <c r="CS37" i="8"/>
  <c r="CT37" i="8"/>
  <c r="CU37" i="8"/>
  <c r="CV37" i="8"/>
  <c r="CW37" i="8"/>
  <c r="CX37" i="8"/>
  <c r="CY37" i="8"/>
  <c r="CZ37" i="8"/>
  <c r="DA37" i="8"/>
  <c r="DB37" i="8"/>
  <c r="DC37" i="8"/>
  <c r="DD37" i="8"/>
  <c r="DE37" i="8"/>
  <c r="DF37" i="8"/>
  <c r="DG37" i="8"/>
  <c r="DH37" i="8"/>
  <c r="DI37" i="8"/>
  <c r="DJ37" i="8"/>
  <c r="DK37" i="8"/>
  <c r="DL37" i="8"/>
  <c r="DM37" i="8"/>
  <c r="DN37" i="8"/>
  <c r="DO37" i="8"/>
  <c r="DP37" i="8"/>
  <c r="DQ37" i="8"/>
  <c r="DR37" i="8"/>
  <c r="DS37" i="8"/>
  <c r="DT37" i="8"/>
  <c r="DU37" i="8"/>
  <c r="DV37" i="8"/>
  <c r="DW37" i="8"/>
  <c r="DX37" i="8"/>
  <c r="DY37" i="8"/>
  <c r="DZ37" i="8"/>
  <c r="EA37" i="8"/>
  <c r="EB37" i="8"/>
  <c r="EC37" i="8"/>
  <c r="ED37" i="8"/>
  <c r="EE37" i="8"/>
  <c r="EF37" i="8"/>
  <c r="EG37" i="8"/>
  <c r="EH37" i="8"/>
  <c r="EI37" i="8"/>
  <c r="EJ37" i="8"/>
  <c r="EK37" i="8"/>
  <c r="EL37" i="8"/>
  <c r="EM37" i="8"/>
  <c r="EN37" i="8"/>
  <c r="EO37" i="8"/>
  <c r="EP37" i="8"/>
  <c r="EQ37" i="8"/>
  <c r="ER37" i="8"/>
  <c r="ES37" i="8"/>
  <c r="ET37" i="8"/>
  <c r="EU37" i="8"/>
  <c r="EV37" i="8"/>
  <c r="EW37" i="8"/>
  <c r="EX37" i="8"/>
  <c r="EY37" i="8"/>
  <c r="EZ37" i="8"/>
  <c r="FA37" i="8"/>
  <c r="FB37" i="8"/>
  <c r="FC37" i="8"/>
  <c r="FD37" i="8"/>
  <c r="FE37" i="8"/>
  <c r="FF37" i="8"/>
  <c r="FG37" i="8"/>
  <c r="FH37" i="8"/>
  <c r="FI37" i="8"/>
  <c r="FJ37" i="8"/>
  <c r="FK37" i="8"/>
  <c r="FL37" i="8"/>
  <c r="FM37" i="8"/>
  <c r="FN37" i="8"/>
  <c r="FO37" i="8"/>
  <c r="FP37" i="8"/>
  <c r="FQ37" i="8"/>
  <c r="FR37" i="8"/>
  <c r="FS37" i="8"/>
  <c r="FT37" i="8"/>
  <c r="FU37" i="8"/>
  <c r="FV37" i="8"/>
  <c r="FW37" i="8"/>
  <c r="FX37" i="8"/>
  <c r="FY37" i="8"/>
  <c r="FZ37" i="8"/>
  <c r="GA37" i="8"/>
  <c r="GB37" i="8"/>
  <c r="GC37" i="8"/>
  <c r="GD37" i="8"/>
  <c r="GE37" i="8"/>
  <c r="GF37" i="8"/>
  <c r="GG37" i="8"/>
  <c r="GH37" i="8"/>
  <c r="GI37" i="8"/>
  <c r="GJ37" i="8"/>
  <c r="GK37" i="8"/>
  <c r="GL37" i="8"/>
  <c r="GM37" i="8"/>
  <c r="GN37" i="8"/>
  <c r="GO37" i="8"/>
  <c r="GP37" i="8"/>
  <c r="GQ37" i="8"/>
  <c r="GR37" i="8"/>
  <c r="GS37" i="8"/>
  <c r="GT37" i="8"/>
  <c r="GU37" i="8"/>
  <c r="GV37" i="8"/>
  <c r="GW37" i="8"/>
  <c r="GX37" i="8"/>
  <c r="GY37" i="8"/>
  <c r="GZ37" i="8"/>
  <c r="HA37" i="8"/>
  <c r="HB37" i="8"/>
  <c r="HC37" i="8"/>
  <c r="HD37" i="8"/>
  <c r="HE37" i="8"/>
  <c r="HF37" i="8"/>
  <c r="HG37" i="8"/>
  <c r="HH37" i="8"/>
  <c r="HI37" i="8"/>
  <c r="HJ37" i="8"/>
  <c r="HK37" i="8"/>
  <c r="HL37" i="8"/>
  <c r="HM37" i="8"/>
  <c r="HN37" i="8"/>
  <c r="HO37" i="8"/>
  <c r="HP37" i="8"/>
  <c r="HQ37" i="8"/>
  <c r="HR37" i="8"/>
  <c r="HS37" i="8"/>
  <c r="HT37" i="8"/>
  <c r="HU37" i="8"/>
  <c r="HV37" i="8"/>
  <c r="HW37" i="8"/>
  <c r="HX37" i="8"/>
  <c r="HY37" i="8"/>
  <c r="HZ37" i="8"/>
  <c r="IA37" i="8"/>
  <c r="IB37" i="8"/>
  <c r="IC37" i="8"/>
  <c r="ID37" i="8"/>
  <c r="IE37" i="8"/>
  <c r="IF37" i="8"/>
  <c r="IG37" i="8"/>
  <c r="IH37" i="8"/>
  <c r="II37" i="8"/>
  <c r="IJ37" i="8"/>
  <c r="IK37" i="8"/>
  <c r="IL37" i="8"/>
  <c r="IM37" i="8"/>
  <c r="IN37" i="8"/>
  <c r="IO37" i="8"/>
  <c r="IP37" i="8"/>
  <c r="IQ37" i="8"/>
  <c r="IR37" i="8"/>
  <c r="IS37" i="8"/>
  <c r="IT37" i="8"/>
  <c r="IU37" i="8"/>
  <c r="IV37" i="8"/>
  <c r="A38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BK38" i="8"/>
  <c r="BL38" i="8"/>
  <c r="BM38" i="8"/>
  <c r="BN38" i="8"/>
  <c r="BO38" i="8"/>
  <c r="BP38" i="8"/>
  <c r="BQ38" i="8"/>
  <c r="BR38" i="8"/>
  <c r="BS38" i="8"/>
  <c r="BT38" i="8"/>
  <c r="BU38" i="8"/>
  <c r="BV38" i="8"/>
  <c r="BW38" i="8"/>
  <c r="BX38" i="8"/>
  <c r="BY38" i="8"/>
  <c r="BZ38" i="8"/>
  <c r="CA38" i="8"/>
  <c r="CB38" i="8"/>
  <c r="CC38" i="8"/>
  <c r="CD38" i="8"/>
  <c r="CE38" i="8"/>
  <c r="CF38" i="8"/>
  <c r="CG38" i="8"/>
  <c r="CH38" i="8"/>
  <c r="CI38" i="8"/>
  <c r="CJ38" i="8"/>
  <c r="CK38" i="8"/>
  <c r="CL38" i="8"/>
  <c r="CM38" i="8"/>
  <c r="CN38" i="8"/>
  <c r="CO38" i="8"/>
  <c r="CP38" i="8"/>
  <c r="CQ38" i="8"/>
  <c r="CR38" i="8"/>
  <c r="CS38" i="8"/>
  <c r="CT38" i="8"/>
  <c r="CU38" i="8"/>
  <c r="CV38" i="8"/>
  <c r="CW38" i="8"/>
  <c r="CX38" i="8"/>
  <c r="CY38" i="8"/>
  <c r="CZ38" i="8"/>
  <c r="DA38" i="8"/>
  <c r="DB38" i="8"/>
  <c r="DC38" i="8"/>
  <c r="DD38" i="8"/>
  <c r="DE38" i="8"/>
  <c r="DF38" i="8"/>
  <c r="DG38" i="8"/>
  <c r="DH38" i="8"/>
  <c r="DI38" i="8"/>
  <c r="DJ38" i="8"/>
  <c r="DK38" i="8"/>
  <c r="DL38" i="8"/>
  <c r="DM38" i="8"/>
  <c r="DN38" i="8"/>
  <c r="DO38" i="8"/>
  <c r="DP38" i="8"/>
  <c r="DQ38" i="8"/>
  <c r="DR38" i="8"/>
  <c r="DS38" i="8"/>
  <c r="DT38" i="8"/>
  <c r="DU38" i="8"/>
  <c r="DV38" i="8"/>
  <c r="DW38" i="8"/>
  <c r="DX38" i="8"/>
  <c r="DY38" i="8"/>
  <c r="DZ38" i="8"/>
  <c r="EA38" i="8"/>
  <c r="EB38" i="8"/>
  <c r="EC38" i="8"/>
  <c r="ED38" i="8"/>
  <c r="EE38" i="8"/>
  <c r="EF38" i="8"/>
  <c r="EG38" i="8"/>
  <c r="EH38" i="8"/>
  <c r="EI38" i="8"/>
  <c r="EJ38" i="8"/>
  <c r="EK38" i="8"/>
  <c r="EL38" i="8"/>
  <c r="EM38" i="8"/>
  <c r="EN38" i="8"/>
  <c r="EO38" i="8"/>
  <c r="EP38" i="8"/>
  <c r="EQ38" i="8"/>
  <c r="ER38" i="8"/>
  <c r="ES38" i="8"/>
  <c r="ET38" i="8"/>
  <c r="EU38" i="8"/>
  <c r="EV38" i="8"/>
  <c r="EW38" i="8"/>
  <c r="EX38" i="8"/>
  <c r="EY38" i="8"/>
  <c r="EZ38" i="8"/>
  <c r="FA38" i="8"/>
  <c r="FB38" i="8"/>
  <c r="FC38" i="8"/>
  <c r="FD38" i="8"/>
  <c r="FE38" i="8"/>
  <c r="FF38" i="8"/>
  <c r="FG38" i="8"/>
  <c r="FH38" i="8"/>
  <c r="FI38" i="8"/>
  <c r="FJ38" i="8"/>
  <c r="FK38" i="8"/>
  <c r="FL38" i="8"/>
  <c r="FM38" i="8"/>
  <c r="FN38" i="8"/>
  <c r="FO38" i="8"/>
  <c r="FP38" i="8"/>
  <c r="FQ38" i="8"/>
  <c r="FR38" i="8"/>
  <c r="FS38" i="8"/>
  <c r="FT38" i="8"/>
  <c r="FU38" i="8"/>
  <c r="FV38" i="8"/>
  <c r="FW38" i="8"/>
  <c r="FX38" i="8"/>
  <c r="FY38" i="8"/>
  <c r="FZ38" i="8"/>
  <c r="GA38" i="8"/>
  <c r="GB38" i="8"/>
  <c r="GC38" i="8"/>
  <c r="GD38" i="8"/>
  <c r="GE38" i="8"/>
  <c r="GF38" i="8"/>
  <c r="GG38" i="8"/>
  <c r="GH38" i="8"/>
  <c r="GI38" i="8"/>
  <c r="GJ38" i="8"/>
  <c r="GK38" i="8"/>
  <c r="GL38" i="8"/>
  <c r="GM38" i="8"/>
  <c r="GN38" i="8"/>
  <c r="GO38" i="8"/>
  <c r="GP38" i="8"/>
  <c r="GQ38" i="8"/>
  <c r="GR38" i="8"/>
  <c r="GS38" i="8"/>
  <c r="GT38" i="8"/>
  <c r="GU38" i="8"/>
  <c r="GV38" i="8"/>
  <c r="GW38" i="8"/>
  <c r="GX38" i="8"/>
  <c r="GY38" i="8"/>
  <c r="GZ38" i="8"/>
  <c r="HA38" i="8"/>
  <c r="HB38" i="8"/>
  <c r="HC38" i="8"/>
  <c r="HD38" i="8"/>
  <c r="HE38" i="8"/>
  <c r="HF38" i="8"/>
  <c r="HG38" i="8"/>
  <c r="HH38" i="8"/>
  <c r="HI38" i="8"/>
  <c r="HJ38" i="8"/>
  <c r="HK38" i="8"/>
  <c r="HL38" i="8"/>
  <c r="HM38" i="8"/>
  <c r="HN38" i="8"/>
  <c r="HO38" i="8"/>
  <c r="HP38" i="8"/>
  <c r="HQ38" i="8"/>
  <c r="HR38" i="8"/>
  <c r="HS38" i="8"/>
  <c r="HT38" i="8"/>
  <c r="HU38" i="8"/>
  <c r="HV38" i="8"/>
  <c r="HW38" i="8"/>
  <c r="HX38" i="8"/>
  <c r="HY38" i="8"/>
  <c r="HZ38" i="8"/>
  <c r="IA38" i="8"/>
  <c r="IB38" i="8"/>
  <c r="IC38" i="8"/>
  <c r="ID38" i="8"/>
  <c r="IE38" i="8"/>
  <c r="IF38" i="8"/>
  <c r="IG38" i="8"/>
  <c r="IH38" i="8"/>
  <c r="II38" i="8"/>
  <c r="IJ38" i="8"/>
  <c r="IK38" i="8"/>
  <c r="IL38" i="8"/>
  <c r="IM38" i="8"/>
  <c r="IN38" i="8"/>
  <c r="IO38" i="8"/>
  <c r="IP38" i="8"/>
  <c r="IQ38" i="8"/>
  <c r="IR38" i="8"/>
  <c r="IS38" i="8"/>
  <c r="IT38" i="8"/>
  <c r="IU38" i="8"/>
  <c r="IV38" i="8"/>
  <c r="A39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BK39" i="8"/>
  <c r="BL39" i="8"/>
  <c r="BM39" i="8"/>
  <c r="BN39" i="8"/>
  <c r="BO39" i="8"/>
  <c r="BP39" i="8"/>
  <c r="BQ39" i="8"/>
  <c r="BR39" i="8"/>
  <c r="BS39" i="8"/>
  <c r="BT39" i="8"/>
  <c r="BU39" i="8"/>
  <c r="BV39" i="8"/>
  <c r="BW39" i="8"/>
  <c r="BX39" i="8"/>
  <c r="BY39" i="8"/>
  <c r="BZ39" i="8"/>
  <c r="CA39" i="8"/>
  <c r="CB39" i="8"/>
  <c r="CC39" i="8"/>
  <c r="CD39" i="8"/>
  <c r="CE39" i="8"/>
  <c r="CF39" i="8"/>
  <c r="CG39" i="8"/>
  <c r="CH39" i="8"/>
  <c r="CI39" i="8"/>
  <c r="CJ39" i="8"/>
  <c r="CK39" i="8"/>
  <c r="CL39" i="8"/>
  <c r="CM39" i="8"/>
  <c r="CN39" i="8"/>
  <c r="CO39" i="8"/>
  <c r="CP39" i="8"/>
  <c r="CQ39" i="8"/>
  <c r="CR39" i="8"/>
  <c r="CS39" i="8"/>
  <c r="CT39" i="8"/>
  <c r="CU39" i="8"/>
  <c r="CV39" i="8"/>
  <c r="CW39" i="8"/>
  <c r="CX39" i="8"/>
  <c r="CY39" i="8"/>
  <c r="CZ39" i="8"/>
  <c r="DA39" i="8"/>
  <c r="DB39" i="8"/>
  <c r="DC39" i="8"/>
  <c r="DD39" i="8"/>
  <c r="DE39" i="8"/>
  <c r="DF39" i="8"/>
  <c r="DG39" i="8"/>
  <c r="DH39" i="8"/>
  <c r="DI39" i="8"/>
  <c r="DJ39" i="8"/>
  <c r="DK39" i="8"/>
  <c r="DL39" i="8"/>
  <c r="DM39" i="8"/>
  <c r="DN39" i="8"/>
  <c r="DO39" i="8"/>
  <c r="DP39" i="8"/>
  <c r="DQ39" i="8"/>
  <c r="DR39" i="8"/>
  <c r="DS39" i="8"/>
  <c r="DT39" i="8"/>
  <c r="DU39" i="8"/>
  <c r="DV39" i="8"/>
  <c r="DW39" i="8"/>
  <c r="DX39" i="8"/>
  <c r="DY39" i="8"/>
  <c r="DZ39" i="8"/>
  <c r="EA39" i="8"/>
  <c r="EB39" i="8"/>
  <c r="EC39" i="8"/>
  <c r="ED39" i="8"/>
  <c r="EE39" i="8"/>
  <c r="EF39" i="8"/>
  <c r="EG39" i="8"/>
  <c r="EH39" i="8"/>
  <c r="EI39" i="8"/>
  <c r="EJ39" i="8"/>
  <c r="EK39" i="8"/>
  <c r="EL39" i="8"/>
  <c r="EM39" i="8"/>
  <c r="EN39" i="8"/>
  <c r="EO39" i="8"/>
  <c r="EP39" i="8"/>
  <c r="EQ39" i="8"/>
  <c r="ER39" i="8"/>
  <c r="ES39" i="8"/>
  <c r="ET39" i="8"/>
  <c r="EU39" i="8"/>
  <c r="EV39" i="8"/>
  <c r="EW39" i="8"/>
  <c r="EX39" i="8"/>
  <c r="EY39" i="8"/>
  <c r="EZ39" i="8"/>
  <c r="FA39" i="8"/>
  <c r="FB39" i="8"/>
  <c r="FC39" i="8"/>
  <c r="FD39" i="8"/>
  <c r="FE39" i="8"/>
  <c r="FF39" i="8"/>
  <c r="FG39" i="8"/>
  <c r="FH39" i="8"/>
  <c r="FI39" i="8"/>
  <c r="FJ39" i="8"/>
  <c r="FK39" i="8"/>
  <c r="FL39" i="8"/>
  <c r="FM39" i="8"/>
  <c r="FN39" i="8"/>
  <c r="FO39" i="8"/>
  <c r="FP39" i="8"/>
  <c r="FQ39" i="8"/>
  <c r="FR39" i="8"/>
  <c r="FS39" i="8"/>
  <c r="FT39" i="8"/>
  <c r="FU39" i="8"/>
  <c r="FV39" i="8"/>
  <c r="FW39" i="8"/>
  <c r="FX39" i="8"/>
  <c r="FY39" i="8"/>
  <c r="FZ39" i="8"/>
  <c r="GA39" i="8"/>
  <c r="GB39" i="8"/>
  <c r="GC39" i="8"/>
  <c r="GD39" i="8"/>
  <c r="GE39" i="8"/>
  <c r="GF39" i="8"/>
  <c r="GG39" i="8"/>
  <c r="GH39" i="8"/>
  <c r="GI39" i="8"/>
  <c r="GJ39" i="8"/>
  <c r="GK39" i="8"/>
  <c r="GL39" i="8"/>
  <c r="GM39" i="8"/>
  <c r="GN39" i="8"/>
  <c r="GO39" i="8"/>
  <c r="GP39" i="8"/>
  <c r="GQ39" i="8"/>
  <c r="GR39" i="8"/>
  <c r="GS39" i="8"/>
  <c r="GT39" i="8"/>
  <c r="GU39" i="8"/>
  <c r="GV39" i="8"/>
  <c r="GW39" i="8"/>
  <c r="GX39" i="8"/>
  <c r="GY39" i="8"/>
  <c r="GZ39" i="8"/>
  <c r="HA39" i="8"/>
  <c r="HB39" i="8"/>
  <c r="HC39" i="8"/>
  <c r="HD39" i="8"/>
  <c r="HE39" i="8"/>
  <c r="HF39" i="8"/>
  <c r="HG39" i="8"/>
  <c r="HH39" i="8"/>
  <c r="HI39" i="8"/>
  <c r="HJ39" i="8"/>
  <c r="HK39" i="8"/>
  <c r="HL39" i="8"/>
  <c r="HM39" i="8"/>
  <c r="HN39" i="8"/>
  <c r="HO39" i="8"/>
  <c r="HP39" i="8"/>
  <c r="HQ39" i="8"/>
  <c r="HR39" i="8"/>
  <c r="HS39" i="8"/>
  <c r="HT39" i="8"/>
  <c r="HU39" i="8"/>
  <c r="HV39" i="8"/>
  <c r="HW39" i="8"/>
  <c r="HX39" i="8"/>
  <c r="HY39" i="8"/>
  <c r="HZ39" i="8"/>
  <c r="IA39" i="8"/>
  <c r="IB39" i="8"/>
  <c r="IC39" i="8"/>
  <c r="ID39" i="8"/>
  <c r="IE39" i="8"/>
  <c r="IF39" i="8"/>
  <c r="IG39" i="8"/>
  <c r="IH39" i="8"/>
  <c r="II39" i="8"/>
  <c r="IJ39" i="8"/>
  <c r="IK39" i="8"/>
  <c r="IL39" i="8"/>
  <c r="IM39" i="8"/>
  <c r="IN39" i="8"/>
  <c r="IO39" i="8"/>
  <c r="IP39" i="8"/>
  <c r="IQ39" i="8"/>
  <c r="IR39" i="8"/>
  <c r="IS39" i="8"/>
  <c r="IT39" i="8"/>
  <c r="IU39" i="8"/>
  <c r="IV39" i="8"/>
  <c r="A40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BK40" i="8"/>
  <c r="BL40" i="8"/>
  <c r="BM40" i="8"/>
  <c r="BN40" i="8"/>
  <c r="BO40" i="8"/>
  <c r="BP40" i="8"/>
  <c r="BQ40" i="8"/>
  <c r="BR40" i="8"/>
  <c r="BS40" i="8"/>
  <c r="BT40" i="8"/>
  <c r="BU40" i="8"/>
  <c r="BV40" i="8"/>
  <c r="BW40" i="8"/>
  <c r="BX40" i="8"/>
  <c r="BY40" i="8"/>
  <c r="BZ40" i="8"/>
  <c r="CA40" i="8"/>
  <c r="CB40" i="8"/>
  <c r="CC40" i="8"/>
  <c r="CD40" i="8"/>
  <c r="CE40" i="8"/>
  <c r="CF40" i="8"/>
  <c r="CG40" i="8"/>
  <c r="CH40" i="8"/>
  <c r="CI40" i="8"/>
  <c r="CJ40" i="8"/>
  <c r="CK40" i="8"/>
  <c r="CL40" i="8"/>
  <c r="CM40" i="8"/>
  <c r="CN40" i="8"/>
  <c r="CO40" i="8"/>
  <c r="CP40" i="8"/>
  <c r="CQ40" i="8"/>
  <c r="CR40" i="8"/>
  <c r="CS40" i="8"/>
  <c r="CT40" i="8"/>
  <c r="CU40" i="8"/>
  <c r="CV40" i="8"/>
  <c r="CW40" i="8"/>
  <c r="CX40" i="8"/>
  <c r="CY40" i="8"/>
  <c r="CZ40" i="8"/>
  <c r="DA40" i="8"/>
  <c r="DB40" i="8"/>
  <c r="DC40" i="8"/>
  <c r="DD40" i="8"/>
  <c r="DE40" i="8"/>
  <c r="DF40" i="8"/>
  <c r="DG40" i="8"/>
  <c r="DH40" i="8"/>
  <c r="DI40" i="8"/>
  <c r="DJ40" i="8"/>
  <c r="DK40" i="8"/>
  <c r="DL40" i="8"/>
  <c r="DM40" i="8"/>
  <c r="DN40" i="8"/>
  <c r="DO40" i="8"/>
  <c r="DP40" i="8"/>
  <c r="DQ40" i="8"/>
  <c r="DR40" i="8"/>
  <c r="DS40" i="8"/>
  <c r="DT40" i="8"/>
  <c r="DU40" i="8"/>
  <c r="DV40" i="8"/>
  <c r="DW40" i="8"/>
  <c r="DX40" i="8"/>
  <c r="DY40" i="8"/>
  <c r="DZ40" i="8"/>
  <c r="EA40" i="8"/>
  <c r="EB40" i="8"/>
  <c r="EC40" i="8"/>
  <c r="ED40" i="8"/>
  <c r="EE40" i="8"/>
  <c r="EF40" i="8"/>
  <c r="EG40" i="8"/>
  <c r="EH40" i="8"/>
  <c r="EI40" i="8"/>
  <c r="EJ40" i="8"/>
  <c r="EK40" i="8"/>
  <c r="EL40" i="8"/>
  <c r="EM40" i="8"/>
  <c r="EN40" i="8"/>
  <c r="EO40" i="8"/>
  <c r="EP40" i="8"/>
  <c r="EQ40" i="8"/>
  <c r="ER40" i="8"/>
  <c r="ES40" i="8"/>
  <c r="ET40" i="8"/>
  <c r="EU40" i="8"/>
  <c r="EV40" i="8"/>
  <c r="EW40" i="8"/>
  <c r="EX40" i="8"/>
  <c r="EY40" i="8"/>
  <c r="EZ40" i="8"/>
  <c r="FA40" i="8"/>
  <c r="FB40" i="8"/>
  <c r="FC40" i="8"/>
  <c r="FD40" i="8"/>
  <c r="FE40" i="8"/>
  <c r="FF40" i="8"/>
  <c r="FG40" i="8"/>
  <c r="FH40" i="8"/>
  <c r="FI40" i="8"/>
  <c r="FJ40" i="8"/>
  <c r="FK40" i="8"/>
  <c r="FL40" i="8"/>
  <c r="FM40" i="8"/>
  <c r="FN40" i="8"/>
  <c r="FO40" i="8"/>
  <c r="FP40" i="8"/>
  <c r="FQ40" i="8"/>
  <c r="FR40" i="8"/>
  <c r="FS40" i="8"/>
  <c r="FT40" i="8"/>
  <c r="FU40" i="8"/>
  <c r="FV40" i="8"/>
  <c r="FW40" i="8"/>
  <c r="FX40" i="8"/>
  <c r="FY40" i="8"/>
  <c r="FZ40" i="8"/>
  <c r="GA40" i="8"/>
  <c r="GB40" i="8"/>
  <c r="GC40" i="8"/>
  <c r="GD40" i="8"/>
  <c r="GE40" i="8"/>
  <c r="GF40" i="8"/>
  <c r="GG40" i="8"/>
  <c r="GH40" i="8"/>
  <c r="GI40" i="8"/>
  <c r="GJ40" i="8"/>
  <c r="GK40" i="8"/>
  <c r="GL40" i="8"/>
  <c r="GM40" i="8"/>
  <c r="GN40" i="8"/>
  <c r="GO40" i="8"/>
  <c r="GP40" i="8"/>
  <c r="GQ40" i="8"/>
  <c r="GR40" i="8"/>
  <c r="GS40" i="8"/>
  <c r="GT40" i="8"/>
  <c r="GU40" i="8"/>
  <c r="GV40" i="8"/>
  <c r="GW40" i="8"/>
  <c r="GX40" i="8"/>
  <c r="GY40" i="8"/>
  <c r="GZ40" i="8"/>
  <c r="HA40" i="8"/>
  <c r="HB40" i="8"/>
  <c r="HC40" i="8"/>
  <c r="HD40" i="8"/>
  <c r="HE40" i="8"/>
  <c r="HF40" i="8"/>
  <c r="HG40" i="8"/>
  <c r="HH40" i="8"/>
  <c r="HI40" i="8"/>
  <c r="HJ40" i="8"/>
  <c r="HK40" i="8"/>
  <c r="HL40" i="8"/>
  <c r="HM40" i="8"/>
  <c r="HN40" i="8"/>
  <c r="HO40" i="8"/>
  <c r="HP40" i="8"/>
  <c r="HQ40" i="8"/>
  <c r="HR40" i="8"/>
  <c r="HS40" i="8"/>
  <c r="HT40" i="8"/>
  <c r="HU40" i="8"/>
  <c r="HV40" i="8"/>
  <c r="HW40" i="8"/>
  <c r="HX40" i="8"/>
  <c r="HY40" i="8"/>
  <c r="HZ40" i="8"/>
  <c r="IA40" i="8"/>
  <c r="IB40" i="8"/>
  <c r="IC40" i="8"/>
  <c r="ID40" i="8"/>
  <c r="IE40" i="8"/>
  <c r="IF40" i="8"/>
  <c r="IG40" i="8"/>
  <c r="IH40" i="8"/>
  <c r="II40" i="8"/>
  <c r="IJ40" i="8"/>
  <c r="IK40" i="8"/>
  <c r="IL40" i="8"/>
  <c r="IM40" i="8"/>
  <c r="IN40" i="8"/>
  <c r="IO40" i="8"/>
  <c r="IP40" i="8"/>
  <c r="IQ40" i="8"/>
  <c r="IR40" i="8"/>
  <c r="IS40" i="8"/>
  <c r="IT40" i="8"/>
  <c r="IU40" i="8"/>
  <c r="IV40" i="8"/>
  <c r="A41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BV41" i="8"/>
  <c r="BW41" i="8"/>
  <c r="BX41" i="8"/>
  <c r="BY41" i="8"/>
  <c r="BZ41" i="8"/>
  <c r="CA41" i="8"/>
  <c r="CB41" i="8"/>
  <c r="CC41" i="8"/>
  <c r="CD41" i="8"/>
  <c r="CE41" i="8"/>
  <c r="CF41" i="8"/>
  <c r="CG41" i="8"/>
  <c r="CH41" i="8"/>
  <c r="CI41" i="8"/>
  <c r="CJ41" i="8"/>
  <c r="CK41" i="8"/>
  <c r="CL41" i="8"/>
  <c r="CM41" i="8"/>
  <c r="CN41" i="8"/>
  <c r="CO41" i="8"/>
  <c r="CP41" i="8"/>
  <c r="CQ41" i="8"/>
  <c r="CR41" i="8"/>
  <c r="CS41" i="8"/>
  <c r="CT41" i="8"/>
  <c r="CU41" i="8"/>
  <c r="CV41" i="8"/>
  <c r="CW41" i="8"/>
  <c r="CX41" i="8"/>
  <c r="CY41" i="8"/>
  <c r="CZ41" i="8"/>
  <c r="DA41" i="8"/>
  <c r="DB41" i="8"/>
  <c r="DC41" i="8"/>
  <c r="DD41" i="8"/>
  <c r="DE41" i="8"/>
  <c r="DF41" i="8"/>
  <c r="DG41" i="8"/>
  <c r="DH41" i="8"/>
  <c r="DI41" i="8"/>
  <c r="DJ41" i="8"/>
  <c r="DK41" i="8"/>
  <c r="DL41" i="8"/>
  <c r="DM41" i="8"/>
  <c r="DN41" i="8"/>
  <c r="DO41" i="8"/>
  <c r="DP41" i="8"/>
  <c r="DQ41" i="8"/>
  <c r="DR41" i="8"/>
  <c r="DS41" i="8"/>
  <c r="DT41" i="8"/>
  <c r="DU41" i="8"/>
  <c r="DV41" i="8"/>
  <c r="DW41" i="8"/>
  <c r="DX41" i="8"/>
  <c r="DY41" i="8"/>
  <c r="DZ41" i="8"/>
  <c r="EA41" i="8"/>
  <c r="EB41" i="8"/>
  <c r="EC41" i="8"/>
  <c r="ED41" i="8"/>
  <c r="EE41" i="8"/>
  <c r="EF41" i="8"/>
  <c r="EG41" i="8"/>
  <c r="EH41" i="8"/>
  <c r="EI41" i="8"/>
  <c r="EJ41" i="8"/>
  <c r="EK41" i="8"/>
  <c r="EL41" i="8"/>
  <c r="EM41" i="8"/>
  <c r="EN41" i="8"/>
  <c r="EO41" i="8"/>
  <c r="EP41" i="8"/>
  <c r="EQ41" i="8"/>
  <c r="ER41" i="8"/>
  <c r="ES41" i="8"/>
  <c r="ET41" i="8"/>
  <c r="EU41" i="8"/>
  <c r="EV41" i="8"/>
  <c r="EW41" i="8"/>
  <c r="EX41" i="8"/>
  <c r="EY41" i="8"/>
  <c r="EZ41" i="8"/>
  <c r="FA41" i="8"/>
  <c r="FB41" i="8"/>
  <c r="FC41" i="8"/>
  <c r="FD41" i="8"/>
  <c r="FE41" i="8"/>
  <c r="FF41" i="8"/>
  <c r="FG41" i="8"/>
  <c r="FH41" i="8"/>
  <c r="FI41" i="8"/>
  <c r="FJ41" i="8"/>
  <c r="FK41" i="8"/>
  <c r="FL41" i="8"/>
  <c r="FM41" i="8"/>
  <c r="FN41" i="8"/>
  <c r="FO41" i="8"/>
  <c r="FP41" i="8"/>
  <c r="FQ41" i="8"/>
  <c r="FR41" i="8"/>
  <c r="FS41" i="8"/>
  <c r="FT41" i="8"/>
  <c r="FU41" i="8"/>
  <c r="FV41" i="8"/>
  <c r="FW41" i="8"/>
  <c r="FX41" i="8"/>
  <c r="FY41" i="8"/>
  <c r="FZ41" i="8"/>
  <c r="GA41" i="8"/>
  <c r="GB41" i="8"/>
  <c r="GC41" i="8"/>
  <c r="GD41" i="8"/>
  <c r="GE41" i="8"/>
  <c r="GF41" i="8"/>
  <c r="GG41" i="8"/>
  <c r="GH41" i="8"/>
  <c r="GI41" i="8"/>
  <c r="GJ41" i="8"/>
  <c r="GK41" i="8"/>
  <c r="GL41" i="8"/>
  <c r="GM41" i="8"/>
  <c r="GN41" i="8"/>
  <c r="GO41" i="8"/>
  <c r="GP41" i="8"/>
  <c r="GQ41" i="8"/>
  <c r="GR41" i="8"/>
  <c r="GS41" i="8"/>
  <c r="GT41" i="8"/>
  <c r="GU41" i="8"/>
  <c r="GV41" i="8"/>
  <c r="GW41" i="8"/>
  <c r="GX41" i="8"/>
  <c r="GY41" i="8"/>
  <c r="GZ41" i="8"/>
  <c r="HA41" i="8"/>
  <c r="HB41" i="8"/>
  <c r="HC41" i="8"/>
  <c r="HD41" i="8"/>
  <c r="HE41" i="8"/>
  <c r="HF41" i="8"/>
  <c r="HG41" i="8"/>
  <c r="HH41" i="8"/>
  <c r="HI41" i="8"/>
  <c r="HJ41" i="8"/>
  <c r="HK41" i="8"/>
  <c r="HL41" i="8"/>
  <c r="HM41" i="8"/>
  <c r="HN41" i="8"/>
  <c r="HO41" i="8"/>
  <c r="HP41" i="8"/>
  <c r="HQ41" i="8"/>
  <c r="HR41" i="8"/>
  <c r="HS41" i="8"/>
  <c r="HT41" i="8"/>
  <c r="HU41" i="8"/>
  <c r="HV41" i="8"/>
  <c r="HW41" i="8"/>
  <c r="HX41" i="8"/>
  <c r="HY41" i="8"/>
  <c r="HZ41" i="8"/>
  <c r="IA41" i="8"/>
  <c r="IB41" i="8"/>
  <c r="IC41" i="8"/>
  <c r="ID41" i="8"/>
  <c r="IE41" i="8"/>
  <c r="IF41" i="8"/>
  <c r="IG41" i="8"/>
  <c r="IH41" i="8"/>
  <c r="II41" i="8"/>
  <c r="IJ41" i="8"/>
  <c r="IK41" i="8"/>
  <c r="IL41" i="8"/>
  <c r="IM41" i="8"/>
  <c r="IN41" i="8"/>
  <c r="IO41" i="8"/>
  <c r="IP41" i="8"/>
  <c r="IQ41" i="8"/>
  <c r="IR41" i="8"/>
  <c r="IS41" i="8"/>
  <c r="IT41" i="8"/>
  <c r="IU41" i="8"/>
  <c r="IV41" i="8"/>
  <c r="A42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BK42" i="8"/>
  <c r="BL42" i="8"/>
  <c r="BM42" i="8"/>
  <c r="BN42" i="8"/>
  <c r="BO42" i="8"/>
  <c r="BP42" i="8"/>
  <c r="BQ42" i="8"/>
  <c r="BR42" i="8"/>
  <c r="BS42" i="8"/>
  <c r="BT42" i="8"/>
  <c r="BU42" i="8"/>
  <c r="BV42" i="8"/>
  <c r="BW42" i="8"/>
  <c r="BX42" i="8"/>
  <c r="BY42" i="8"/>
  <c r="BZ42" i="8"/>
  <c r="CA42" i="8"/>
  <c r="CB42" i="8"/>
  <c r="CC42" i="8"/>
  <c r="CD42" i="8"/>
  <c r="CE42" i="8"/>
  <c r="CF42" i="8"/>
  <c r="CG42" i="8"/>
  <c r="CH42" i="8"/>
  <c r="CI42" i="8"/>
  <c r="CJ42" i="8"/>
  <c r="CK42" i="8"/>
  <c r="CL42" i="8"/>
  <c r="CM42" i="8"/>
  <c r="CN42" i="8"/>
  <c r="CO42" i="8"/>
  <c r="CP42" i="8"/>
  <c r="CQ42" i="8"/>
  <c r="CR42" i="8"/>
  <c r="CS42" i="8"/>
  <c r="CT42" i="8"/>
  <c r="CU42" i="8"/>
  <c r="CV42" i="8"/>
  <c r="CW42" i="8"/>
  <c r="CX42" i="8"/>
  <c r="CY42" i="8"/>
  <c r="CZ42" i="8"/>
  <c r="DA42" i="8"/>
  <c r="DB42" i="8"/>
  <c r="DC42" i="8"/>
  <c r="DD42" i="8"/>
  <c r="DE42" i="8"/>
  <c r="DF42" i="8"/>
  <c r="DG42" i="8"/>
  <c r="DH42" i="8"/>
  <c r="DI42" i="8"/>
  <c r="DJ42" i="8"/>
  <c r="DK42" i="8"/>
  <c r="DL42" i="8"/>
  <c r="DM42" i="8"/>
  <c r="DN42" i="8"/>
  <c r="DO42" i="8"/>
  <c r="DP42" i="8"/>
  <c r="DQ42" i="8"/>
  <c r="DR42" i="8"/>
  <c r="DS42" i="8"/>
  <c r="DT42" i="8"/>
  <c r="DU42" i="8"/>
  <c r="DV42" i="8"/>
  <c r="DW42" i="8"/>
  <c r="DX42" i="8"/>
  <c r="DY42" i="8"/>
  <c r="DZ42" i="8"/>
  <c r="EA42" i="8"/>
  <c r="EB42" i="8"/>
  <c r="EC42" i="8"/>
  <c r="ED42" i="8"/>
  <c r="EE42" i="8"/>
  <c r="EF42" i="8"/>
  <c r="EG42" i="8"/>
  <c r="EH42" i="8"/>
  <c r="EI42" i="8"/>
  <c r="EJ42" i="8"/>
  <c r="EK42" i="8"/>
  <c r="EL42" i="8"/>
  <c r="EM42" i="8"/>
  <c r="EN42" i="8"/>
  <c r="EO42" i="8"/>
  <c r="EP42" i="8"/>
  <c r="EQ42" i="8"/>
  <c r="ER42" i="8"/>
  <c r="ES42" i="8"/>
  <c r="ET42" i="8"/>
  <c r="EU42" i="8"/>
  <c r="EV42" i="8"/>
  <c r="EW42" i="8"/>
  <c r="EX42" i="8"/>
  <c r="EY42" i="8"/>
  <c r="EZ42" i="8"/>
  <c r="FA42" i="8"/>
  <c r="FB42" i="8"/>
  <c r="FC42" i="8"/>
  <c r="FD42" i="8"/>
  <c r="FE42" i="8"/>
  <c r="FF42" i="8"/>
  <c r="FG42" i="8"/>
  <c r="FH42" i="8"/>
  <c r="FI42" i="8"/>
  <c r="FJ42" i="8"/>
  <c r="FK42" i="8"/>
  <c r="FL42" i="8"/>
  <c r="FM42" i="8"/>
  <c r="FN42" i="8"/>
  <c r="FO42" i="8"/>
  <c r="FP42" i="8"/>
  <c r="FQ42" i="8"/>
  <c r="FR42" i="8"/>
  <c r="FS42" i="8"/>
  <c r="FT42" i="8"/>
  <c r="FU42" i="8"/>
  <c r="FV42" i="8"/>
  <c r="FW42" i="8"/>
  <c r="FX42" i="8"/>
  <c r="FY42" i="8"/>
  <c r="FZ42" i="8"/>
  <c r="GA42" i="8"/>
  <c r="GB42" i="8"/>
  <c r="GC42" i="8"/>
  <c r="GD42" i="8"/>
  <c r="GE42" i="8"/>
  <c r="GF42" i="8"/>
  <c r="GG42" i="8"/>
  <c r="GH42" i="8"/>
  <c r="GI42" i="8"/>
  <c r="GJ42" i="8"/>
  <c r="GK42" i="8"/>
  <c r="GL42" i="8"/>
  <c r="GM42" i="8"/>
  <c r="GN42" i="8"/>
  <c r="GO42" i="8"/>
  <c r="GP42" i="8"/>
  <c r="GQ42" i="8"/>
  <c r="GR42" i="8"/>
  <c r="GS42" i="8"/>
  <c r="GT42" i="8"/>
  <c r="GU42" i="8"/>
  <c r="GV42" i="8"/>
  <c r="GW42" i="8"/>
  <c r="GX42" i="8"/>
  <c r="GY42" i="8"/>
  <c r="GZ42" i="8"/>
  <c r="HA42" i="8"/>
  <c r="HB42" i="8"/>
  <c r="HC42" i="8"/>
  <c r="HD42" i="8"/>
  <c r="HE42" i="8"/>
  <c r="HF42" i="8"/>
  <c r="HG42" i="8"/>
  <c r="HH42" i="8"/>
  <c r="HI42" i="8"/>
  <c r="HJ42" i="8"/>
  <c r="HK42" i="8"/>
  <c r="HL42" i="8"/>
  <c r="HM42" i="8"/>
  <c r="HN42" i="8"/>
  <c r="HO42" i="8"/>
  <c r="HP42" i="8"/>
  <c r="HQ42" i="8"/>
  <c r="HR42" i="8"/>
  <c r="HS42" i="8"/>
  <c r="HT42" i="8"/>
  <c r="HU42" i="8"/>
  <c r="HV42" i="8"/>
  <c r="HW42" i="8"/>
  <c r="HX42" i="8"/>
  <c r="HY42" i="8"/>
  <c r="HZ42" i="8"/>
  <c r="IA42" i="8"/>
  <c r="IB42" i="8"/>
  <c r="IC42" i="8"/>
  <c r="ID42" i="8"/>
  <c r="IE42" i="8"/>
  <c r="IF42" i="8"/>
  <c r="IG42" i="8"/>
  <c r="IH42" i="8"/>
  <c r="II42" i="8"/>
  <c r="IJ42" i="8"/>
  <c r="IK42" i="8"/>
  <c r="IL42" i="8"/>
  <c r="IM42" i="8"/>
  <c r="IN42" i="8"/>
  <c r="IO42" i="8"/>
  <c r="IP42" i="8"/>
  <c r="IQ42" i="8"/>
  <c r="IR42" i="8"/>
  <c r="IS42" i="8"/>
  <c r="IT42" i="8"/>
  <c r="IU42" i="8"/>
  <c r="IV42" i="8"/>
  <c r="A43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BK43" i="8"/>
  <c r="BL43" i="8"/>
  <c r="BM43" i="8"/>
  <c r="BN43" i="8"/>
  <c r="BO43" i="8"/>
  <c r="BP43" i="8"/>
  <c r="BQ43" i="8"/>
  <c r="BR43" i="8"/>
  <c r="BS43" i="8"/>
  <c r="BT43" i="8"/>
  <c r="BU43" i="8"/>
  <c r="BV43" i="8"/>
  <c r="BW43" i="8"/>
  <c r="BX43" i="8"/>
  <c r="BY43" i="8"/>
  <c r="BZ43" i="8"/>
  <c r="CA43" i="8"/>
  <c r="CB43" i="8"/>
  <c r="CC43" i="8"/>
  <c r="CD43" i="8"/>
  <c r="CE43" i="8"/>
  <c r="CF43" i="8"/>
  <c r="CG43" i="8"/>
  <c r="CH43" i="8"/>
  <c r="CI43" i="8"/>
  <c r="CJ43" i="8"/>
  <c r="CK43" i="8"/>
  <c r="CL43" i="8"/>
  <c r="CM43" i="8"/>
  <c r="CN43" i="8"/>
  <c r="CO43" i="8"/>
  <c r="CP43" i="8"/>
  <c r="CQ43" i="8"/>
  <c r="CR43" i="8"/>
  <c r="CS43" i="8"/>
  <c r="CT43" i="8"/>
  <c r="CU43" i="8"/>
  <c r="CV43" i="8"/>
  <c r="CW43" i="8"/>
  <c r="CX43" i="8"/>
  <c r="CY43" i="8"/>
  <c r="CZ43" i="8"/>
  <c r="DA43" i="8"/>
  <c r="DB43" i="8"/>
  <c r="DC43" i="8"/>
  <c r="DD43" i="8"/>
  <c r="DE43" i="8"/>
  <c r="DF43" i="8"/>
  <c r="DG43" i="8"/>
  <c r="DH43" i="8"/>
  <c r="DI43" i="8"/>
  <c r="DJ43" i="8"/>
  <c r="DK43" i="8"/>
  <c r="DL43" i="8"/>
  <c r="DM43" i="8"/>
  <c r="DN43" i="8"/>
  <c r="DO43" i="8"/>
  <c r="DP43" i="8"/>
  <c r="DQ43" i="8"/>
  <c r="DR43" i="8"/>
  <c r="DS43" i="8"/>
  <c r="DT43" i="8"/>
  <c r="DU43" i="8"/>
  <c r="DV43" i="8"/>
  <c r="DW43" i="8"/>
  <c r="DX43" i="8"/>
  <c r="DY43" i="8"/>
  <c r="DZ43" i="8"/>
  <c r="EA43" i="8"/>
  <c r="EB43" i="8"/>
  <c r="EC43" i="8"/>
  <c r="ED43" i="8"/>
  <c r="EE43" i="8"/>
  <c r="EF43" i="8"/>
  <c r="EG43" i="8"/>
  <c r="EH43" i="8"/>
  <c r="EI43" i="8"/>
  <c r="EJ43" i="8"/>
  <c r="EK43" i="8"/>
  <c r="EL43" i="8"/>
  <c r="EM43" i="8"/>
  <c r="EN43" i="8"/>
  <c r="EO43" i="8"/>
  <c r="EP43" i="8"/>
  <c r="EQ43" i="8"/>
  <c r="ER43" i="8"/>
  <c r="ES43" i="8"/>
  <c r="ET43" i="8"/>
  <c r="EU43" i="8"/>
  <c r="EV43" i="8"/>
  <c r="EW43" i="8"/>
  <c r="EX43" i="8"/>
  <c r="EY43" i="8"/>
  <c r="EZ43" i="8"/>
  <c r="FA43" i="8"/>
  <c r="FB43" i="8"/>
  <c r="FC43" i="8"/>
  <c r="FD43" i="8"/>
  <c r="FE43" i="8"/>
  <c r="FF43" i="8"/>
  <c r="FG43" i="8"/>
  <c r="FH43" i="8"/>
  <c r="FI43" i="8"/>
  <c r="FJ43" i="8"/>
  <c r="FK43" i="8"/>
  <c r="FL43" i="8"/>
  <c r="FM43" i="8"/>
  <c r="FN43" i="8"/>
  <c r="FO43" i="8"/>
  <c r="FP43" i="8"/>
  <c r="FQ43" i="8"/>
  <c r="FR43" i="8"/>
  <c r="FS43" i="8"/>
  <c r="FT43" i="8"/>
  <c r="FU43" i="8"/>
  <c r="FV43" i="8"/>
  <c r="FW43" i="8"/>
  <c r="FX43" i="8"/>
  <c r="FY43" i="8"/>
  <c r="FZ43" i="8"/>
  <c r="GA43" i="8"/>
  <c r="GB43" i="8"/>
  <c r="GC43" i="8"/>
  <c r="GD43" i="8"/>
  <c r="GE43" i="8"/>
  <c r="GF43" i="8"/>
  <c r="GG43" i="8"/>
  <c r="GH43" i="8"/>
  <c r="GI43" i="8"/>
  <c r="GJ43" i="8"/>
  <c r="GK43" i="8"/>
  <c r="GL43" i="8"/>
  <c r="GM43" i="8"/>
  <c r="GN43" i="8"/>
  <c r="GO43" i="8"/>
  <c r="GP43" i="8"/>
  <c r="GQ43" i="8"/>
  <c r="GR43" i="8"/>
  <c r="GS43" i="8"/>
  <c r="GT43" i="8"/>
  <c r="GU43" i="8"/>
  <c r="GV43" i="8"/>
  <c r="GW43" i="8"/>
  <c r="GX43" i="8"/>
  <c r="GY43" i="8"/>
  <c r="GZ43" i="8"/>
  <c r="HA43" i="8"/>
  <c r="HB43" i="8"/>
  <c r="HC43" i="8"/>
  <c r="HD43" i="8"/>
  <c r="HE43" i="8"/>
  <c r="HF43" i="8"/>
  <c r="HG43" i="8"/>
  <c r="HH43" i="8"/>
  <c r="HI43" i="8"/>
  <c r="HJ43" i="8"/>
  <c r="HK43" i="8"/>
  <c r="HL43" i="8"/>
  <c r="HM43" i="8"/>
  <c r="HN43" i="8"/>
  <c r="HO43" i="8"/>
  <c r="HP43" i="8"/>
  <c r="HQ43" i="8"/>
  <c r="HR43" i="8"/>
  <c r="HS43" i="8"/>
  <c r="HT43" i="8"/>
  <c r="HU43" i="8"/>
  <c r="HV43" i="8"/>
  <c r="HW43" i="8"/>
  <c r="HX43" i="8"/>
  <c r="HY43" i="8"/>
  <c r="HZ43" i="8"/>
  <c r="IA43" i="8"/>
  <c r="IB43" i="8"/>
  <c r="IC43" i="8"/>
  <c r="ID43" i="8"/>
  <c r="IE43" i="8"/>
  <c r="IF43" i="8"/>
  <c r="IG43" i="8"/>
  <c r="IH43" i="8"/>
  <c r="II43" i="8"/>
  <c r="IJ43" i="8"/>
  <c r="IK43" i="8"/>
  <c r="IL43" i="8"/>
  <c r="IM43" i="8"/>
  <c r="IN43" i="8"/>
  <c r="IO43" i="8"/>
  <c r="IP43" i="8"/>
  <c r="IQ43" i="8"/>
  <c r="IR43" i="8"/>
  <c r="IS43" i="8"/>
  <c r="IT43" i="8"/>
  <c r="IU43" i="8"/>
  <c r="IV43" i="8"/>
  <c r="A44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BK44" i="8"/>
  <c r="BL44" i="8"/>
  <c r="BM44" i="8"/>
  <c r="BN44" i="8"/>
  <c r="BO44" i="8"/>
  <c r="BP44" i="8"/>
  <c r="BQ44" i="8"/>
  <c r="BR44" i="8"/>
  <c r="BS44" i="8"/>
  <c r="BT44" i="8"/>
  <c r="BU44" i="8"/>
  <c r="BV44" i="8"/>
  <c r="BW44" i="8"/>
  <c r="BX44" i="8"/>
  <c r="BY44" i="8"/>
  <c r="BZ44" i="8"/>
  <c r="CA44" i="8"/>
  <c r="CB44" i="8"/>
  <c r="CC44" i="8"/>
  <c r="CD44" i="8"/>
  <c r="CE44" i="8"/>
  <c r="CF44" i="8"/>
  <c r="CG44" i="8"/>
  <c r="CH44" i="8"/>
  <c r="CI44" i="8"/>
  <c r="CJ44" i="8"/>
  <c r="CK44" i="8"/>
  <c r="CL44" i="8"/>
  <c r="CM44" i="8"/>
  <c r="CN44" i="8"/>
  <c r="CO44" i="8"/>
  <c r="CP44" i="8"/>
  <c r="CQ44" i="8"/>
  <c r="CR44" i="8"/>
  <c r="CS44" i="8"/>
  <c r="CT44" i="8"/>
  <c r="CU44" i="8"/>
  <c r="CV44" i="8"/>
  <c r="CW44" i="8"/>
  <c r="CX44" i="8"/>
  <c r="CY44" i="8"/>
  <c r="CZ44" i="8"/>
  <c r="DA44" i="8"/>
  <c r="DB44" i="8"/>
  <c r="DC44" i="8"/>
  <c r="DD44" i="8"/>
  <c r="DE44" i="8"/>
  <c r="DF44" i="8"/>
  <c r="DG44" i="8"/>
  <c r="DH44" i="8"/>
  <c r="DI44" i="8"/>
  <c r="DJ44" i="8"/>
  <c r="DK44" i="8"/>
  <c r="DL44" i="8"/>
  <c r="DM44" i="8"/>
  <c r="DN44" i="8"/>
  <c r="DO44" i="8"/>
  <c r="DP44" i="8"/>
  <c r="DQ44" i="8"/>
  <c r="DR44" i="8"/>
  <c r="DS44" i="8"/>
  <c r="DT44" i="8"/>
  <c r="DU44" i="8"/>
  <c r="DV44" i="8"/>
  <c r="DW44" i="8"/>
  <c r="DX44" i="8"/>
  <c r="DY44" i="8"/>
  <c r="DZ44" i="8"/>
  <c r="EA44" i="8"/>
  <c r="EB44" i="8"/>
  <c r="EC44" i="8"/>
  <c r="ED44" i="8"/>
  <c r="EE44" i="8"/>
  <c r="EF44" i="8"/>
  <c r="EG44" i="8"/>
  <c r="EH44" i="8"/>
  <c r="EI44" i="8"/>
  <c r="EJ44" i="8"/>
  <c r="EK44" i="8"/>
  <c r="EL44" i="8"/>
  <c r="EM44" i="8"/>
  <c r="EN44" i="8"/>
  <c r="EO44" i="8"/>
  <c r="EP44" i="8"/>
  <c r="EQ44" i="8"/>
  <c r="ER44" i="8"/>
  <c r="ES44" i="8"/>
  <c r="ET44" i="8"/>
  <c r="EU44" i="8"/>
  <c r="EV44" i="8"/>
  <c r="EW44" i="8"/>
  <c r="EX44" i="8"/>
  <c r="EY44" i="8"/>
  <c r="EZ44" i="8"/>
  <c r="FA44" i="8"/>
  <c r="FB44" i="8"/>
  <c r="FC44" i="8"/>
  <c r="FD44" i="8"/>
  <c r="FE44" i="8"/>
  <c r="FF44" i="8"/>
  <c r="FG44" i="8"/>
  <c r="FH44" i="8"/>
  <c r="FI44" i="8"/>
  <c r="FJ44" i="8"/>
  <c r="FK44" i="8"/>
  <c r="FL44" i="8"/>
  <c r="FM44" i="8"/>
  <c r="FN44" i="8"/>
  <c r="FO44" i="8"/>
  <c r="FP44" i="8"/>
  <c r="FQ44" i="8"/>
  <c r="FR44" i="8"/>
  <c r="FS44" i="8"/>
  <c r="FT44" i="8"/>
  <c r="FU44" i="8"/>
  <c r="FV44" i="8"/>
  <c r="FW44" i="8"/>
  <c r="FX44" i="8"/>
  <c r="FY44" i="8"/>
  <c r="FZ44" i="8"/>
  <c r="GA44" i="8"/>
  <c r="GB44" i="8"/>
  <c r="GC44" i="8"/>
  <c r="GD44" i="8"/>
  <c r="GE44" i="8"/>
  <c r="GF44" i="8"/>
  <c r="GG44" i="8"/>
  <c r="GH44" i="8"/>
  <c r="GI44" i="8"/>
  <c r="GJ44" i="8"/>
  <c r="GK44" i="8"/>
  <c r="GL44" i="8"/>
  <c r="GM44" i="8"/>
  <c r="GN44" i="8"/>
  <c r="GO44" i="8"/>
  <c r="GP44" i="8"/>
  <c r="GQ44" i="8"/>
  <c r="GR44" i="8"/>
  <c r="GS44" i="8"/>
  <c r="GT44" i="8"/>
  <c r="GU44" i="8"/>
  <c r="GV44" i="8"/>
  <c r="GW44" i="8"/>
  <c r="GX44" i="8"/>
  <c r="GY44" i="8"/>
  <c r="GZ44" i="8"/>
  <c r="HA44" i="8"/>
  <c r="HB44" i="8"/>
  <c r="HC44" i="8"/>
  <c r="HD44" i="8"/>
  <c r="HE44" i="8"/>
  <c r="HF44" i="8"/>
  <c r="HG44" i="8"/>
  <c r="HH44" i="8"/>
  <c r="HI44" i="8"/>
  <c r="HJ44" i="8"/>
  <c r="HK44" i="8"/>
  <c r="HL44" i="8"/>
  <c r="HM44" i="8"/>
  <c r="HN44" i="8"/>
  <c r="HO44" i="8"/>
  <c r="HP44" i="8"/>
  <c r="HQ44" i="8"/>
  <c r="HR44" i="8"/>
  <c r="HS44" i="8"/>
  <c r="HT44" i="8"/>
  <c r="HU44" i="8"/>
  <c r="HV44" i="8"/>
  <c r="HW44" i="8"/>
  <c r="HX44" i="8"/>
  <c r="HY44" i="8"/>
  <c r="HZ44" i="8"/>
  <c r="IA44" i="8"/>
  <c r="IB44" i="8"/>
  <c r="IC44" i="8"/>
  <c r="ID44" i="8"/>
  <c r="IE44" i="8"/>
  <c r="IF44" i="8"/>
  <c r="IG44" i="8"/>
  <c r="IH44" i="8"/>
  <c r="II44" i="8"/>
  <c r="IJ44" i="8"/>
  <c r="IK44" i="8"/>
  <c r="IL44" i="8"/>
  <c r="IM44" i="8"/>
  <c r="IN44" i="8"/>
  <c r="IO44" i="8"/>
  <c r="IP44" i="8"/>
  <c r="IQ44" i="8"/>
  <c r="IR44" i="8"/>
  <c r="IS44" i="8"/>
  <c r="IT44" i="8"/>
  <c r="IU44" i="8"/>
  <c r="IV44" i="8"/>
  <c r="A45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BK45" i="8"/>
  <c r="BL45" i="8"/>
  <c r="BM45" i="8"/>
  <c r="BN45" i="8"/>
  <c r="BO45" i="8"/>
  <c r="BP45" i="8"/>
  <c r="BQ45" i="8"/>
  <c r="BR45" i="8"/>
  <c r="BS45" i="8"/>
  <c r="BT45" i="8"/>
  <c r="BU45" i="8"/>
  <c r="BV45" i="8"/>
  <c r="BW45" i="8"/>
  <c r="BX45" i="8"/>
  <c r="BY45" i="8"/>
  <c r="BZ45" i="8"/>
  <c r="CA45" i="8"/>
  <c r="CB45" i="8"/>
  <c r="CC45" i="8"/>
  <c r="CD45" i="8"/>
  <c r="CE45" i="8"/>
  <c r="CF45" i="8"/>
  <c r="CG45" i="8"/>
  <c r="CH45" i="8"/>
  <c r="CI45" i="8"/>
  <c r="CJ45" i="8"/>
  <c r="CK45" i="8"/>
  <c r="CL45" i="8"/>
  <c r="CM45" i="8"/>
  <c r="CN45" i="8"/>
  <c r="CO45" i="8"/>
  <c r="CP45" i="8"/>
  <c r="CQ45" i="8"/>
  <c r="CR45" i="8"/>
  <c r="CS45" i="8"/>
  <c r="CT45" i="8"/>
  <c r="CU45" i="8"/>
  <c r="CV45" i="8"/>
  <c r="CW45" i="8"/>
  <c r="CX45" i="8"/>
  <c r="CY45" i="8"/>
  <c r="CZ45" i="8"/>
  <c r="DA45" i="8"/>
  <c r="DB45" i="8"/>
  <c r="DC45" i="8"/>
  <c r="DD45" i="8"/>
  <c r="DE45" i="8"/>
  <c r="DF45" i="8"/>
  <c r="DG45" i="8"/>
  <c r="DH45" i="8"/>
  <c r="DI45" i="8"/>
  <c r="DJ45" i="8"/>
  <c r="DK45" i="8"/>
  <c r="DL45" i="8"/>
  <c r="DM45" i="8"/>
  <c r="DN45" i="8"/>
  <c r="DO45" i="8"/>
  <c r="DP45" i="8"/>
  <c r="DQ45" i="8"/>
  <c r="DR45" i="8"/>
  <c r="DS45" i="8"/>
  <c r="DT45" i="8"/>
  <c r="DU45" i="8"/>
  <c r="DV45" i="8"/>
  <c r="DW45" i="8"/>
  <c r="DX45" i="8"/>
  <c r="DY45" i="8"/>
  <c r="DZ45" i="8"/>
  <c r="EA45" i="8"/>
  <c r="EB45" i="8"/>
  <c r="EC45" i="8"/>
  <c r="ED45" i="8"/>
  <c r="EE45" i="8"/>
  <c r="EF45" i="8"/>
  <c r="EG45" i="8"/>
  <c r="EH45" i="8"/>
  <c r="EI45" i="8"/>
  <c r="EJ45" i="8"/>
  <c r="EK45" i="8"/>
  <c r="EL45" i="8"/>
  <c r="EM45" i="8"/>
  <c r="EN45" i="8"/>
  <c r="EO45" i="8"/>
  <c r="EP45" i="8"/>
  <c r="EQ45" i="8"/>
  <c r="ER45" i="8"/>
  <c r="ES45" i="8"/>
  <c r="ET45" i="8"/>
  <c r="EU45" i="8"/>
  <c r="EV45" i="8"/>
  <c r="EW45" i="8"/>
  <c r="EX45" i="8"/>
  <c r="EY45" i="8"/>
  <c r="EZ45" i="8"/>
  <c r="FA45" i="8"/>
  <c r="FB45" i="8"/>
  <c r="FC45" i="8"/>
  <c r="FD45" i="8"/>
  <c r="FE45" i="8"/>
  <c r="FF45" i="8"/>
  <c r="FG45" i="8"/>
  <c r="FH45" i="8"/>
  <c r="FI45" i="8"/>
  <c r="FJ45" i="8"/>
  <c r="FK45" i="8"/>
  <c r="FL45" i="8"/>
  <c r="FM45" i="8"/>
  <c r="FN45" i="8"/>
  <c r="FO45" i="8"/>
  <c r="FP45" i="8"/>
  <c r="FQ45" i="8"/>
  <c r="FR45" i="8"/>
  <c r="FS45" i="8"/>
  <c r="FT45" i="8"/>
  <c r="FU45" i="8"/>
  <c r="FV45" i="8"/>
  <c r="FW45" i="8"/>
  <c r="FX45" i="8"/>
  <c r="FY45" i="8"/>
  <c r="FZ45" i="8"/>
  <c r="GA45" i="8"/>
  <c r="GB45" i="8"/>
  <c r="GC45" i="8"/>
  <c r="GD45" i="8"/>
  <c r="GE45" i="8"/>
  <c r="GF45" i="8"/>
  <c r="GG45" i="8"/>
  <c r="GH45" i="8"/>
  <c r="GI45" i="8"/>
  <c r="GJ45" i="8"/>
  <c r="GK45" i="8"/>
  <c r="GL45" i="8"/>
  <c r="GM45" i="8"/>
  <c r="GN45" i="8"/>
  <c r="GO45" i="8"/>
  <c r="GP45" i="8"/>
  <c r="GQ45" i="8"/>
  <c r="GR45" i="8"/>
  <c r="GS45" i="8"/>
  <c r="GT45" i="8"/>
  <c r="GU45" i="8"/>
  <c r="GV45" i="8"/>
  <c r="GW45" i="8"/>
  <c r="GX45" i="8"/>
  <c r="GY45" i="8"/>
  <c r="GZ45" i="8"/>
  <c r="HA45" i="8"/>
  <c r="HB45" i="8"/>
  <c r="HC45" i="8"/>
  <c r="HD45" i="8"/>
  <c r="HE45" i="8"/>
  <c r="HF45" i="8"/>
  <c r="HG45" i="8"/>
  <c r="HH45" i="8"/>
  <c r="HI45" i="8"/>
  <c r="HJ45" i="8"/>
  <c r="HK45" i="8"/>
  <c r="HL45" i="8"/>
  <c r="HM45" i="8"/>
  <c r="HN45" i="8"/>
  <c r="HO45" i="8"/>
  <c r="HP45" i="8"/>
  <c r="HQ45" i="8"/>
  <c r="HR45" i="8"/>
  <c r="HS45" i="8"/>
  <c r="HT45" i="8"/>
  <c r="HU45" i="8"/>
  <c r="HV45" i="8"/>
  <c r="HW45" i="8"/>
  <c r="HX45" i="8"/>
  <c r="HY45" i="8"/>
  <c r="HZ45" i="8"/>
  <c r="IA45" i="8"/>
  <c r="IB45" i="8"/>
  <c r="IC45" i="8"/>
  <c r="ID45" i="8"/>
  <c r="IE45" i="8"/>
  <c r="IF45" i="8"/>
  <c r="IG45" i="8"/>
  <c r="IH45" i="8"/>
  <c r="II45" i="8"/>
  <c r="IJ45" i="8"/>
  <c r="IK45" i="8"/>
  <c r="IL45" i="8"/>
  <c r="IM45" i="8"/>
  <c r="IN45" i="8"/>
  <c r="IO45" i="8"/>
  <c r="IP45" i="8"/>
  <c r="IQ45" i="8"/>
  <c r="IR45" i="8"/>
  <c r="IS45" i="8"/>
  <c r="IT45" i="8"/>
  <c r="IU45" i="8"/>
  <c r="IV45" i="8"/>
  <c r="A46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BK46" i="8"/>
  <c r="BL46" i="8"/>
  <c r="BM46" i="8"/>
  <c r="BN46" i="8"/>
  <c r="BO46" i="8"/>
  <c r="BP46" i="8"/>
  <c r="BQ46" i="8"/>
  <c r="BR46" i="8"/>
  <c r="BS46" i="8"/>
  <c r="BT46" i="8"/>
  <c r="BU46" i="8"/>
  <c r="BV46" i="8"/>
  <c r="BW46" i="8"/>
  <c r="BX46" i="8"/>
  <c r="BY46" i="8"/>
  <c r="BZ46" i="8"/>
  <c r="CA46" i="8"/>
  <c r="CB46" i="8"/>
  <c r="CC46" i="8"/>
  <c r="CD46" i="8"/>
  <c r="CE46" i="8"/>
  <c r="CF46" i="8"/>
  <c r="CG46" i="8"/>
  <c r="CH46" i="8"/>
  <c r="CI46" i="8"/>
  <c r="CJ46" i="8"/>
  <c r="CK46" i="8"/>
  <c r="CL46" i="8"/>
  <c r="CM46" i="8"/>
  <c r="CN46" i="8"/>
  <c r="CO46" i="8"/>
  <c r="CP46" i="8"/>
  <c r="CQ46" i="8"/>
  <c r="CR46" i="8"/>
  <c r="CS46" i="8"/>
  <c r="CT46" i="8"/>
  <c r="CU46" i="8"/>
  <c r="CV46" i="8"/>
  <c r="CW46" i="8"/>
  <c r="CX46" i="8"/>
  <c r="CY46" i="8"/>
  <c r="CZ46" i="8"/>
  <c r="DA46" i="8"/>
  <c r="DB46" i="8"/>
  <c r="DC46" i="8"/>
  <c r="DD46" i="8"/>
  <c r="DE46" i="8"/>
  <c r="DF46" i="8"/>
  <c r="DG46" i="8"/>
  <c r="DH46" i="8"/>
  <c r="DI46" i="8"/>
  <c r="DJ46" i="8"/>
  <c r="DK46" i="8"/>
  <c r="DL46" i="8"/>
  <c r="DM46" i="8"/>
  <c r="DN46" i="8"/>
  <c r="DO46" i="8"/>
  <c r="DP46" i="8"/>
  <c r="DQ46" i="8"/>
  <c r="DR46" i="8"/>
  <c r="DS46" i="8"/>
  <c r="DT46" i="8"/>
  <c r="DU46" i="8"/>
  <c r="DV46" i="8"/>
  <c r="DW46" i="8"/>
  <c r="DX46" i="8"/>
  <c r="DY46" i="8"/>
  <c r="DZ46" i="8"/>
  <c r="EA46" i="8"/>
  <c r="EB46" i="8"/>
  <c r="EC46" i="8"/>
  <c r="ED46" i="8"/>
  <c r="EE46" i="8"/>
  <c r="EF46" i="8"/>
  <c r="EG46" i="8"/>
  <c r="EH46" i="8"/>
  <c r="EI46" i="8"/>
  <c r="EJ46" i="8"/>
  <c r="EK46" i="8"/>
  <c r="EL46" i="8"/>
  <c r="EM46" i="8"/>
  <c r="EN46" i="8"/>
  <c r="EO46" i="8"/>
  <c r="EP46" i="8"/>
  <c r="EQ46" i="8"/>
  <c r="ER46" i="8"/>
  <c r="ES46" i="8"/>
  <c r="ET46" i="8"/>
  <c r="EU46" i="8"/>
  <c r="EV46" i="8"/>
  <c r="EW46" i="8"/>
  <c r="EX46" i="8"/>
  <c r="EY46" i="8"/>
  <c r="EZ46" i="8"/>
  <c r="FA46" i="8"/>
  <c r="FB46" i="8"/>
  <c r="FC46" i="8"/>
  <c r="FD46" i="8"/>
  <c r="FE46" i="8"/>
  <c r="FF46" i="8"/>
  <c r="FG46" i="8"/>
  <c r="FH46" i="8"/>
  <c r="FI46" i="8"/>
  <c r="FJ46" i="8"/>
  <c r="FK46" i="8"/>
  <c r="FL46" i="8"/>
  <c r="FM46" i="8"/>
  <c r="FN46" i="8"/>
  <c r="FO46" i="8"/>
  <c r="FP46" i="8"/>
  <c r="FQ46" i="8"/>
  <c r="FR46" i="8"/>
  <c r="FS46" i="8"/>
  <c r="FT46" i="8"/>
  <c r="FU46" i="8"/>
  <c r="FV46" i="8"/>
  <c r="FW46" i="8"/>
  <c r="FX46" i="8"/>
  <c r="FY46" i="8"/>
  <c r="FZ46" i="8"/>
  <c r="GA46" i="8"/>
  <c r="GB46" i="8"/>
  <c r="GC46" i="8"/>
  <c r="GD46" i="8"/>
  <c r="GE46" i="8"/>
  <c r="GF46" i="8"/>
  <c r="GG46" i="8"/>
  <c r="GH46" i="8"/>
  <c r="GI46" i="8"/>
  <c r="GJ46" i="8"/>
  <c r="GK46" i="8"/>
  <c r="GL46" i="8"/>
  <c r="GM46" i="8"/>
  <c r="GN46" i="8"/>
  <c r="GO46" i="8"/>
  <c r="GP46" i="8"/>
  <c r="GQ46" i="8"/>
  <c r="GR46" i="8"/>
  <c r="GS46" i="8"/>
  <c r="GT46" i="8"/>
  <c r="GU46" i="8"/>
  <c r="GV46" i="8"/>
  <c r="GW46" i="8"/>
  <c r="GX46" i="8"/>
  <c r="GY46" i="8"/>
  <c r="GZ46" i="8"/>
  <c r="HA46" i="8"/>
  <c r="HB46" i="8"/>
  <c r="HC46" i="8"/>
  <c r="HD46" i="8"/>
  <c r="HE46" i="8"/>
  <c r="HF46" i="8"/>
  <c r="HG46" i="8"/>
  <c r="HH46" i="8"/>
  <c r="HI46" i="8"/>
  <c r="HJ46" i="8"/>
  <c r="HK46" i="8"/>
  <c r="HL46" i="8"/>
  <c r="HM46" i="8"/>
  <c r="HN46" i="8"/>
  <c r="HO46" i="8"/>
  <c r="HP46" i="8"/>
  <c r="HQ46" i="8"/>
  <c r="HR46" i="8"/>
  <c r="HS46" i="8"/>
  <c r="HT46" i="8"/>
  <c r="HU46" i="8"/>
  <c r="HV46" i="8"/>
  <c r="HW46" i="8"/>
  <c r="HX46" i="8"/>
  <c r="HY46" i="8"/>
  <c r="HZ46" i="8"/>
  <c r="IA46" i="8"/>
  <c r="IB46" i="8"/>
  <c r="IC46" i="8"/>
  <c r="ID46" i="8"/>
  <c r="IE46" i="8"/>
  <c r="IF46" i="8"/>
  <c r="IG46" i="8"/>
  <c r="IH46" i="8"/>
  <c r="II46" i="8"/>
  <c r="IJ46" i="8"/>
  <c r="IK46" i="8"/>
  <c r="IL46" i="8"/>
  <c r="IM46" i="8"/>
  <c r="IN46" i="8"/>
  <c r="IO46" i="8"/>
  <c r="IP46" i="8"/>
  <c r="IQ46" i="8"/>
  <c r="IR46" i="8"/>
  <c r="IS46" i="8"/>
  <c r="IT46" i="8"/>
  <c r="IU46" i="8"/>
  <c r="IV46" i="8"/>
  <c r="A47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BA47" i="8"/>
  <c r="BB47" i="8"/>
  <c r="BC47" i="8"/>
  <c r="BD47" i="8"/>
  <c r="BE47" i="8"/>
  <c r="BF47" i="8"/>
  <c r="BG47" i="8"/>
  <c r="BH47" i="8"/>
  <c r="BI47" i="8"/>
  <c r="BJ47" i="8"/>
  <c r="BK47" i="8"/>
  <c r="BL47" i="8"/>
  <c r="BM47" i="8"/>
  <c r="BN47" i="8"/>
  <c r="BO47" i="8"/>
  <c r="BP47" i="8"/>
  <c r="BQ47" i="8"/>
  <c r="BR47" i="8"/>
  <c r="BS47" i="8"/>
  <c r="BT47" i="8"/>
  <c r="BU47" i="8"/>
  <c r="BV47" i="8"/>
  <c r="BW47" i="8"/>
  <c r="BX47" i="8"/>
  <c r="BY47" i="8"/>
  <c r="BZ47" i="8"/>
  <c r="CA47" i="8"/>
  <c r="CB47" i="8"/>
  <c r="CC47" i="8"/>
  <c r="CD47" i="8"/>
  <c r="CE47" i="8"/>
  <c r="CF47" i="8"/>
  <c r="CG47" i="8"/>
  <c r="CH47" i="8"/>
  <c r="CI47" i="8"/>
  <c r="CJ47" i="8"/>
  <c r="CK47" i="8"/>
  <c r="CL47" i="8"/>
  <c r="CM47" i="8"/>
  <c r="CN47" i="8"/>
  <c r="CO47" i="8"/>
  <c r="CP47" i="8"/>
  <c r="CQ47" i="8"/>
  <c r="CR47" i="8"/>
  <c r="CS47" i="8"/>
  <c r="CT47" i="8"/>
  <c r="CU47" i="8"/>
  <c r="CV47" i="8"/>
  <c r="CW47" i="8"/>
  <c r="CX47" i="8"/>
  <c r="CY47" i="8"/>
  <c r="CZ47" i="8"/>
  <c r="DA47" i="8"/>
  <c r="DB47" i="8"/>
  <c r="DC47" i="8"/>
  <c r="DD47" i="8"/>
  <c r="DE47" i="8"/>
  <c r="DF47" i="8"/>
  <c r="DG47" i="8"/>
  <c r="DH47" i="8"/>
  <c r="DI47" i="8"/>
  <c r="DJ47" i="8"/>
  <c r="DK47" i="8"/>
  <c r="DL47" i="8"/>
  <c r="DM47" i="8"/>
  <c r="DN47" i="8"/>
  <c r="DO47" i="8"/>
  <c r="DP47" i="8"/>
  <c r="DQ47" i="8"/>
  <c r="DR47" i="8"/>
  <c r="DS47" i="8"/>
  <c r="DT47" i="8"/>
  <c r="DU47" i="8"/>
  <c r="DV47" i="8"/>
  <c r="DW47" i="8"/>
  <c r="DX47" i="8"/>
  <c r="DY47" i="8"/>
  <c r="DZ47" i="8"/>
  <c r="EA47" i="8"/>
  <c r="EB47" i="8"/>
  <c r="EC47" i="8"/>
  <c r="ED47" i="8"/>
  <c r="EE47" i="8"/>
  <c r="EF47" i="8"/>
  <c r="EG47" i="8"/>
  <c r="EH47" i="8"/>
  <c r="EI47" i="8"/>
  <c r="EJ47" i="8"/>
  <c r="EK47" i="8"/>
  <c r="EL47" i="8"/>
  <c r="EM47" i="8"/>
  <c r="EN47" i="8"/>
  <c r="EO47" i="8"/>
  <c r="EP47" i="8"/>
  <c r="EQ47" i="8"/>
  <c r="ER47" i="8"/>
  <c r="ES47" i="8"/>
  <c r="ET47" i="8"/>
  <c r="EU47" i="8"/>
  <c r="EV47" i="8"/>
  <c r="EW47" i="8"/>
  <c r="EX47" i="8"/>
  <c r="EY47" i="8"/>
  <c r="EZ47" i="8"/>
  <c r="FA47" i="8"/>
  <c r="FB47" i="8"/>
  <c r="FC47" i="8"/>
  <c r="FD47" i="8"/>
  <c r="FE47" i="8"/>
  <c r="FF47" i="8"/>
  <c r="FG47" i="8"/>
  <c r="FH47" i="8"/>
  <c r="FI47" i="8"/>
  <c r="FJ47" i="8"/>
  <c r="FK47" i="8"/>
  <c r="FL47" i="8"/>
  <c r="FM47" i="8"/>
  <c r="FN47" i="8"/>
  <c r="FO47" i="8"/>
  <c r="FP47" i="8"/>
  <c r="FQ47" i="8"/>
  <c r="FR47" i="8"/>
  <c r="FS47" i="8"/>
  <c r="FT47" i="8"/>
  <c r="FU47" i="8"/>
  <c r="FV47" i="8"/>
  <c r="FW47" i="8"/>
  <c r="FX47" i="8"/>
  <c r="FY47" i="8"/>
  <c r="FZ47" i="8"/>
  <c r="GA47" i="8"/>
  <c r="GB47" i="8"/>
  <c r="GC47" i="8"/>
  <c r="GD47" i="8"/>
  <c r="GE47" i="8"/>
  <c r="GF47" i="8"/>
  <c r="GG47" i="8"/>
  <c r="GH47" i="8"/>
  <c r="GI47" i="8"/>
  <c r="GJ47" i="8"/>
  <c r="GK47" i="8"/>
  <c r="GL47" i="8"/>
  <c r="GM47" i="8"/>
  <c r="GN47" i="8"/>
  <c r="GO47" i="8"/>
  <c r="GP47" i="8"/>
  <c r="GQ47" i="8"/>
  <c r="GR47" i="8"/>
  <c r="GS47" i="8"/>
  <c r="GT47" i="8"/>
  <c r="GU47" i="8"/>
  <c r="GV47" i="8"/>
  <c r="GW47" i="8"/>
  <c r="GX47" i="8"/>
  <c r="GY47" i="8"/>
  <c r="GZ47" i="8"/>
  <c r="HA47" i="8"/>
  <c r="HB47" i="8"/>
  <c r="HC47" i="8"/>
  <c r="HD47" i="8"/>
  <c r="HE47" i="8"/>
  <c r="HF47" i="8"/>
  <c r="HG47" i="8"/>
  <c r="HH47" i="8"/>
  <c r="HI47" i="8"/>
  <c r="HJ47" i="8"/>
  <c r="HK47" i="8"/>
  <c r="HL47" i="8"/>
  <c r="HM47" i="8"/>
  <c r="HN47" i="8"/>
  <c r="HO47" i="8"/>
  <c r="HP47" i="8"/>
  <c r="HQ47" i="8"/>
  <c r="HR47" i="8"/>
  <c r="HS47" i="8"/>
  <c r="HT47" i="8"/>
  <c r="HU47" i="8"/>
  <c r="HV47" i="8"/>
  <c r="HW47" i="8"/>
  <c r="HX47" i="8"/>
  <c r="HY47" i="8"/>
  <c r="HZ47" i="8"/>
  <c r="IA47" i="8"/>
  <c r="IB47" i="8"/>
  <c r="IC47" i="8"/>
  <c r="ID47" i="8"/>
  <c r="IE47" i="8"/>
  <c r="IF47" i="8"/>
  <c r="IG47" i="8"/>
  <c r="IH47" i="8"/>
  <c r="II47" i="8"/>
  <c r="IJ47" i="8"/>
  <c r="IK47" i="8"/>
  <c r="IL47" i="8"/>
  <c r="IM47" i="8"/>
  <c r="IN47" i="8"/>
  <c r="IO47" i="8"/>
  <c r="IP47" i="8"/>
  <c r="IQ47" i="8"/>
  <c r="IR47" i="8"/>
  <c r="IS47" i="8"/>
  <c r="IT47" i="8"/>
  <c r="IU47" i="8"/>
  <c r="IV47" i="8"/>
  <c r="A48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BV48" i="8"/>
  <c r="BW48" i="8"/>
  <c r="BX48" i="8"/>
  <c r="BY48" i="8"/>
  <c r="BZ48" i="8"/>
  <c r="CA48" i="8"/>
  <c r="CB48" i="8"/>
  <c r="CC48" i="8"/>
  <c r="CD48" i="8"/>
  <c r="CE48" i="8"/>
  <c r="CF48" i="8"/>
  <c r="CG48" i="8"/>
  <c r="CH48" i="8"/>
  <c r="CI48" i="8"/>
  <c r="CJ48" i="8"/>
  <c r="CK48" i="8"/>
  <c r="CL48" i="8"/>
  <c r="CM48" i="8"/>
  <c r="CN48" i="8"/>
  <c r="CO48" i="8"/>
  <c r="CP48" i="8"/>
  <c r="CQ48" i="8"/>
  <c r="CR48" i="8"/>
  <c r="CS48" i="8"/>
  <c r="CT48" i="8"/>
  <c r="CU48" i="8"/>
  <c r="CV48" i="8"/>
  <c r="CW48" i="8"/>
  <c r="CX48" i="8"/>
  <c r="CY48" i="8"/>
  <c r="CZ48" i="8"/>
  <c r="DA48" i="8"/>
  <c r="DB48" i="8"/>
  <c r="DC48" i="8"/>
  <c r="DD48" i="8"/>
  <c r="DE48" i="8"/>
  <c r="DF48" i="8"/>
  <c r="DG48" i="8"/>
  <c r="DH48" i="8"/>
  <c r="DI48" i="8"/>
  <c r="DJ48" i="8"/>
  <c r="DK48" i="8"/>
  <c r="DL48" i="8"/>
  <c r="DM48" i="8"/>
  <c r="DN48" i="8"/>
  <c r="DO48" i="8"/>
  <c r="DP48" i="8"/>
  <c r="DQ48" i="8"/>
  <c r="DR48" i="8"/>
  <c r="DS48" i="8"/>
  <c r="DT48" i="8"/>
  <c r="DU48" i="8"/>
  <c r="DV48" i="8"/>
  <c r="DW48" i="8"/>
  <c r="DX48" i="8"/>
  <c r="DY48" i="8"/>
  <c r="DZ48" i="8"/>
  <c r="EA48" i="8"/>
  <c r="EB48" i="8"/>
  <c r="EC48" i="8"/>
  <c r="ED48" i="8"/>
  <c r="EE48" i="8"/>
  <c r="EF48" i="8"/>
  <c r="EG48" i="8"/>
  <c r="EH48" i="8"/>
  <c r="EI48" i="8"/>
  <c r="EJ48" i="8"/>
  <c r="EK48" i="8"/>
  <c r="EL48" i="8"/>
  <c r="EM48" i="8"/>
  <c r="EN48" i="8"/>
  <c r="EO48" i="8"/>
  <c r="EP48" i="8"/>
  <c r="EQ48" i="8"/>
  <c r="ER48" i="8"/>
  <c r="ES48" i="8"/>
  <c r="ET48" i="8"/>
  <c r="EU48" i="8"/>
  <c r="EV48" i="8"/>
  <c r="EW48" i="8"/>
  <c r="EX48" i="8"/>
  <c r="EY48" i="8"/>
  <c r="EZ48" i="8"/>
  <c r="FA48" i="8"/>
  <c r="FB48" i="8"/>
  <c r="FC48" i="8"/>
  <c r="FD48" i="8"/>
  <c r="FE48" i="8"/>
  <c r="FF48" i="8"/>
  <c r="FG48" i="8"/>
  <c r="FH48" i="8"/>
  <c r="FI48" i="8"/>
  <c r="FJ48" i="8"/>
  <c r="FK48" i="8"/>
  <c r="FL48" i="8"/>
  <c r="FM48" i="8"/>
  <c r="FN48" i="8"/>
  <c r="FO48" i="8"/>
  <c r="FP48" i="8"/>
  <c r="FQ48" i="8"/>
  <c r="FR48" i="8"/>
  <c r="FS48" i="8"/>
  <c r="FT48" i="8"/>
  <c r="FU48" i="8"/>
  <c r="FV48" i="8"/>
  <c r="FW48" i="8"/>
  <c r="FX48" i="8"/>
  <c r="FY48" i="8"/>
  <c r="FZ48" i="8"/>
  <c r="GA48" i="8"/>
  <c r="GB48" i="8"/>
  <c r="GC48" i="8"/>
  <c r="GD48" i="8"/>
  <c r="GE48" i="8"/>
  <c r="GF48" i="8"/>
  <c r="GG48" i="8"/>
  <c r="GH48" i="8"/>
  <c r="GI48" i="8"/>
  <c r="GJ48" i="8"/>
  <c r="GK48" i="8"/>
  <c r="GL48" i="8"/>
  <c r="GM48" i="8"/>
  <c r="GN48" i="8"/>
  <c r="GO48" i="8"/>
  <c r="GP48" i="8"/>
  <c r="GQ48" i="8"/>
  <c r="GR48" i="8"/>
  <c r="GS48" i="8"/>
  <c r="GT48" i="8"/>
  <c r="GU48" i="8"/>
  <c r="GV48" i="8"/>
  <c r="GW48" i="8"/>
  <c r="GX48" i="8"/>
  <c r="GY48" i="8"/>
  <c r="GZ48" i="8"/>
  <c r="HA48" i="8"/>
  <c r="HB48" i="8"/>
  <c r="HC48" i="8"/>
  <c r="HD48" i="8"/>
  <c r="HE48" i="8"/>
  <c r="HF48" i="8"/>
  <c r="HG48" i="8"/>
  <c r="HH48" i="8"/>
  <c r="HI48" i="8"/>
  <c r="HJ48" i="8"/>
  <c r="HK48" i="8"/>
  <c r="HL48" i="8"/>
  <c r="HM48" i="8"/>
  <c r="HN48" i="8"/>
  <c r="HO48" i="8"/>
  <c r="HP48" i="8"/>
  <c r="HQ48" i="8"/>
  <c r="HR48" i="8"/>
  <c r="HS48" i="8"/>
  <c r="HT48" i="8"/>
  <c r="HU48" i="8"/>
  <c r="HV48" i="8"/>
  <c r="HW48" i="8"/>
  <c r="HX48" i="8"/>
  <c r="HY48" i="8"/>
  <c r="HZ48" i="8"/>
  <c r="IA48" i="8"/>
  <c r="IB48" i="8"/>
  <c r="IC48" i="8"/>
  <c r="ID48" i="8"/>
  <c r="IE48" i="8"/>
  <c r="IF48" i="8"/>
  <c r="IG48" i="8"/>
  <c r="IH48" i="8"/>
  <c r="II48" i="8"/>
  <c r="IJ48" i="8"/>
  <c r="IK48" i="8"/>
  <c r="IL48" i="8"/>
  <c r="IM48" i="8"/>
  <c r="IN48" i="8"/>
  <c r="IO48" i="8"/>
  <c r="IP48" i="8"/>
  <c r="IQ48" i="8"/>
  <c r="IR48" i="8"/>
  <c r="IS48" i="8"/>
  <c r="IT48" i="8"/>
  <c r="IU48" i="8"/>
  <c r="IV48" i="8"/>
  <c r="A49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BF49" i="8"/>
  <c r="BG49" i="8"/>
  <c r="BH49" i="8"/>
  <c r="BI49" i="8"/>
  <c r="BJ49" i="8"/>
  <c r="BK49" i="8"/>
  <c r="BL49" i="8"/>
  <c r="BM49" i="8"/>
  <c r="BN49" i="8"/>
  <c r="BO49" i="8"/>
  <c r="BP49" i="8"/>
  <c r="BQ49" i="8"/>
  <c r="BR49" i="8"/>
  <c r="BS49" i="8"/>
  <c r="BT49" i="8"/>
  <c r="BU49" i="8"/>
  <c r="BV49" i="8"/>
  <c r="BW49" i="8"/>
  <c r="BX49" i="8"/>
  <c r="BY49" i="8"/>
  <c r="BZ49" i="8"/>
  <c r="CA49" i="8"/>
  <c r="CB49" i="8"/>
  <c r="CC49" i="8"/>
  <c r="CD49" i="8"/>
  <c r="CE49" i="8"/>
  <c r="CF49" i="8"/>
  <c r="CG49" i="8"/>
  <c r="CH49" i="8"/>
  <c r="CI49" i="8"/>
  <c r="CJ49" i="8"/>
  <c r="CK49" i="8"/>
  <c r="CL49" i="8"/>
  <c r="CM49" i="8"/>
  <c r="CN49" i="8"/>
  <c r="CO49" i="8"/>
  <c r="CP49" i="8"/>
  <c r="CQ49" i="8"/>
  <c r="CR49" i="8"/>
  <c r="CS49" i="8"/>
  <c r="CT49" i="8"/>
  <c r="CU49" i="8"/>
  <c r="CV49" i="8"/>
  <c r="CW49" i="8"/>
  <c r="CX49" i="8"/>
  <c r="CY49" i="8"/>
  <c r="CZ49" i="8"/>
  <c r="DA49" i="8"/>
  <c r="DB49" i="8"/>
  <c r="DC49" i="8"/>
  <c r="DD49" i="8"/>
  <c r="DE49" i="8"/>
  <c r="DF49" i="8"/>
  <c r="DG49" i="8"/>
  <c r="DH49" i="8"/>
  <c r="DI49" i="8"/>
  <c r="DJ49" i="8"/>
  <c r="DK49" i="8"/>
  <c r="DL49" i="8"/>
  <c r="DM49" i="8"/>
  <c r="DN49" i="8"/>
  <c r="DO49" i="8"/>
  <c r="DP49" i="8"/>
  <c r="DQ49" i="8"/>
  <c r="DR49" i="8"/>
  <c r="DS49" i="8"/>
  <c r="DT49" i="8"/>
  <c r="DU49" i="8"/>
  <c r="DV49" i="8"/>
  <c r="DW49" i="8"/>
  <c r="DX49" i="8"/>
  <c r="DY49" i="8"/>
  <c r="DZ49" i="8"/>
  <c r="EA49" i="8"/>
  <c r="EB49" i="8"/>
  <c r="EC49" i="8"/>
  <c r="ED49" i="8"/>
  <c r="EE49" i="8"/>
  <c r="EF49" i="8"/>
  <c r="EG49" i="8"/>
  <c r="EH49" i="8"/>
  <c r="EI49" i="8"/>
  <c r="EJ49" i="8"/>
  <c r="EK49" i="8"/>
  <c r="EL49" i="8"/>
  <c r="EM49" i="8"/>
  <c r="EN49" i="8"/>
  <c r="EO49" i="8"/>
  <c r="EP49" i="8"/>
  <c r="EQ49" i="8"/>
  <c r="ER49" i="8"/>
  <c r="ES49" i="8"/>
  <c r="ET49" i="8"/>
  <c r="EU49" i="8"/>
  <c r="EV49" i="8"/>
  <c r="EW49" i="8"/>
  <c r="EX49" i="8"/>
  <c r="EY49" i="8"/>
  <c r="EZ49" i="8"/>
  <c r="FA49" i="8"/>
  <c r="FB49" i="8"/>
  <c r="FC49" i="8"/>
  <c r="FD49" i="8"/>
  <c r="FE49" i="8"/>
  <c r="FF49" i="8"/>
  <c r="FG49" i="8"/>
  <c r="FH49" i="8"/>
  <c r="FI49" i="8"/>
  <c r="FJ49" i="8"/>
  <c r="FK49" i="8"/>
  <c r="FL49" i="8"/>
  <c r="FM49" i="8"/>
  <c r="FN49" i="8"/>
  <c r="FO49" i="8"/>
  <c r="FP49" i="8"/>
  <c r="FQ49" i="8"/>
  <c r="FR49" i="8"/>
  <c r="FS49" i="8"/>
  <c r="FT49" i="8"/>
  <c r="FU49" i="8"/>
  <c r="FV49" i="8"/>
  <c r="FW49" i="8"/>
  <c r="FX49" i="8"/>
  <c r="FY49" i="8"/>
  <c r="FZ49" i="8"/>
  <c r="GA49" i="8"/>
  <c r="GB49" i="8"/>
  <c r="GC49" i="8"/>
  <c r="GD49" i="8"/>
  <c r="GE49" i="8"/>
  <c r="GF49" i="8"/>
  <c r="GG49" i="8"/>
  <c r="GH49" i="8"/>
  <c r="GI49" i="8"/>
  <c r="GJ49" i="8"/>
  <c r="GK49" i="8"/>
  <c r="GL49" i="8"/>
  <c r="GM49" i="8"/>
  <c r="GN49" i="8"/>
  <c r="GO49" i="8"/>
  <c r="GP49" i="8"/>
  <c r="GQ49" i="8"/>
  <c r="GR49" i="8"/>
  <c r="GS49" i="8"/>
  <c r="GT49" i="8"/>
  <c r="GU49" i="8"/>
  <c r="GV49" i="8"/>
  <c r="GW49" i="8"/>
  <c r="GX49" i="8"/>
  <c r="GY49" i="8"/>
  <c r="GZ49" i="8"/>
  <c r="HA49" i="8"/>
  <c r="HB49" i="8"/>
  <c r="HC49" i="8"/>
  <c r="HD49" i="8"/>
  <c r="HE49" i="8"/>
  <c r="HF49" i="8"/>
  <c r="HG49" i="8"/>
  <c r="HH49" i="8"/>
  <c r="HI49" i="8"/>
  <c r="HJ49" i="8"/>
  <c r="HK49" i="8"/>
  <c r="HL49" i="8"/>
  <c r="HM49" i="8"/>
  <c r="HN49" i="8"/>
  <c r="HO49" i="8"/>
  <c r="HP49" i="8"/>
  <c r="HQ49" i="8"/>
  <c r="HR49" i="8"/>
  <c r="HS49" i="8"/>
  <c r="HT49" i="8"/>
  <c r="HU49" i="8"/>
  <c r="HV49" i="8"/>
  <c r="HW49" i="8"/>
  <c r="HX49" i="8"/>
  <c r="HY49" i="8"/>
  <c r="HZ49" i="8"/>
  <c r="IA49" i="8"/>
  <c r="IB49" i="8"/>
  <c r="IC49" i="8"/>
  <c r="ID49" i="8"/>
  <c r="IE49" i="8"/>
  <c r="IF49" i="8"/>
  <c r="IG49" i="8"/>
  <c r="IH49" i="8"/>
  <c r="II49" i="8"/>
  <c r="IJ49" i="8"/>
  <c r="IK49" i="8"/>
  <c r="IL49" i="8"/>
  <c r="IM49" i="8"/>
  <c r="IN49" i="8"/>
  <c r="IO49" i="8"/>
  <c r="IP49" i="8"/>
  <c r="IQ49" i="8"/>
  <c r="IR49" i="8"/>
  <c r="IS49" i="8"/>
  <c r="IT49" i="8"/>
  <c r="IU49" i="8"/>
  <c r="IV49" i="8"/>
  <c r="A50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BK50" i="8"/>
  <c r="BL50" i="8"/>
  <c r="BM50" i="8"/>
  <c r="BN50" i="8"/>
  <c r="BO50" i="8"/>
  <c r="BP50" i="8"/>
  <c r="BQ50" i="8"/>
  <c r="BR50" i="8"/>
  <c r="BS50" i="8"/>
  <c r="BT50" i="8"/>
  <c r="BU50" i="8"/>
  <c r="BV50" i="8"/>
  <c r="BW50" i="8"/>
  <c r="BX50" i="8"/>
  <c r="BY50" i="8"/>
  <c r="BZ50" i="8"/>
  <c r="CA50" i="8"/>
  <c r="CB50" i="8"/>
  <c r="CC50" i="8"/>
  <c r="CD50" i="8"/>
  <c r="CE50" i="8"/>
  <c r="CF50" i="8"/>
  <c r="CG50" i="8"/>
  <c r="CH50" i="8"/>
  <c r="CI50" i="8"/>
  <c r="CJ50" i="8"/>
  <c r="CK50" i="8"/>
  <c r="CL50" i="8"/>
  <c r="CM50" i="8"/>
  <c r="CN50" i="8"/>
  <c r="CO50" i="8"/>
  <c r="CP50" i="8"/>
  <c r="CQ50" i="8"/>
  <c r="CR50" i="8"/>
  <c r="CS50" i="8"/>
  <c r="CT50" i="8"/>
  <c r="CU50" i="8"/>
  <c r="CV50" i="8"/>
  <c r="CW50" i="8"/>
  <c r="CX50" i="8"/>
  <c r="CY50" i="8"/>
  <c r="CZ50" i="8"/>
  <c r="DA50" i="8"/>
  <c r="DB50" i="8"/>
  <c r="DC50" i="8"/>
  <c r="DD50" i="8"/>
  <c r="DE50" i="8"/>
  <c r="DF50" i="8"/>
  <c r="DG50" i="8"/>
  <c r="DH50" i="8"/>
  <c r="DI50" i="8"/>
  <c r="DJ50" i="8"/>
  <c r="DK50" i="8"/>
  <c r="DL50" i="8"/>
  <c r="DM50" i="8"/>
  <c r="DN50" i="8"/>
  <c r="DO50" i="8"/>
  <c r="DP50" i="8"/>
  <c r="DQ50" i="8"/>
  <c r="DR50" i="8"/>
  <c r="DS50" i="8"/>
  <c r="DT50" i="8"/>
  <c r="DU50" i="8"/>
  <c r="DV50" i="8"/>
  <c r="DW50" i="8"/>
  <c r="DX50" i="8"/>
  <c r="DY50" i="8"/>
  <c r="DZ50" i="8"/>
  <c r="EA50" i="8"/>
  <c r="EB50" i="8"/>
  <c r="EC50" i="8"/>
  <c r="ED50" i="8"/>
  <c r="EE50" i="8"/>
  <c r="EF50" i="8"/>
  <c r="EG50" i="8"/>
  <c r="EH50" i="8"/>
  <c r="EI50" i="8"/>
  <c r="EJ50" i="8"/>
  <c r="EK50" i="8"/>
  <c r="EL50" i="8"/>
  <c r="EM50" i="8"/>
  <c r="EN50" i="8"/>
  <c r="EO50" i="8"/>
  <c r="EP50" i="8"/>
  <c r="EQ50" i="8"/>
  <c r="ER50" i="8"/>
  <c r="ES50" i="8"/>
  <c r="ET50" i="8"/>
  <c r="EU50" i="8"/>
  <c r="EV50" i="8"/>
  <c r="EW50" i="8"/>
  <c r="EX50" i="8"/>
  <c r="EY50" i="8"/>
  <c r="EZ50" i="8"/>
  <c r="FA50" i="8"/>
  <c r="FB50" i="8"/>
  <c r="FC50" i="8"/>
  <c r="FD50" i="8"/>
  <c r="FE50" i="8"/>
  <c r="FF50" i="8"/>
  <c r="FG50" i="8"/>
  <c r="FH50" i="8"/>
  <c r="FI50" i="8"/>
  <c r="FJ50" i="8"/>
  <c r="FK50" i="8"/>
  <c r="FL50" i="8"/>
  <c r="FM50" i="8"/>
  <c r="FN50" i="8"/>
  <c r="FO50" i="8"/>
  <c r="FP50" i="8"/>
  <c r="FQ50" i="8"/>
  <c r="FR50" i="8"/>
  <c r="FS50" i="8"/>
  <c r="FT50" i="8"/>
  <c r="FU50" i="8"/>
  <c r="FV50" i="8"/>
  <c r="FW50" i="8"/>
  <c r="FX50" i="8"/>
  <c r="FY50" i="8"/>
  <c r="FZ50" i="8"/>
  <c r="GA50" i="8"/>
  <c r="GB50" i="8"/>
  <c r="GC50" i="8"/>
  <c r="GD50" i="8"/>
  <c r="GE50" i="8"/>
  <c r="GF50" i="8"/>
  <c r="GG50" i="8"/>
  <c r="GH50" i="8"/>
  <c r="GI50" i="8"/>
  <c r="GJ50" i="8"/>
  <c r="GK50" i="8"/>
  <c r="GL50" i="8"/>
  <c r="GM50" i="8"/>
  <c r="GN50" i="8"/>
  <c r="GO50" i="8"/>
  <c r="GP50" i="8"/>
  <c r="GQ50" i="8"/>
  <c r="GR50" i="8"/>
  <c r="GS50" i="8"/>
  <c r="GT50" i="8"/>
  <c r="GU50" i="8"/>
  <c r="GV50" i="8"/>
  <c r="GW50" i="8"/>
  <c r="GX50" i="8"/>
  <c r="GY50" i="8"/>
  <c r="GZ50" i="8"/>
  <c r="HA50" i="8"/>
  <c r="HB50" i="8"/>
  <c r="HC50" i="8"/>
  <c r="HD50" i="8"/>
  <c r="HE50" i="8"/>
  <c r="HF50" i="8"/>
  <c r="HG50" i="8"/>
  <c r="HH50" i="8"/>
  <c r="HI50" i="8"/>
  <c r="HJ50" i="8"/>
  <c r="HK50" i="8"/>
  <c r="HL50" i="8"/>
  <c r="HM50" i="8"/>
  <c r="HN50" i="8"/>
  <c r="HO50" i="8"/>
  <c r="HP50" i="8"/>
  <c r="HQ50" i="8"/>
  <c r="HR50" i="8"/>
  <c r="HS50" i="8"/>
  <c r="HT50" i="8"/>
  <c r="HU50" i="8"/>
  <c r="HV50" i="8"/>
  <c r="HW50" i="8"/>
  <c r="HX50" i="8"/>
  <c r="HY50" i="8"/>
  <c r="HZ50" i="8"/>
  <c r="IA50" i="8"/>
  <c r="IB50" i="8"/>
  <c r="IC50" i="8"/>
  <c r="ID50" i="8"/>
  <c r="IE50" i="8"/>
  <c r="IF50" i="8"/>
  <c r="IG50" i="8"/>
  <c r="IH50" i="8"/>
  <c r="II50" i="8"/>
  <c r="IJ50" i="8"/>
  <c r="IK50" i="8"/>
  <c r="IL50" i="8"/>
  <c r="IM50" i="8"/>
  <c r="IN50" i="8"/>
  <c r="IO50" i="8"/>
  <c r="IP50" i="8"/>
  <c r="IQ50" i="8"/>
  <c r="IR50" i="8"/>
  <c r="IS50" i="8"/>
  <c r="IT50" i="8"/>
  <c r="IU50" i="8"/>
  <c r="IV50" i="8"/>
  <c r="A51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BK51" i="8"/>
  <c r="BL51" i="8"/>
  <c r="BM51" i="8"/>
  <c r="BN51" i="8"/>
  <c r="BO51" i="8"/>
  <c r="BP51" i="8"/>
  <c r="BQ51" i="8"/>
  <c r="BR51" i="8"/>
  <c r="BS51" i="8"/>
  <c r="BT51" i="8"/>
  <c r="BU51" i="8"/>
  <c r="BV51" i="8"/>
  <c r="BW51" i="8"/>
  <c r="BX51" i="8"/>
  <c r="BY51" i="8"/>
  <c r="BZ51" i="8"/>
  <c r="CA51" i="8"/>
  <c r="CB51" i="8"/>
  <c r="CC51" i="8"/>
  <c r="CD51" i="8"/>
  <c r="CE51" i="8"/>
  <c r="CF51" i="8"/>
  <c r="CG51" i="8"/>
  <c r="CH51" i="8"/>
  <c r="CI51" i="8"/>
  <c r="CJ51" i="8"/>
  <c r="CK51" i="8"/>
  <c r="CL51" i="8"/>
  <c r="CM51" i="8"/>
  <c r="CN51" i="8"/>
  <c r="CO51" i="8"/>
  <c r="CP51" i="8"/>
  <c r="CQ51" i="8"/>
  <c r="CR51" i="8"/>
  <c r="CS51" i="8"/>
  <c r="CT51" i="8"/>
  <c r="CU51" i="8"/>
  <c r="CV51" i="8"/>
  <c r="CW51" i="8"/>
  <c r="CX51" i="8"/>
  <c r="CY51" i="8"/>
  <c r="CZ51" i="8"/>
  <c r="DA51" i="8"/>
  <c r="DB51" i="8"/>
  <c r="DC51" i="8"/>
  <c r="DD51" i="8"/>
  <c r="DE51" i="8"/>
  <c r="DF51" i="8"/>
  <c r="DG51" i="8"/>
  <c r="DH51" i="8"/>
  <c r="DI51" i="8"/>
  <c r="DJ51" i="8"/>
  <c r="DK51" i="8"/>
  <c r="DL51" i="8"/>
  <c r="DM51" i="8"/>
  <c r="DN51" i="8"/>
  <c r="DO51" i="8"/>
  <c r="DP51" i="8"/>
  <c r="DQ51" i="8"/>
  <c r="DR51" i="8"/>
  <c r="DS51" i="8"/>
  <c r="DT51" i="8"/>
  <c r="DU51" i="8"/>
  <c r="DV51" i="8"/>
  <c r="DW51" i="8"/>
  <c r="DX51" i="8"/>
  <c r="DY51" i="8"/>
  <c r="DZ51" i="8"/>
  <c r="EA51" i="8"/>
  <c r="EB51" i="8"/>
  <c r="EC51" i="8"/>
  <c r="ED51" i="8"/>
  <c r="EE51" i="8"/>
  <c r="EF51" i="8"/>
  <c r="EG51" i="8"/>
  <c r="EH51" i="8"/>
  <c r="EI51" i="8"/>
  <c r="EJ51" i="8"/>
  <c r="EK51" i="8"/>
  <c r="EL51" i="8"/>
  <c r="EM51" i="8"/>
  <c r="EN51" i="8"/>
  <c r="EO51" i="8"/>
  <c r="EP51" i="8"/>
  <c r="EQ51" i="8"/>
  <c r="ER51" i="8"/>
  <c r="ES51" i="8"/>
  <c r="ET51" i="8"/>
  <c r="EU51" i="8"/>
  <c r="EV51" i="8"/>
  <c r="EW51" i="8"/>
  <c r="EX51" i="8"/>
  <c r="EY51" i="8"/>
  <c r="EZ51" i="8"/>
  <c r="FA51" i="8"/>
  <c r="FB51" i="8"/>
  <c r="FC51" i="8"/>
  <c r="FD51" i="8"/>
  <c r="FE51" i="8"/>
  <c r="FF51" i="8"/>
  <c r="FG51" i="8"/>
  <c r="FH51" i="8"/>
  <c r="FI51" i="8"/>
  <c r="FJ51" i="8"/>
  <c r="FK51" i="8"/>
  <c r="FL51" i="8"/>
  <c r="FM51" i="8"/>
  <c r="FN51" i="8"/>
  <c r="FO51" i="8"/>
  <c r="FP51" i="8"/>
  <c r="FQ51" i="8"/>
  <c r="FR51" i="8"/>
  <c r="FS51" i="8"/>
  <c r="FT51" i="8"/>
  <c r="FU51" i="8"/>
  <c r="FV51" i="8"/>
  <c r="FW51" i="8"/>
  <c r="FX51" i="8"/>
  <c r="FY51" i="8"/>
  <c r="FZ51" i="8"/>
  <c r="GA51" i="8"/>
  <c r="GB51" i="8"/>
  <c r="GC51" i="8"/>
  <c r="GD51" i="8"/>
  <c r="GE51" i="8"/>
  <c r="GF51" i="8"/>
  <c r="GG51" i="8"/>
  <c r="GH51" i="8"/>
  <c r="GI51" i="8"/>
  <c r="GJ51" i="8"/>
  <c r="GK51" i="8"/>
  <c r="GL51" i="8"/>
  <c r="GM51" i="8"/>
  <c r="GN51" i="8"/>
  <c r="GO51" i="8"/>
  <c r="GP51" i="8"/>
  <c r="GQ51" i="8"/>
  <c r="GR51" i="8"/>
  <c r="GS51" i="8"/>
  <c r="GT51" i="8"/>
  <c r="GU51" i="8"/>
  <c r="GV51" i="8"/>
  <c r="GW51" i="8"/>
  <c r="GX51" i="8"/>
  <c r="GY51" i="8"/>
  <c r="GZ51" i="8"/>
  <c r="HA51" i="8"/>
  <c r="HB51" i="8"/>
  <c r="HC51" i="8"/>
  <c r="HD51" i="8"/>
  <c r="HE51" i="8"/>
  <c r="HF51" i="8"/>
  <c r="HG51" i="8"/>
  <c r="HH51" i="8"/>
  <c r="HI51" i="8"/>
  <c r="HJ51" i="8"/>
  <c r="HK51" i="8"/>
  <c r="HL51" i="8"/>
  <c r="HM51" i="8"/>
  <c r="HN51" i="8"/>
  <c r="HO51" i="8"/>
  <c r="HP51" i="8"/>
  <c r="HQ51" i="8"/>
  <c r="HR51" i="8"/>
  <c r="HS51" i="8"/>
  <c r="HT51" i="8"/>
  <c r="HU51" i="8"/>
  <c r="HV51" i="8"/>
  <c r="HW51" i="8"/>
  <c r="HX51" i="8"/>
  <c r="HY51" i="8"/>
  <c r="HZ51" i="8"/>
  <c r="IA51" i="8"/>
  <c r="IB51" i="8"/>
  <c r="IC51" i="8"/>
  <c r="ID51" i="8"/>
  <c r="IE51" i="8"/>
  <c r="IF51" i="8"/>
  <c r="IG51" i="8"/>
  <c r="IH51" i="8"/>
  <c r="II51" i="8"/>
  <c r="IJ51" i="8"/>
  <c r="IK51" i="8"/>
  <c r="IL51" i="8"/>
  <c r="IM51" i="8"/>
  <c r="IN51" i="8"/>
  <c r="IO51" i="8"/>
  <c r="IP51" i="8"/>
  <c r="IQ51" i="8"/>
  <c r="IR51" i="8"/>
  <c r="IS51" i="8"/>
  <c r="IT51" i="8"/>
  <c r="IU51" i="8"/>
  <c r="IV51" i="8"/>
  <c r="A52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BF52" i="8"/>
  <c r="BG52" i="8"/>
  <c r="BH52" i="8"/>
  <c r="BI52" i="8"/>
  <c r="BJ52" i="8"/>
  <c r="BK52" i="8"/>
  <c r="BL52" i="8"/>
  <c r="BM52" i="8"/>
  <c r="BN52" i="8"/>
  <c r="BO52" i="8"/>
  <c r="BP52" i="8"/>
  <c r="BQ52" i="8"/>
  <c r="BR52" i="8"/>
  <c r="BS52" i="8"/>
  <c r="BT52" i="8"/>
  <c r="BU52" i="8"/>
  <c r="BV52" i="8"/>
  <c r="BW52" i="8"/>
  <c r="BX52" i="8"/>
  <c r="BY52" i="8"/>
  <c r="BZ52" i="8"/>
  <c r="CA52" i="8"/>
  <c r="CB52" i="8"/>
  <c r="CC52" i="8"/>
  <c r="CD52" i="8"/>
  <c r="CE52" i="8"/>
  <c r="CF52" i="8"/>
  <c r="CG52" i="8"/>
  <c r="CH52" i="8"/>
  <c r="CI52" i="8"/>
  <c r="CJ52" i="8"/>
  <c r="CK52" i="8"/>
  <c r="CL52" i="8"/>
  <c r="CM52" i="8"/>
  <c r="CN52" i="8"/>
  <c r="CO52" i="8"/>
  <c r="CP52" i="8"/>
  <c r="CQ52" i="8"/>
  <c r="CR52" i="8"/>
  <c r="CS52" i="8"/>
  <c r="CT52" i="8"/>
  <c r="CU52" i="8"/>
  <c r="CV52" i="8"/>
  <c r="CW52" i="8"/>
  <c r="CX52" i="8"/>
  <c r="CY52" i="8"/>
  <c r="CZ52" i="8"/>
  <c r="DA52" i="8"/>
  <c r="DB52" i="8"/>
  <c r="DC52" i="8"/>
  <c r="DD52" i="8"/>
  <c r="DE52" i="8"/>
  <c r="DF52" i="8"/>
  <c r="DG52" i="8"/>
  <c r="DH52" i="8"/>
  <c r="DI52" i="8"/>
  <c r="DJ52" i="8"/>
  <c r="DK52" i="8"/>
  <c r="DL52" i="8"/>
  <c r="DM52" i="8"/>
  <c r="DN52" i="8"/>
  <c r="DO52" i="8"/>
  <c r="DP52" i="8"/>
  <c r="DQ52" i="8"/>
  <c r="DR52" i="8"/>
  <c r="DS52" i="8"/>
  <c r="DT52" i="8"/>
  <c r="DU52" i="8"/>
  <c r="DV52" i="8"/>
  <c r="DW52" i="8"/>
  <c r="DX52" i="8"/>
  <c r="DY52" i="8"/>
  <c r="DZ52" i="8"/>
  <c r="EA52" i="8"/>
  <c r="EB52" i="8"/>
  <c r="EC52" i="8"/>
  <c r="ED52" i="8"/>
  <c r="EE52" i="8"/>
  <c r="EF52" i="8"/>
  <c r="EG52" i="8"/>
  <c r="EH52" i="8"/>
  <c r="EI52" i="8"/>
  <c r="EJ52" i="8"/>
  <c r="EK52" i="8"/>
  <c r="EL52" i="8"/>
  <c r="EM52" i="8"/>
  <c r="EN52" i="8"/>
  <c r="EO52" i="8"/>
  <c r="EP52" i="8"/>
  <c r="EQ52" i="8"/>
  <c r="ER52" i="8"/>
  <c r="ES52" i="8"/>
  <c r="ET52" i="8"/>
  <c r="EU52" i="8"/>
  <c r="EV52" i="8"/>
  <c r="EW52" i="8"/>
  <c r="EX52" i="8"/>
  <c r="EY52" i="8"/>
  <c r="EZ52" i="8"/>
  <c r="FA52" i="8"/>
  <c r="FB52" i="8"/>
  <c r="FC52" i="8"/>
  <c r="FD52" i="8"/>
  <c r="FE52" i="8"/>
  <c r="FF52" i="8"/>
  <c r="FG52" i="8"/>
  <c r="FH52" i="8"/>
  <c r="FI52" i="8"/>
  <c r="FJ52" i="8"/>
  <c r="FK52" i="8"/>
  <c r="FL52" i="8"/>
  <c r="FM52" i="8"/>
  <c r="FN52" i="8"/>
  <c r="FO52" i="8"/>
  <c r="FP52" i="8"/>
  <c r="FQ52" i="8"/>
  <c r="FR52" i="8"/>
  <c r="FS52" i="8"/>
  <c r="FT52" i="8"/>
  <c r="FU52" i="8"/>
  <c r="FV52" i="8"/>
  <c r="FW52" i="8"/>
  <c r="FX52" i="8"/>
  <c r="FY52" i="8"/>
  <c r="FZ52" i="8"/>
  <c r="GA52" i="8"/>
  <c r="GB52" i="8"/>
  <c r="GC52" i="8"/>
  <c r="GD52" i="8"/>
  <c r="GE52" i="8"/>
  <c r="GF52" i="8"/>
  <c r="GG52" i="8"/>
  <c r="GH52" i="8"/>
  <c r="GI52" i="8"/>
  <c r="GJ52" i="8"/>
  <c r="GK52" i="8"/>
  <c r="GL52" i="8"/>
  <c r="GM52" i="8"/>
  <c r="GN52" i="8"/>
  <c r="GO52" i="8"/>
  <c r="GP52" i="8"/>
  <c r="GQ52" i="8"/>
  <c r="GR52" i="8"/>
  <c r="GS52" i="8"/>
  <c r="GT52" i="8"/>
  <c r="GU52" i="8"/>
  <c r="GV52" i="8"/>
  <c r="GW52" i="8"/>
  <c r="GX52" i="8"/>
  <c r="GY52" i="8"/>
  <c r="GZ52" i="8"/>
  <c r="HA52" i="8"/>
  <c r="HB52" i="8"/>
  <c r="HC52" i="8"/>
  <c r="HD52" i="8"/>
  <c r="HE52" i="8"/>
  <c r="HF52" i="8"/>
  <c r="HG52" i="8"/>
  <c r="HH52" i="8"/>
  <c r="HI52" i="8"/>
  <c r="HJ52" i="8"/>
  <c r="HK52" i="8"/>
  <c r="HL52" i="8"/>
  <c r="HM52" i="8"/>
  <c r="HN52" i="8"/>
  <c r="HO52" i="8"/>
  <c r="HP52" i="8"/>
  <c r="HQ52" i="8"/>
  <c r="HR52" i="8"/>
  <c r="HS52" i="8"/>
  <c r="HT52" i="8"/>
  <c r="HU52" i="8"/>
  <c r="HV52" i="8"/>
  <c r="HW52" i="8"/>
  <c r="HX52" i="8"/>
  <c r="HY52" i="8"/>
  <c r="HZ52" i="8"/>
  <c r="IA52" i="8"/>
  <c r="IB52" i="8"/>
  <c r="IC52" i="8"/>
  <c r="ID52" i="8"/>
  <c r="IE52" i="8"/>
  <c r="IF52" i="8"/>
  <c r="IG52" i="8"/>
  <c r="IH52" i="8"/>
  <c r="II52" i="8"/>
  <c r="IJ52" i="8"/>
  <c r="IK52" i="8"/>
  <c r="IL52" i="8"/>
  <c r="IM52" i="8"/>
  <c r="IN52" i="8"/>
  <c r="IO52" i="8"/>
  <c r="IP52" i="8"/>
  <c r="IQ52" i="8"/>
  <c r="IR52" i="8"/>
  <c r="IS52" i="8"/>
  <c r="IT52" i="8"/>
  <c r="IU52" i="8"/>
  <c r="IV52" i="8"/>
  <c r="A5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BK53" i="8"/>
  <c r="BL53" i="8"/>
  <c r="BM53" i="8"/>
  <c r="BN53" i="8"/>
  <c r="BO53" i="8"/>
  <c r="BP53" i="8"/>
  <c r="BQ53" i="8"/>
  <c r="BR53" i="8"/>
  <c r="BS53" i="8"/>
  <c r="BT53" i="8"/>
  <c r="BU53" i="8"/>
  <c r="BV53" i="8"/>
  <c r="BW53" i="8"/>
  <c r="BX53" i="8"/>
  <c r="BY53" i="8"/>
  <c r="BZ53" i="8"/>
  <c r="CA53" i="8"/>
  <c r="CB53" i="8"/>
  <c r="CC53" i="8"/>
  <c r="CD53" i="8"/>
  <c r="CE53" i="8"/>
  <c r="CF53" i="8"/>
  <c r="CG53" i="8"/>
  <c r="CH53" i="8"/>
  <c r="CI53" i="8"/>
  <c r="CJ53" i="8"/>
  <c r="CK53" i="8"/>
  <c r="CL53" i="8"/>
  <c r="CM53" i="8"/>
  <c r="CN53" i="8"/>
  <c r="CO53" i="8"/>
  <c r="CP53" i="8"/>
  <c r="CQ53" i="8"/>
  <c r="CR53" i="8"/>
  <c r="CS53" i="8"/>
  <c r="CT53" i="8"/>
  <c r="CU53" i="8"/>
  <c r="CV53" i="8"/>
  <c r="CW53" i="8"/>
  <c r="CX53" i="8"/>
  <c r="CY53" i="8"/>
  <c r="CZ53" i="8"/>
  <c r="DA53" i="8"/>
  <c r="DB53" i="8"/>
  <c r="DC53" i="8"/>
  <c r="DD53" i="8"/>
  <c r="DE53" i="8"/>
  <c r="DF53" i="8"/>
  <c r="DG53" i="8"/>
  <c r="DH53" i="8"/>
  <c r="DI53" i="8"/>
  <c r="DJ53" i="8"/>
  <c r="DK53" i="8"/>
  <c r="DL53" i="8"/>
  <c r="DM53" i="8"/>
  <c r="DN53" i="8"/>
  <c r="DO53" i="8"/>
  <c r="DP53" i="8"/>
  <c r="DQ53" i="8"/>
  <c r="DR53" i="8"/>
  <c r="DS53" i="8"/>
  <c r="DT53" i="8"/>
  <c r="DU53" i="8"/>
  <c r="DV53" i="8"/>
  <c r="DW53" i="8"/>
  <c r="DX53" i="8"/>
  <c r="DY53" i="8"/>
  <c r="DZ53" i="8"/>
  <c r="EA53" i="8"/>
  <c r="EB53" i="8"/>
  <c r="EC53" i="8"/>
  <c r="ED53" i="8"/>
  <c r="EE53" i="8"/>
  <c r="EF53" i="8"/>
  <c r="EG53" i="8"/>
  <c r="EH53" i="8"/>
  <c r="EI53" i="8"/>
  <c r="EJ53" i="8"/>
  <c r="EK53" i="8"/>
  <c r="EL53" i="8"/>
  <c r="EM53" i="8"/>
  <c r="EN53" i="8"/>
  <c r="EO53" i="8"/>
  <c r="EP53" i="8"/>
  <c r="EQ53" i="8"/>
  <c r="ER53" i="8"/>
  <c r="ES53" i="8"/>
  <c r="ET53" i="8"/>
  <c r="EU53" i="8"/>
  <c r="EV53" i="8"/>
  <c r="EW53" i="8"/>
  <c r="EX53" i="8"/>
  <c r="EY53" i="8"/>
  <c r="EZ53" i="8"/>
  <c r="FA53" i="8"/>
  <c r="FB53" i="8"/>
  <c r="FC53" i="8"/>
  <c r="FD53" i="8"/>
  <c r="FE53" i="8"/>
  <c r="FF53" i="8"/>
  <c r="FG53" i="8"/>
  <c r="FH53" i="8"/>
  <c r="FI53" i="8"/>
  <c r="FJ53" i="8"/>
  <c r="FK53" i="8"/>
  <c r="FL53" i="8"/>
  <c r="FM53" i="8"/>
  <c r="FN53" i="8"/>
  <c r="FO53" i="8"/>
  <c r="FP53" i="8"/>
  <c r="FQ53" i="8"/>
  <c r="FR53" i="8"/>
  <c r="FS53" i="8"/>
  <c r="FT53" i="8"/>
  <c r="FU53" i="8"/>
  <c r="FV53" i="8"/>
  <c r="FW53" i="8"/>
  <c r="FX53" i="8"/>
  <c r="FY53" i="8"/>
  <c r="FZ53" i="8"/>
  <c r="GA53" i="8"/>
  <c r="GB53" i="8"/>
  <c r="GC53" i="8"/>
  <c r="GD53" i="8"/>
  <c r="GE53" i="8"/>
  <c r="GF53" i="8"/>
  <c r="GG53" i="8"/>
  <c r="GH53" i="8"/>
  <c r="GI53" i="8"/>
  <c r="GJ53" i="8"/>
  <c r="GK53" i="8"/>
  <c r="GL53" i="8"/>
  <c r="GM53" i="8"/>
  <c r="GN53" i="8"/>
  <c r="GO53" i="8"/>
  <c r="GP53" i="8"/>
  <c r="GQ53" i="8"/>
  <c r="GR53" i="8"/>
  <c r="GS53" i="8"/>
  <c r="GT53" i="8"/>
  <c r="GU53" i="8"/>
  <c r="GV53" i="8"/>
  <c r="GW53" i="8"/>
  <c r="GX53" i="8"/>
  <c r="GY53" i="8"/>
  <c r="GZ53" i="8"/>
  <c r="HA53" i="8"/>
  <c r="HB53" i="8"/>
  <c r="HC53" i="8"/>
  <c r="HD53" i="8"/>
  <c r="HE53" i="8"/>
  <c r="HF53" i="8"/>
  <c r="HG53" i="8"/>
  <c r="HH53" i="8"/>
  <c r="HI53" i="8"/>
  <c r="HJ53" i="8"/>
  <c r="HK53" i="8"/>
  <c r="HL53" i="8"/>
  <c r="HM53" i="8"/>
  <c r="HN53" i="8"/>
  <c r="HO53" i="8"/>
  <c r="HP53" i="8"/>
  <c r="HQ53" i="8"/>
  <c r="HR53" i="8"/>
  <c r="HS53" i="8"/>
  <c r="HT53" i="8"/>
  <c r="HU53" i="8"/>
  <c r="HV53" i="8"/>
  <c r="HW53" i="8"/>
  <c r="HX53" i="8"/>
  <c r="HY53" i="8"/>
  <c r="HZ53" i="8"/>
  <c r="IA53" i="8"/>
  <c r="IB53" i="8"/>
  <c r="IC53" i="8"/>
  <c r="ID53" i="8"/>
  <c r="IE53" i="8"/>
  <c r="IF53" i="8"/>
  <c r="IG53" i="8"/>
  <c r="IH53" i="8"/>
  <c r="II53" i="8"/>
  <c r="IJ53" i="8"/>
  <c r="IK53" i="8"/>
  <c r="IL53" i="8"/>
  <c r="IM53" i="8"/>
  <c r="IN53" i="8"/>
  <c r="IO53" i="8"/>
  <c r="IP53" i="8"/>
  <c r="IQ53" i="8"/>
  <c r="IR53" i="8"/>
  <c r="IS53" i="8"/>
  <c r="IT53" i="8"/>
  <c r="IU53" i="8"/>
  <c r="IV53" i="8"/>
  <c r="A54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AX54" i="8"/>
  <c r="AY54" i="8"/>
  <c r="AZ54" i="8"/>
  <c r="BA54" i="8"/>
  <c r="BB54" i="8"/>
  <c r="BC54" i="8"/>
  <c r="BD54" i="8"/>
  <c r="BE54" i="8"/>
  <c r="BF54" i="8"/>
  <c r="BG54" i="8"/>
  <c r="BH54" i="8"/>
  <c r="BI54" i="8"/>
  <c r="BJ54" i="8"/>
  <c r="BK54" i="8"/>
  <c r="BL54" i="8"/>
  <c r="BM54" i="8"/>
  <c r="BN54" i="8"/>
  <c r="BO54" i="8"/>
  <c r="BP54" i="8"/>
  <c r="BQ54" i="8"/>
  <c r="BR54" i="8"/>
  <c r="BS54" i="8"/>
  <c r="BT54" i="8"/>
  <c r="BU54" i="8"/>
  <c r="BV54" i="8"/>
  <c r="BW54" i="8"/>
  <c r="BX54" i="8"/>
  <c r="BY54" i="8"/>
  <c r="BZ54" i="8"/>
  <c r="CA54" i="8"/>
  <c r="CB54" i="8"/>
  <c r="CC54" i="8"/>
  <c r="CD54" i="8"/>
  <c r="CE54" i="8"/>
  <c r="CF54" i="8"/>
  <c r="CG54" i="8"/>
  <c r="CH54" i="8"/>
  <c r="CI54" i="8"/>
  <c r="CJ54" i="8"/>
  <c r="CK54" i="8"/>
  <c r="CL54" i="8"/>
  <c r="CM54" i="8"/>
  <c r="CN54" i="8"/>
  <c r="CO54" i="8"/>
  <c r="CP54" i="8"/>
  <c r="CQ54" i="8"/>
  <c r="CR54" i="8"/>
  <c r="CS54" i="8"/>
  <c r="CT54" i="8"/>
  <c r="CU54" i="8"/>
  <c r="CV54" i="8"/>
  <c r="CW54" i="8"/>
  <c r="CX54" i="8"/>
  <c r="CY54" i="8"/>
  <c r="CZ54" i="8"/>
  <c r="DA54" i="8"/>
  <c r="DB54" i="8"/>
  <c r="DC54" i="8"/>
  <c r="DD54" i="8"/>
  <c r="DE54" i="8"/>
  <c r="DF54" i="8"/>
  <c r="DG54" i="8"/>
  <c r="DH54" i="8"/>
  <c r="DI54" i="8"/>
  <c r="DJ54" i="8"/>
  <c r="DK54" i="8"/>
  <c r="DL54" i="8"/>
  <c r="DM54" i="8"/>
  <c r="DN54" i="8"/>
  <c r="DO54" i="8"/>
  <c r="DP54" i="8"/>
  <c r="DQ54" i="8"/>
  <c r="DR54" i="8"/>
  <c r="DS54" i="8"/>
  <c r="DT54" i="8"/>
  <c r="DU54" i="8"/>
  <c r="DV54" i="8"/>
  <c r="DW54" i="8"/>
  <c r="DX54" i="8"/>
  <c r="DY54" i="8"/>
  <c r="DZ54" i="8"/>
  <c r="EA54" i="8"/>
  <c r="EB54" i="8"/>
  <c r="EC54" i="8"/>
  <c r="ED54" i="8"/>
  <c r="EE54" i="8"/>
  <c r="EF54" i="8"/>
  <c r="EG54" i="8"/>
  <c r="EH54" i="8"/>
  <c r="EI54" i="8"/>
  <c r="EJ54" i="8"/>
  <c r="EK54" i="8"/>
  <c r="EL54" i="8"/>
  <c r="EM54" i="8"/>
  <c r="EN54" i="8"/>
  <c r="EO54" i="8"/>
  <c r="EP54" i="8"/>
  <c r="EQ54" i="8"/>
  <c r="ER54" i="8"/>
  <c r="ES54" i="8"/>
  <c r="ET54" i="8"/>
  <c r="EU54" i="8"/>
  <c r="EV54" i="8"/>
  <c r="EW54" i="8"/>
  <c r="EX54" i="8"/>
  <c r="EY54" i="8"/>
  <c r="EZ54" i="8"/>
  <c r="FA54" i="8"/>
  <c r="FB54" i="8"/>
  <c r="FC54" i="8"/>
  <c r="FD54" i="8"/>
  <c r="FE54" i="8"/>
  <c r="FF54" i="8"/>
  <c r="FG54" i="8"/>
  <c r="FH54" i="8"/>
  <c r="FI54" i="8"/>
  <c r="FJ54" i="8"/>
  <c r="FK54" i="8"/>
  <c r="FL54" i="8"/>
  <c r="FM54" i="8"/>
  <c r="FN54" i="8"/>
  <c r="FO54" i="8"/>
  <c r="FP54" i="8"/>
  <c r="FQ54" i="8"/>
  <c r="FR54" i="8"/>
  <c r="FS54" i="8"/>
  <c r="FT54" i="8"/>
  <c r="FU54" i="8"/>
  <c r="FV54" i="8"/>
  <c r="FW54" i="8"/>
  <c r="FX54" i="8"/>
  <c r="FY54" i="8"/>
  <c r="FZ54" i="8"/>
  <c r="GA54" i="8"/>
  <c r="GB54" i="8"/>
  <c r="GC54" i="8"/>
  <c r="GD54" i="8"/>
  <c r="GE54" i="8"/>
  <c r="GF54" i="8"/>
  <c r="GG54" i="8"/>
  <c r="GH54" i="8"/>
  <c r="GI54" i="8"/>
  <c r="GJ54" i="8"/>
  <c r="GK54" i="8"/>
  <c r="GL54" i="8"/>
  <c r="GM54" i="8"/>
  <c r="GN54" i="8"/>
  <c r="GO54" i="8"/>
  <c r="GP54" i="8"/>
  <c r="GQ54" i="8"/>
  <c r="GR54" i="8"/>
  <c r="GS54" i="8"/>
  <c r="GT54" i="8"/>
  <c r="GU54" i="8"/>
  <c r="GV54" i="8"/>
  <c r="GW54" i="8"/>
  <c r="GX54" i="8"/>
  <c r="GY54" i="8"/>
  <c r="GZ54" i="8"/>
  <c r="HA54" i="8"/>
  <c r="HB54" i="8"/>
  <c r="HC54" i="8"/>
  <c r="HD54" i="8"/>
  <c r="HE54" i="8"/>
  <c r="HF54" i="8"/>
  <c r="HG54" i="8"/>
  <c r="HH54" i="8"/>
  <c r="HI54" i="8"/>
  <c r="HJ54" i="8"/>
  <c r="HK54" i="8"/>
  <c r="HL54" i="8"/>
  <c r="HM54" i="8"/>
  <c r="HN54" i="8"/>
  <c r="HO54" i="8"/>
  <c r="HP54" i="8"/>
  <c r="HQ54" i="8"/>
  <c r="HR54" i="8"/>
  <c r="HS54" i="8"/>
  <c r="HT54" i="8"/>
  <c r="HU54" i="8"/>
  <c r="HV54" i="8"/>
  <c r="HW54" i="8"/>
  <c r="HX54" i="8"/>
  <c r="HY54" i="8"/>
  <c r="HZ54" i="8"/>
  <c r="IA54" i="8"/>
  <c r="IB54" i="8"/>
  <c r="IC54" i="8"/>
  <c r="ID54" i="8"/>
  <c r="IE54" i="8"/>
  <c r="IF54" i="8"/>
  <c r="IG54" i="8"/>
  <c r="IH54" i="8"/>
  <c r="II54" i="8"/>
  <c r="IJ54" i="8"/>
  <c r="IK54" i="8"/>
  <c r="IL54" i="8"/>
  <c r="IM54" i="8"/>
  <c r="IN54" i="8"/>
  <c r="IO54" i="8"/>
  <c r="IP54" i="8"/>
  <c r="IQ54" i="8"/>
  <c r="IR54" i="8"/>
  <c r="IS54" i="8"/>
  <c r="IT54" i="8"/>
  <c r="IU54" i="8"/>
  <c r="IV54" i="8"/>
  <c r="A55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BA55" i="8"/>
  <c r="BB55" i="8"/>
  <c r="BC55" i="8"/>
  <c r="BD55" i="8"/>
  <c r="BE55" i="8"/>
  <c r="BF55" i="8"/>
  <c r="BG55" i="8"/>
  <c r="BH55" i="8"/>
  <c r="BI55" i="8"/>
  <c r="BJ55" i="8"/>
  <c r="BK55" i="8"/>
  <c r="BL55" i="8"/>
  <c r="BM55" i="8"/>
  <c r="BN55" i="8"/>
  <c r="BO55" i="8"/>
  <c r="BP55" i="8"/>
  <c r="BQ55" i="8"/>
  <c r="BR55" i="8"/>
  <c r="BS55" i="8"/>
  <c r="BT55" i="8"/>
  <c r="BU55" i="8"/>
  <c r="BV55" i="8"/>
  <c r="BW55" i="8"/>
  <c r="BX55" i="8"/>
  <c r="BY55" i="8"/>
  <c r="BZ55" i="8"/>
  <c r="CA55" i="8"/>
  <c r="CB55" i="8"/>
  <c r="CC55" i="8"/>
  <c r="CD55" i="8"/>
  <c r="CE55" i="8"/>
  <c r="CF55" i="8"/>
  <c r="CG55" i="8"/>
  <c r="CH55" i="8"/>
  <c r="CI55" i="8"/>
  <c r="CJ55" i="8"/>
  <c r="CK55" i="8"/>
  <c r="CL55" i="8"/>
  <c r="CM55" i="8"/>
  <c r="CN55" i="8"/>
  <c r="CO55" i="8"/>
  <c r="CP55" i="8"/>
  <c r="CQ55" i="8"/>
  <c r="CR55" i="8"/>
  <c r="CS55" i="8"/>
  <c r="CT55" i="8"/>
  <c r="CU55" i="8"/>
  <c r="CV55" i="8"/>
  <c r="CW55" i="8"/>
  <c r="CX55" i="8"/>
  <c r="CY55" i="8"/>
  <c r="CZ55" i="8"/>
  <c r="DA55" i="8"/>
  <c r="DB55" i="8"/>
  <c r="DC55" i="8"/>
  <c r="DD55" i="8"/>
  <c r="DE55" i="8"/>
  <c r="DF55" i="8"/>
  <c r="DG55" i="8"/>
  <c r="DH55" i="8"/>
  <c r="DI55" i="8"/>
  <c r="DJ55" i="8"/>
  <c r="DK55" i="8"/>
  <c r="DL55" i="8"/>
  <c r="DM55" i="8"/>
  <c r="DN55" i="8"/>
  <c r="DO55" i="8"/>
  <c r="DP55" i="8"/>
  <c r="DQ55" i="8"/>
  <c r="DR55" i="8"/>
  <c r="DS55" i="8"/>
  <c r="DT55" i="8"/>
  <c r="DU55" i="8"/>
  <c r="DV55" i="8"/>
  <c r="DW55" i="8"/>
  <c r="DX55" i="8"/>
  <c r="DY55" i="8"/>
  <c r="DZ55" i="8"/>
  <c r="EA55" i="8"/>
  <c r="EB55" i="8"/>
  <c r="EC55" i="8"/>
  <c r="ED55" i="8"/>
  <c r="EE55" i="8"/>
  <c r="EF55" i="8"/>
  <c r="EG55" i="8"/>
  <c r="EH55" i="8"/>
  <c r="EI55" i="8"/>
  <c r="EJ55" i="8"/>
  <c r="EK55" i="8"/>
  <c r="EL55" i="8"/>
  <c r="EM55" i="8"/>
  <c r="EN55" i="8"/>
  <c r="EO55" i="8"/>
  <c r="EP55" i="8"/>
  <c r="EQ55" i="8"/>
  <c r="ER55" i="8"/>
  <c r="ES55" i="8"/>
  <c r="ET55" i="8"/>
  <c r="EU55" i="8"/>
  <c r="EV55" i="8"/>
  <c r="EW55" i="8"/>
  <c r="EX55" i="8"/>
  <c r="EY55" i="8"/>
  <c r="EZ55" i="8"/>
  <c r="FA55" i="8"/>
  <c r="FB55" i="8"/>
  <c r="FC55" i="8"/>
  <c r="FD55" i="8"/>
  <c r="FE55" i="8"/>
  <c r="FF55" i="8"/>
  <c r="FG55" i="8"/>
  <c r="FH55" i="8"/>
  <c r="FI55" i="8"/>
  <c r="FJ55" i="8"/>
  <c r="FK55" i="8"/>
  <c r="FL55" i="8"/>
  <c r="FM55" i="8"/>
  <c r="FN55" i="8"/>
  <c r="FO55" i="8"/>
  <c r="FP55" i="8"/>
  <c r="FQ55" i="8"/>
  <c r="FR55" i="8"/>
  <c r="FS55" i="8"/>
  <c r="FT55" i="8"/>
  <c r="FU55" i="8"/>
  <c r="FV55" i="8"/>
  <c r="FW55" i="8"/>
  <c r="FX55" i="8"/>
  <c r="FY55" i="8"/>
  <c r="FZ55" i="8"/>
  <c r="GA55" i="8"/>
  <c r="GB55" i="8"/>
  <c r="GC55" i="8"/>
  <c r="GD55" i="8"/>
  <c r="GE55" i="8"/>
  <c r="GF55" i="8"/>
  <c r="GG55" i="8"/>
  <c r="GH55" i="8"/>
  <c r="GI55" i="8"/>
  <c r="GJ55" i="8"/>
  <c r="GK55" i="8"/>
  <c r="GL55" i="8"/>
  <c r="GM55" i="8"/>
  <c r="GN55" i="8"/>
  <c r="GO55" i="8"/>
  <c r="GP55" i="8"/>
  <c r="GQ55" i="8"/>
  <c r="GR55" i="8"/>
  <c r="GS55" i="8"/>
  <c r="GT55" i="8"/>
  <c r="GU55" i="8"/>
  <c r="GV55" i="8"/>
  <c r="GW55" i="8"/>
  <c r="GX55" i="8"/>
  <c r="GY55" i="8"/>
  <c r="GZ55" i="8"/>
  <c r="HA55" i="8"/>
  <c r="HB55" i="8"/>
  <c r="HC55" i="8"/>
  <c r="HD55" i="8"/>
  <c r="HE55" i="8"/>
  <c r="HF55" i="8"/>
  <c r="HG55" i="8"/>
  <c r="HH55" i="8"/>
  <c r="HI55" i="8"/>
  <c r="HJ55" i="8"/>
  <c r="HK55" i="8"/>
  <c r="HL55" i="8"/>
  <c r="HM55" i="8"/>
  <c r="HN55" i="8"/>
  <c r="HO55" i="8"/>
  <c r="HP55" i="8"/>
  <c r="HQ55" i="8"/>
  <c r="HR55" i="8"/>
  <c r="HS55" i="8"/>
  <c r="HT55" i="8"/>
  <c r="HU55" i="8"/>
  <c r="HV55" i="8"/>
  <c r="HW55" i="8"/>
  <c r="HX55" i="8"/>
  <c r="HY55" i="8"/>
  <c r="HZ55" i="8"/>
  <c r="IA55" i="8"/>
  <c r="IB55" i="8"/>
  <c r="IC55" i="8"/>
  <c r="ID55" i="8"/>
  <c r="IE55" i="8"/>
  <c r="IF55" i="8"/>
  <c r="IG55" i="8"/>
  <c r="IH55" i="8"/>
  <c r="II55" i="8"/>
  <c r="IJ55" i="8"/>
  <c r="IK55" i="8"/>
  <c r="IL55" i="8"/>
  <c r="IM55" i="8"/>
  <c r="IN55" i="8"/>
  <c r="IO55" i="8"/>
  <c r="IP55" i="8"/>
  <c r="IQ55" i="8"/>
  <c r="IR55" i="8"/>
  <c r="IS55" i="8"/>
  <c r="IT55" i="8"/>
  <c r="IU55" i="8"/>
  <c r="IV55" i="8"/>
  <c r="A56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AZ56" i="8"/>
  <c r="BA56" i="8"/>
  <c r="BB56" i="8"/>
  <c r="BC56" i="8"/>
  <c r="BD56" i="8"/>
  <c r="BE56" i="8"/>
  <c r="BF56" i="8"/>
  <c r="BG56" i="8"/>
  <c r="BH56" i="8"/>
  <c r="BI56" i="8"/>
  <c r="BJ56" i="8"/>
  <c r="BK56" i="8"/>
  <c r="BL56" i="8"/>
  <c r="BM56" i="8"/>
  <c r="BN56" i="8"/>
  <c r="BO56" i="8"/>
  <c r="BP56" i="8"/>
  <c r="BQ56" i="8"/>
  <c r="BR56" i="8"/>
  <c r="BS56" i="8"/>
  <c r="BT56" i="8"/>
  <c r="BU56" i="8"/>
  <c r="BV56" i="8"/>
  <c r="BW56" i="8"/>
  <c r="BX56" i="8"/>
  <c r="BY56" i="8"/>
  <c r="BZ56" i="8"/>
  <c r="CA56" i="8"/>
  <c r="CB56" i="8"/>
  <c r="CC56" i="8"/>
  <c r="CD56" i="8"/>
  <c r="CE56" i="8"/>
  <c r="CF56" i="8"/>
  <c r="CG56" i="8"/>
  <c r="CH56" i="8"/>
  <c r="CI56" i="8"/>
  <c r="CJ56" i="8"/>
  <c r="CK56" i="8"/>
  <c r="CL56" i="8"/>
  <c r="CM56" i="8"/>
  <c r="CN56" i="8"/>
  <c r="CO56" i="8"/>
  <c r="CP56" i="8"/>
  <c r="CQ56" i="8"/>
  <c r="CR56" i="8"/>
  <c r="CS56" i="8"/>
  <c r="CT56" i="8"/>
  <c r="CU56" i="8"/>
  <c r="CV56" i="8"/>
  <c r="CW56" i="8"/>
  <c r="CX56" i="8"/>
  <c r="CY56" i="8"/>
  <c r="CZ56" i="8"/>
  <c r="DA56" i="8"/>
  <c r="DB56" i="8"/>
  <c r="DC56" i="8"/>
  <c r="DD56" i="8"/>
  <c r="DE56" i="8"/>
  <c r="DF56" i="8"/>
  <c r="DG56" i="8"/>
  <c r="DH56" i="8"/>
  <c r="DI56" i="8"/>
  <c r="DJ56" i="8"/>
  <c r="DK56" i="8"/>
  <c r="DL56" i="8"/>
  <c r="DM56" i="8"/>
  <c r="DN56" i="8"/>
  <c r="DO56" i="8"/>
  <c r="DP56" i="8"/>
  <c r="DQ56" i="8"/>
  <c r="DR56" i="8"/>
  <c r="DS56" i="8"/>
  <c r="DT56" i="8"/>
  <c r="DU56" i="8"/>
  <c r="DV56" i="8"/>
  <c r="DW56" i="8"/>
  <c r="DX56" i="8"/>
  <c r="DY56" i="8"/>
  <c r="DZ56" i="8"/>
  <c r="EA56" i="8"/>
  <c r="EB56" i="8"/>
  <c r="EC56" i="8"/>
  <c r="ED56" i="8"/>
  <c r="EE56" i="8"/>
  <c r="EF56" i="8"/>
  <c r="EG56" i="8"/>
  <c r="EH56" i="8"/>
  <c r="EI56" i="8"/>
  <c r="EJ56" i="8"/>
  <c r="EK56" i="8"/>
  <c r="EL56" i="8"/>
  <c r="EM56" i="8"/>
  <c r="EN56" i="8"/>
  <c r="EO56" i="8"/>
  <c r="EP56" i="8"/>
  <c r="EQ56" i="8"/>
  <c r="ER56" i="8"/>
  <c r="ES56" i="8"/>
  <c r="ET56" i="8"/>
  <c r="EU56" i="8"/>
  <c r="EV56" i="8"/>
  <c r="EW56" i="8"/>
  <c r="EX56" i="8"/>
  <c r="EY56" i="8"/>
  <c r="EZ56" i="8"/>
  <c r="FA56" i="8"/>
  <c r="FB56" i="8"/>
  <c r="FC56" i="8"/>
  <c r="FD56" i="8"/>
  <c r="FE56" i="8"/>
  <c r="FF56" i="8"/>
  <c r="FG56" i="8"/>
  <c r="FH56" i="8"/>
  <c r="FI56" i="8"/>
  <c r="FJ56" i="8"/>
  <c r="FK56" i="8"/>
  <c r="FL56" i="8"/>
  <c r="FM56" i="8"/>
  <c r="FN56" i="8"/>
  <c r="FO56" i="8"/>
  <c r="FP56" i="8"/>
  <c r="FQ56" i="8"/>
  <c r="FR56" i="8"/>
  <c r="FS56" i="8"/>
  <c r="FT56" i="8"/>
  <c r="FU56" i="8"/>
  <c r="FV56" i="8"/>
  <c r="FW56" i="8"/>
  <c r="FX56" i="8"/>
  <c r="FY56" i="8"/>
  <c r="FZ56" i="8"/>
  <c r="GA56" i="8"/>
  <c r="GB56" i="8"/>
  <c r="GC56" i="8"/>
  <c r="GD56" i="8"/>
  <c r="GE56" i="8"/>
  <c r="GF56" i="8"/>
  <c r="GG56" i="8"/>
  <c r="GH56" i="8"/>
  <c r="GI56" i="8"/>
  <c r="GJ56" i="8"/>
  <c r="GK56" i="8"/>
  <c r="GL56" i="8"/>
  <c r="GM56" i="8"/>
  <c r="GN56" i="8"/>
  <c r="GO56" i="8"/>
  <c r="GP56" i="8"/>
  <c r="GQ56" i="8"/>
  <c r="GR56" i="8"/>
  <c r="GS56" i="8"/>
  <c r="GT56" i="8"/>
  <c r="GU56" i="8"/>
  <c r="GV56" i="8"/>
  <c r="GW56" i="8"/>
  <c r="GX56" i="8"/>
  <c r="GY56" i="8"/>
  <c r="GZ56" i="8"/>
  <c r="HA56" i="8"/>
  <c r="HB56" i="8"/>
  <c r="HC56" i="8"/>
  <c r="HD56" i="8"/>
  <c r="HE56" i="8"/>
  <c r="HF56" i="8"/>
  <c r="HG56" i="8"/>
  <c r="HH56" i="8"/>
  <c r="HI56" i="8"/>
  <c r="HJ56" i="8"/>
  <c r="HK56" i="8"/>
  <c r="HL56" i="8"/>
  <c r="HM56" i="8"/>
  <c r="HN56" i="8"/>
  <c r="HO56" i="8"/>
  <c r="HP56" i="8"/>
  <c r="HQ56" i="8"/>
  <c r="HR56" i="8"/>
  <c r="HS56" i="8"/>
  <c r="HT56" i="8"/>
  <c r="HU56" i="8"/>
  <c r="HV56" i="8"/>
  <c r="HW56" i="8"/>
  <c r="HX56" i="8"/>
  <c r="HY56" i="8"/>
  <c r="HZ56" i="8"/>
  <c r="IA56" i="8"/>
  <c r="IB56" i="8"/>
  <c r="IC56" i="8"/>
  <c r="ID56" i="8"/>
  <c r="IE56" i="8"/>
  <c r="IF56" i="8"/>
  <c r="IG56" i="8"/>
  <c r="IH56" i="8"/>
  <c r="II56" i="8"/>
  <c r="IJ56" i="8"/>
  <c r="IK56" i="8"/>
  <c r="IL56" i="8"/>
  <c r="IM56" i="8"/>
  <c r="IN56" i="8"/>
  <c r="IO56" i="8"/>
  <c r="IP56" i="8"/>
  <c r="IQ56" i="8"/>
  <c r="IR56" i="8"/>
  <c r="IS56" i="8"/>
  <c r="IT56" i="8"/>
  <c r="IU56" i="8"/>
  <c r="IV56" i="8"/>
  <c r="A57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BK57" i="8"/>
  <c r="BL57" i="8"/>
  <c r="BM57" i="8"/>
  <c r="BN57" i="8"/>
  <c r="BO57" i="8"/>
  <c r="BP57" i="8"/>
  <c r="BQ57" i="8"/>
  <c r="BR57" i="8"/>
  <c r="BS57" i="8"/>
  <c r="BT57" i="8"/>
  <c r="BU57" i="8"/>
  <c r="BV57" i="8"/>
  <c r="BW57" i="8"/>
  <c r="BX57" i="8"/>
  <c r="BY57" i="8"/>
  <c r="BZ57" i="8"/>
  <c r="CA57" i="8"/>
  <c r="CB57" i="8"/>
  <c r="CC57" i="8"/>
  <c r="CD57" i="8"/>
  <c r="CE57" i="8"/>
  <c r="CF57" i="8"/>
  <c r="CG57" i="8"/>
  <c r="CH57" i="8"/>
  <c r="CI57" i="8"/>
  <c r="CJ57" i="8"/>
  <c r="CK57" i="8"/>
  <c r="CL57" i="8"/>
  <c r="CM57" i="8"/>
  <c r="CN57" i="8"/>
  <c r="CO57" i="8"/>
  <c r="CP57" i="8"/>
  <c r="CQ57" i="8"/>
  <c r="CR57" i="8"/>
  <c r="CS57" i="8"/>
  <c r="CT57" i="8"/>
  <c r="CU57" i="8"/>
  <c r="CV57" i="8"/>
  <c r="CW57" i="8"/>
  <c r="CX57" i="8"/>
  <c r="CY57" i="8"/>
  <c r="CZ57" i="8"/>
  <c r="DA57" i="8"/>
  <c r="DB57" i="8"/>
  <c r="DC57" i="8"/>
  <c r="DD57" i="8"/>
  <c r="DE57" i="8"/>
  <c r="DF57" i="8"/>
  <c r="DG57" i="8"/>
  <c r="DH57" i="8"/>
  <c r="DI57" i="8"/>
  <c r="DJ57" i="8"/>
  <c r="DK57" i="8"/>
  <c r="DL57" i="8"/>
  <c r="DM57" i="8"/>
  <c r="DN57" i="8"/>
  <c r="DO57" i="8"/>
  <c r="DP57" i="8"/>
  <c r="DQ57" i="8"/>
  <c r="DR57" i="8"/>
  <c r="DS57" i="8"/>
  <c r="DT57" i="8"/>
  <c r="DU57" i="8"/>
  <c r="DV57" i="8"/>
  <c r="DW57" i="8"/>
  <c r="DX57" i="8"/>
  <c r="DY57" i="8"/>
  <c r="DZ57" i="8"/>
  <c r="EA57" i="8"/>
  <c r="EB57" i="8"/>
  <c r="EC57" i="8"/>
  <c r="ED57" i="8"/>
  <c r="EE57" i="8"/>
  <c r="EF57" i="8"/>
  <c r="EG57" i="8"/>
  <c r="EH57" i="8"/>
  <c r="EI57" i="8"/>
  <c r="EJ57" i="8"/>
  <c r="EK57" i="8"/>
  <c r="EL57" i="8"/>
  <c r="EM57" i="8"/>
  <c r="EN57" i="8"/>
  <c r="EO57" i="8"/>
  <c r="EP57" i="8"/>
  <c r="EQ57" i="8"/>
  <c r="ER57" i="8"/>
  <c r="ES57" i="8"/>
  <c r="ET57" i="8"/>
  <c r="EU57" i="8"/>
  <c r="EV57" i="8"/>
  <c r="EW57" i="8"/>
  <c r="EX57" i="8"/>
  <c r="EY57" i="8"/>
  <c r="EZ57" i="8"/>
  <c r="FA57" i="8"/>
  <c r="FB57" i="8"/>
  <c r="FC57" i="8"/>
  <c r="FD57" i="8"/>
  <c r="FE57" i="8"/>
  <c r="FF57" i="8"/>
  <c r="FG57" i="8"/>
  <c r="FH57" i="8"/>
  <c r="FI57" i="8"/>
  <c r="FJ57" i="8"/>
  <c r="FK57" i="8"/>
  <c r="FL57" i="8"/>
  <c r="FM57" i="8"/>
  <c r="FN57" i="8"/>
  <c r="FO57" i="8"/>
  <c r="FP57" i="8"/>
  <c r="FQ57" i="8"/>
  <c r="FR57" i="8"/>
  <c r="FS57" i="8"/>
  <c r="FT57" i="8"/>
  <c r="FU57" i="8"/>
  <c r="FV57" i="8"/>
  <c r="FW57" i="8"/>
  <c r="FX57" i="8"/>
  <c r="FY57" i="8"/>
  <c r="FZ57" i="8"/>
  <c r="GA57" i="8"/>
  <c r="GB57" i="8"/>
  <c r="GC57" i="8"/>
  <c r="GD57" i="8"/>
  <c r="GE57" i="8"/>
  <c r="GF57" i="8"/>
  <c r="GG57" i="8"/>
  <c r="GH57" i="8"/>
  <c r="GI57" i="8"/>
  <c r="GJ57" i="8"/>
  <c r="GK57" i="8"/>
  <c r="GL57" i="8"/>
  <c r="GM57" i="8"/>
  <c r="GN57" i="8"/>
  <c r="GO57" i="8"/>
  <c r="GP57" i="8"/>
  <c r="GQ57" i="8"/>
  <c r="GR57" i="8"/>
  <c r="GS57" i="8"/>
  <c r="GT57" i="8"/>
  <c r="GU57" i="8"/>
  <c r="GV57" i="8"/>
  <c r="GW57" i="8"/>
  <c r="GX57" i="8"/>
  <c r="GY57" i="8"/>
  <c r="GZ57" i="8"/>
  <c r="HA57" i="8"/>
  <c r="HB57" i="8"/>
  <c r="HC57" i="8"/>
  <c r="HD57" i="8"/>
  <c r="HE57" i="8"/>
  <c r="HF57" i="8"/>
  <c r="HG57" i="8"/>
  <c r="HH57" i="8"/>
  <c r="HI57" i="8"/>
  <c r="HJ57" i="8"/>
  <c r="HK57" i="8"/>
  <c r="HL57" i="8"/>
  <c r="HM57" i="8"/>
  <c r="HN57" i="8"/>
  <c r="HO57" i="8"/>
  <c r="HP57" i="8"/>
  <c r="HQ57" i="8"/>
  <c r="HR57" i="8"/>
  <c r="HS57" i="8"/>
  <c r="HT57" i="8"/>
  <c r="HU57" i="8"/>
  <c r="HV57" i="8"/>
  <c r="HW57" i="8"/>
  <c r="HX57" i="8"/>
  <c r="HY57" i="8"/>
  <c r="HZ57" i="8"/>
  <c r="IA57" i="8"/>
  <c r="IB57" i="8"/>
  <c r="IC57" i="8"/>
  <c r="ID57" i="8"/>
  <c r="IE57" i="8"/>
  <c r="IF57" i="8"/>
  <c r="IG57" i="8"/>
  <c r="IH57" i="8"/>
  <c r="II57" i="8"/>
  <c r="IJ57" i="8"/>
  <c r="IK57" i="8"/>
  <c r="IL57" i="8"/>
  <c r="IM57" i="8"/>
  <c r="IN57" i="8"/>
  <c r="IO57" i="8"/>
  <c r="IP57" i="8"/>
  <c r="IQ57" i="8"/>
  <c r="IR57" i="8"/>
  <c r="IS57" i="8"/>
  <c r="IT57" i="8"/>
  <c r="IU57" i="8"/>
  <c r="IV57" i="8"/>
  <c r="A58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58" i="8"/>
  <c r="BL58" i="8"/>
  <c r="BM58" i="8"/>
  <c r="BN58" i="8"/>
  <c r="BO58" i="8"/>
  <c r="BP58" i="8"/>
  <c r="BQ58" i="8"/>
  <c r="BR58" i="8"/>
  <c r="BS58" i="8"/>
  <c r="BT58" i="8"/>
  <c r="BU58" i="8"/>
  <c r="BV58" i="8"/>
  <c r="BW58" i="8"/>
  <c r="BX58" i="8"/>
  <c r="BY58" i="8"/>
  <c r="BZ58" i="8"/>
  <c r="CA58" i="8"/>
  <c r="CB58" i="8"/>
  <c r="CC58" i="8"/>
  <c r="CD58" i="8"/>
  <c r="CE58" i="8"/>
  <c r="CF58" i="8"/>
  <c r="CG58" i="8"/>
  <c r="CH58" i="8"/>
  <c r="CI58" i="8"/>
  <c r="CJ58" i="8"/>
  <c r="CK58" i="8"/>
  <c r="CL58" i="8"/>
  <c r="CM58" i="8"/>
  <c r="CN58" i="8"/>
  <c r="CO58" i="8"/>
  <c r="CP58" i="8"/>
  <c r="CQ58" i="8"/>
  <c r="CR58" i="8"/>
  <c r="CS58" i="8"/>
  <c r="CT58" i="8"/>
  <c r="CU58" i="8"/>
  <c r="CV58" i="8"/>
  <c r="CW58" i="8"/>
  <c r="CX58" i="8"/>
  <c r="CY58" i="8"/>
  <c r="CZ58" i="8"/>
  <c r="DA58" i="8"/>
  <c r="DB58" i="8"/>
  <c r="DC58" i="8"/>
  <c r="DD58" i="8"/>
  <c r="DE58" i="8"/>
  <c r="DF58" i="8"/>
  <c r="DG58" i="8"/>
  <c r="DH58" i="8"/>
  <c r="DI58" i="8"/>
  <c r="DJ58" i="8"/>
  <c r="DK58" i="8"/>
  <c r="DL58" i="8"/>
  <c r="DM58" i="8"/>
  <c r="DN58" i="8"/>
  <c r="DO58" i="8"/>
  <c r="DP58" i="8"/>
  <c r="DQ58" i="8"/>
  <c r="DR58" i="8"/>
  <c r="DS58" i="8"/>
  <c r="DT58" i="8"/>
  <c r="DU58" i="8"/>
  <c r="DV58" i="8"/>
  <c r="DW58" i="8"/>
  <c r="DX58" i="8"/>
  <c r="DY58" i="8"/>
  <c r="DZ58" i="8"/>
  <c r="EA58" i="8"/>
  <c r="EB58" i="8"/>
  <c r="EC58" i="8"/>
  <c r="ED58" i="8"/>
  <c r="EE58" i="8"/>
  <c r="EF58" i="8"/>
  <c r="EG58" i="8"/>
  <c r="EH58" i="8"/>
  <c r="EI58" i="8"/>
  <c r="EJ58" i="8"/>
  <c r="EK58" i="8"/>
  <c r="EL58" i="8"/>
  <c r="EM58" i="8"/>
  <c r="EN58" i="8"/>
  <c r="EO58" i="8"/>
  <c r="EP58" i="8"/>
  <c r="EQ58" i="8"/>
  <c r="ER58" i="8"/>
  <c r="ES58" i="8"/>
  <c r="ET58" i="8"/>
  <c r="EU58" i="8"/>
  <c r="EV58" i="8"/>
  <c r="EW58" i="8"/>
  <c r="EX58" i="8"/>
  <c r="EY58" i="8"/>
  <c r="EZ58" i="8"/>
  <c r="FA58" i="8"/>
  <c r="FB58" i="8"/>
  <c r="FC58" i="8"/>
  <c r="FD58" i="8"/>
  <c r="FE58" i="8"/>
  <c r="FF58" i="8"/>
  <c r="FG58" i="8"/>
  <c r="FH58" i="8"/>
  <c r="FI58" i="8"/>
  <c r="FJ58" i="8"/>
  <c r="FK58" i="8"/>
  <c r="FL58" i="8"/>
  <c r="FM58" i="8"/>
  <c r="FN58" i="8"/>
  <c r="FO58" i="8"/>
  <c r="FP58" i="8"/>
  <c r="FQ58" i="8"/>
  <c r="FR58" i="8"/>
  <c r="FS58" i="8"/>
  <c r="FT58" i="8"/>
  <c r="FU58" i="8"/>
  <c r="FV58" i="8"/>
  <c r="FW58" i="8"/>
  <c r="FX58" i="8"/>
  <c r="FY58" i="8"/>
  <c r="FZ58" i="8"/>
  <c r="GA58" i="8"/>
  <c r="GB58" i="8"/>
  <c r="GC58" i="8"/>
  <c r="GD58" i="8"/>
  <c r="GE58" i="8"/>
  <c r="GF58" i="8"/>
  <c r="GG58" i="8"/>
  <c r="GH58" i="8"/>
  <c r="GI58" i="8"/>
  <c r="GJ58" i="8"/>
  <c r="GK58" i="8"/>
  <c r="GL58" i="8"/>
  <c r="GM58" i="8"/>
  <c r="GN58" i="8"/>
  <c r="GO58" i="8"/>
  <c r="GP58" i="8"/>
  <c r="GQ58" i="8"/>
  <c r="GR58" i="8"/>
  <c r="GS58" i="8"/>
  <c r="GT58" i="8"/>
  <c r="GU58" i="8"/>
  <c r="GV58" i="8"/>
  <c r="GW58" i="8"/>
  <c r="GX58" i="8"/>
  <c r="GY58" i="8"/>
  <c r="GZ58" i="8"/>
  <c r="HA58" i="8"/>
  <c r="HB58" i="8"/>
  <c r="HC58" i="8"/>
  <c r="HD58" i="8"/>
  <c r="HE58" i="8"/>
  <c r="HF58" i="8"/>
  <c r="HG58" i="8"/>
  <c r="HH58" i="8"/>
  <c r="HI58" i="8"/>
  <c r="HJ58" i="8"/>
  <c r="HK58" i="8"/>
  <c r="HL58" i="8"/>
  <c r="HM58" i="8"/>
  <c r="HN58" i="8"/>
  <c r="HO58" i="8"/>
  <c r="HP58" i="8"/>
  <c r="HQ58" i="8"/>
  <c r="HR58" i="8"/>
  <c r="HS58" i="8"/>
  <c r="HT58" i="8"/>
  <c r="HU58" i="8"/>
  <c r="HV58" i="8"/>
  <c r="HW58" i="8"/>
  <c r="HX58" i="8"/>
  <c r="HY58" i="8"/>
  <c r="HZ58" i="8"/>
  <c r="IA58" i="8"/>
  <c r="IB58" i="8"/>
  <c r="IC58" i="8"/>
  <c r="ID58" i="8"/>
  <c r="IE58" i="8"/>
  <c r="IF58" i="8"/>
  <c r="IG58" i="8"/>
  <c r="IH58" i="8"/>
  <c r="II58" i="8"/>
  <c r="IJ58" i="8"/>
  <c r="IK58" i="8"/>
  <c r="IL58" i="8"/>
  <c r="IM58" i="8"/>
  <c r="IN58" i="8"/>
  <c r="IO58" i="8"/>
  <c r="IP58" i="8"/>
  <c r="IQ58" i="8"/>
  <c r="IR58" i="8"/>
  <c r="IS58" i="8"/>
  <c r="IT58" i="8"/>
  <c r="IU58" i="8"/>
  <c r="IV58" i="8"/>
  <c r="A59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M59" i="8"/>
  <c r="AN59" i="8"/>
  <c r="AO59" i="8"/>
  <c r="AP59" i="8"/>
  <c r="AQ59" i="8"/>
  <c r="AR59" i="8"/>
  <c r="AS59" i="8"/>
  <c r="AT59" i="8"/>
  <c r="AU59" i="8"/>
  <c r="AV59" i="8"/>
  <c r="AW59" i="8"/>
  <c r="AX59" i="8"/>
  <c r="AY59" i="8"/>
  <c r="AZ59" i="8"/>
  <c r="BA59" i="8"/>
  <c r="BB59" i="8"/>
  <c r="BC59" i="8"/>
  <c r="BD59" i="8"/>
  <c r="BE59" i="8"/>
  <c r="BF59" i="8"/>
  <c r="BG59" i="8"/>
  <c r="BH59" i="8"/>
  <c r="BI59" i="8"/>
  <c r="BJ59" i="8"/>
  <c r="BK59" i="8"/>
  <c r="BL59" i="8"/>
  <c r="BM59" i="8"/>
  <c r="BN59" i="8"/>
  <c r="BO59" i="8"/>
  <c r="BP59" i="8"/>
  <c r="BQ59" i="8"/>
  <c r="BR59" i="8"/>
  <c r="BS59" i="8"/>
  <c r="BT59" i="8"/>
  <c r="BU59" i="8"/>
  <c r="BV59" i="8"/>
  <c r="BW59" i="8"/>
  <c r="BX59" i="8"/>
  <c r="BY59" i="8"/>
  <c r="BZ59" i="8"/>
  <c r="CA59" i="8"/>
  <c r="CB59" i="8"/>
  <c r="CC59" i="8"/>
  <c r="CD59" i="8"/>
  <c r="CE59" i="8"/>
  <c r="CF59" i="8"/>
  <c r="CG59" i="8"/>
  <c r="CH59" i="8"/>
  <c r="CI59" i="8"/>
  <c r="CJ59" i="8"/>
  <c r="CK59" i="8"/>
  <c r="CL59" i="8"/>
  <c r="CM59" i="8"/>
  <c r="CN59" i="8"/>
  <c r="CO59" i="8"/>
  <c r="CP59" i="8"/>
  <c r="CQ59" i="8"/>
  <c r="CR59" i="8"/>
  <c r="CS59" i="8"/>
  <c r="CT59" i="8"/>
  <c r="CU59" i="8"/>
  <c r="CV59" i="8"/>
  <c r="CW59" i="8"/>
  <c r="CX59" i="8"/>
  <c r="CY59" i="8"/>
  <c r="CZ59" i="8"/>
  <c r="DA59" i="8"/>
  <c r="DB59" i="8"/>
  <c r="DC59" i="8"/>
  <c r="DD59" i="8"/>
  <c r="DE59" i="8"/>
  <c r="DF59" i="8"/>
  <c r="DG59" i="8"/>
  <c r="DH59" i="8"/>
  <c r="DI59" i="8"/>
  <c r="DJ59" i="8"/>
  <c r="DK59" i="8"/>
  <c r="DL59" i="8"/>
  <c r="DM59" i="8"/>
  <c r="DN59" i="8"/>
  <c r="DO59" i="8"/>
  <c r="DP59" i="8"/>
  <c r="DQ59" i="8"/>
  <c r="DR59" i="8"/>
  <c r="DS59" i="8"/>
  <c r="DT59" i="8"/>
  <c r="DU59" i="8"/>
  <c r="DV59" i="8"/>
  <c r="DW59" i="8"/>
  <c r="DX59" i="8"/>
  <c r="DY59" i="8"/>
  <c r="DZ59" i="8"/>
  <c r="EA59" i="8"/>
  <c r="EB59" i="8"/>
  <c r="EC59" i="8"/>
  <c r="ED59" i="8"/>
  <c r="EE59" i="8"/>
  <c r="EF59" i="8"/>
  <c r="EG59" i="8"/>
  <c r="EH59" i="8"/>
  <c r="EI59" i="8"/>
  <c r="EJ59" i="8"/>
  <c r="EK59" i="8"/>
  <c r="EL59" i="8"/>
  <c r="EM59" i="8"/>
  <c r="EN59" i="8"/>
  <c r="EO59" i="8"/>
  <c r="EP59" i="8"/>
  <c r="EQ59" i="8"/>
  <c r="ER59" i="8"/>
  <c r="ES59" i="8"/>
  <c r="ET59" i="8"/>
  <c r="EU59" i="8"/>
  <c r="EV59" i="8"/>
  <c r="EW59" i="8"/>
  <c r="EX59" i="8"/>
  <c r="EY59" i="8"/>
  <c r="EZ59" i="8"/>
  <c r="FA59" i="8"/>
  <c r="FB59" i="8"/>
  <c r="FC59" i="8"/>
  <c r="FD59" i="8"/>
  <c r="FE59" i="8"/>
  <c r="FF59" i="8"/>
  <c r="FG59" i="8"/>
  <c r="FH59" i="8"/>
  <c r="FI59" i="8"/>
  <c r="FJ59" i="8"/>
  <c r="FK59" i="8"/>
  <c r="FL59" i="8"/>
  <c r="FM59" i="8"/>
  <c r="FN59" i="8"/>
  <c r="FO59" i="8"/>
  <c r="FP59" i="8"/>
  <c r="FQ59" i="8"/>
  <c r="FR59" i="8"/>
  <c r="FS59" i="8"/>
  <c r="FT59" i="8"/>
  <c r="FU59" i="8"/>
  <c r="FV59" i="8"/>
  <c r="FW59" i="8"/>
  <c r="FX59" i="8"/>
  <c r="FY59" i="8"/>
  <c r="FZ59" i="8"/>
  <c r="GA59" i="8"/>
  <c r="GB59" i="8"/>
  <c r="GC59" i="8"/>
  <c r="GD59" i="8"/>
  <c r="GE59" i="8"/>
  <c r="GF59" i="8"/>
  <c r="GG59" i="8"/>
  <c r="GH59" i="8"/>
  <c r="GI59" i="8"/>
  <c r="GJ59" i="8"/>
  <c r="GK59" i="8"/>
  <c r="GL59" i="8"/>
  <c r="GM59" i="8"/>
  <c r="GN59" i="8"/>
  <c r="GO59" i="8"/>
  <c r="GP59" i="8"/>
  <c r="GQ59" i="8"/>
  <c r="GR59" i="8"/>
  <c r="GS59" i="8"/>
  <c r="GT59" i="8"/>
  <c r="GU59" i="8"/>
  <c r="GV59" i="8"/>
  <c r="GW59" i="8"/>
  <c r="GX59" i="8"/>
  <c r="GY59" i="8"/>
  <c r="GZ59" i="8"/>
  <c r="HA59" i="8"/>
  <c r="HB59" i="8"/>
  <c r="HC59" i="8"/>
  <c r="HD59" i="8"/>
  <c r="HE59" i="8"/>
  <c r="HF59" i="8"/>
  <c r="HG59" i="8"/>
  <c r="HH59" i="8"/>
  <c r="HI59" i="8"/>
  <c r="HJ59" i="8"/>
  <c r="HK59" i="8"/>
  <c r="HL59" i="8"/>
  <c r="HM59" i="8"/>
  <c r="HN59" i="8"/>
  <c r="HO59" i="8"/>
  <c r="HP59" i="8"/>
  <c r="HQ59" i="8"/>
  <c r="HR59" i="8"/>
  <c r="HS59" i="8"/>
  <c r="HT59" i="8"/>
  <c r="HU59" i="8"/>
  <c r="HV59" i="8"/>
  <c r="HW59" i="8"/>
  <c r="HX59" i="8"/>
  <c r="HY59" i="8"/>
  <c r="HZ59" i="8"/>
  <c r="IA59" i="8"/>
  <c r="IB59" i="8"/>
  <c r="IC59" i="8"/>
  <c r="ID59" i="8"/>
  <c r="IE59" i="8"/>
  <c r="IF59" i="8"/>
  <c r="IG59" i="8"/>
  <c r="IH59" i="8"/>
  <c r="II59" i="8"/>
  <c r="IJ59" i="8"/>
  <c r="IK59" i="8"/>
  <c r="IL59" i="8"/>
  <c r="IM59" i="8"/>
  <c r="IN59" i="8"/>
  <c r="IO59" i="8"/>
  <c r="IP59" i="8"/>
  <c r="IQ59" i="8"/>
  <c r="IR59" i="8"/>
  <c r="IS59" i="8"/>
  <c r="IT59" i="8"/>
  <c r="IU59" i="8"/>
  <c r="IV59" i="8"/>
  <c r="A60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M60" i="8"/>
  <c r="AN60" i="8"/>
  <c r="AO60" i="8"/>
  <c r="AP60" i="8"/>
  <c r="AQ60" i="8"/>
  <c r="AR60" i="8"/>
  <c r="AS60" i="8"/>
  <c r="AT60" i="8"/>
  <c r="AU60" i="8"/>
  <c r="AV60" i="8"/>
  <c r="AW60" i="8"/>
  <c r="AX60" i="8"/>
  <c r="AY60" i="8"/>
  <c r="AZ60" i="8"/>
  <c r="BA60" i="8"/>
  <c r="BB60" i="8"/>
  <c r="BC60" i="8"/>
  <c r="BD60" i="8"/>
  <c r="BE60" i="8"/>
  <c r="BF60" i="8"/>
  <c r="BG60" i="8"/>
  <c r="BH60" i="8"/>
  <c r="BI60" i="8"/>
  <c r="BJ60" i="8"/>
  <c r="BK60" i="8"/>
  <c r="BL60" i="8"/>
  <c r="BM60" i="8"/>
  <c r="BN60" i="8"/>
  <c r="BO60" i="8"/>
  <c r="BP60" i="8"/>
  <c r="BQ60" i="8"/>
  <c r="BR60" i="8"/>
  <c r="BS60" i="8"/>
  <c r="BT60" i="8"/>
  <c r="BU60" i="8"/>
  <c r="BV60" i="8"/>
  <c r="BW60" i="8"/>
  <c r="BX60" i="8"/>
  <c r="BY60" i="8"/>
  <c r="BZ60" i="8"/>
  <c r="CA60" i="8"/>
  <c r="CB60" i="8"/>
  <c r="CC60" i="8"/>
  <c r="CD60" i="8"/>
  <c r="CE60" i="8"/>
  <c r="CF60" i="8"/>
  <c r="CG60" i="8"/>
  <c r="CH60" i="8"/>
  <c r="CI60" i="8"/>
  <c r="CJ60" i="8"/>
  <c r="CK60" i="8"/>
  <c r="CL60" i="8"/>
  <c r="CM60" i="8"/>
  <c r="CN60" i="8"/>
  <c r="CO60" i="8"/>
  <c r="CP60" i="8"/>
  <c r="CQ60" i="8"/>
  <c r="CR60" i="8"/>
  <c r="CS60" i="8"/>
  <c r="CT60" i="8"/>
  <c r="CU60" i="8"/>
  <c r="CV60" i="8"/>
  <c r="CW60" i="8"/>
  <c r="CX60" i="8"/>
  <c r="CY60" i="8"/>
  <c r="CZ60" i="8"/>
  <c r="DA60" i="8"/>
  <c r="DB60" i="8"/>
  <c r="DC60" i="8"/>
  <c r="DD60" i="8"/>
  <c r="DE60" i="8"/>
  <c r="DF60" i="8"/>
  <c r="DG60" i="8"/>
  <c r="DH60" i="8"/>
  <c r="DI60" i="8"/>
  <c r="DJ60" i="8"/>
  <c r="DK60" i="8"/>
  <c r="DL60" i="8"/>
  <c r="DM60" i="8"/>
  <c r="DN60" i="8"/>
  <c r="DO60" i="8"/>
  <c r="DP60" i="8"/>
  <c r="DQ60" i="8"/>
  <c r="DR60" i="8"/>
  <c r="DS60" i="8"/>
  <c r="DT60" i="8"/>
  <c r="DU60" i="8"/>
  <c r="DV60" i="8"/>
  <c r="DW60" i="8"/>
  <c r="DX60" i="8"/>
  <c r="DY60" i="8"/>
  <c r="DZ60" i="8"/>
  <c r="EA60" i="8"/>
  <c r="EB60" i="8"/>
  <c r="EC60" i="8"/>
  <c r="ED60" i="8"/>
  <c r="EE60" i="8"/>
  <c r="EF60" i="8"/>
  <c r="EG60" i="8"/>
  <c r="EH60" i="8"/>
  <c r="EI60" i="8"/>
  <c r="EJ60" i="8"/>
  <c r="EK60" i="8"/>
  <c r="EL60" i="8"/>
  <c r="EM60" i="8"/>
  <c r="EN60" i="8"/>
  <c r="EO60" i="8"/>
  <c r="EP60" i="8"/>
  <c r="EQ60" i="8"/>
  <c r="ER60" i="8"/>
  <c r="ES60" i="8"/>
  <c r="ET60" i="8"/>
  <c r="EU60" i="8"/>
  <c r="EV60" i="8"/>
  <c r="EW60" i="8"/>
  <c r="EX60" i="8"/>
  <c r="EY60" i="8"/>
  <c r="EZ60" i="8"/>
  <c r="FA60" i="8"/>
  <c r="FB60" i="8"/>
  <c r="FC60" i="8"/>
  <c r="FD60" i="8"/>
  <c r="FE60" i="8"/>
  <c r="FF60" i="8"/>
  <c r="FG60" i="8"/>
  <c r="FH60" i="8"/>
  <c r="FI60" i="8"/>
  <c r="FJ60" i="8"/>
  <c r="FK60" i="8"/>
  <c r="FL60" i="8"/>
  <c r="FM60" i="8"/>
  <c r="FN60" i="8"/>
  <c r="FO60" i="8"/>
  <c r="FP60" i="8"/>
  <c r="FQ60" i="8"/>
  <c r="FR60" i="8"/>
  <c r="FS60" i="8"/>
  <c r="FT60" i="8"/>
  <c r="FU60" i="8"/>
  <c r="FV60" i="8"/>
  <c r="FW60" i="8"/>
  <c r="FX60" i="8"/>
  <c r="FY60" i="8"/>
  <c r="FZ60" i="8"/>
  <c r="GA60" i="8"/>
  <c r="GB60" i="8"/>
  <c r="GC60" i="8"/>
  <c r="GD60" i="8"/>
  <c r="GE60" i="8"/>
  <c r="GF60" i="8"/>
  <c r="GG60" i="8"/>
  <c r="GH60" i="8"/>
  <c r="GI60" i="8"/>
  <c r="GJ60" i="8"/>
  <c r="GK60" i="8"/>
  <c r="GL60" i="8"/>
  <c r="GM60" i="8"/>
  <c r="GN60" i="8"/>
  <c r="GO60" i="8"/>
  <c r="GP60" i="8"/>
  <c r="GQ60" i="8"/>
  <c r="GR60" i="8"/>
  <c r="GS60" i="8"/>
  <c r="GT60" i="8"/>
  <c r="GU60" i="8"/>
  <c r="GV60" i="8"/>
  <c r="GW60" i="8"/>
  <c r="GX60" i="8"/>
  <c r="GY60" i="8"/>
  <c r="GZ60" i="8"/>
  <c r="HA60" i="8"/>
  <c r="HB60" i="8"/>
  <c r="HC60" i="8"/>
  <c r="HD60" i="8"/>
  <c r="HE60" i="8"/>
  <c r="HF60" i="8"/>
  <c r="HG60" i="8"/>
  <c r="HH60" i="8"/>
  <c r="HI60" i="8"/>
  <c r="HJ60" i="8"/>
  <c r="HK60" i="8"/>
  <c r="HL60" i="8"/>
  <c r="HM60" i="8"/>
  <c r="HN60" i="8"/>
  <c r="HO60" i="8"/>
  <c r="HP60" i="8"/>
  <c r="HQ60" i="8"/>
  <c r="HR60" i="8"/>
  <c r="HS60" i="8"/>
  <c r="HT60" i="8"/>
  <c r="HU60" i="8"/>
  <c r="HV60" i="8"/>
  <c r="HW60" i="8"/>
  <c r="HX60" i="8"/>
  <c r="HY60" i="8"/>
  <c r="HZ60" i="8"/>
  <c r="IA60" i="8"/>
  <c r="IB60" i="8"/>
  <c r="IC60" i="8"/>
  <c r="ID60" i="8"/>
  <c r="IE60" i="8"/>
  <c r="IF60" i="8"/>
  <c r="IG60" i="8"/>
  <c r="IH60" i="8"/>
  <c r="II60" i="8"/>
  <c r="IJ60" i="8"/>
  <c r="IK60" i="8"/>
  <c r="IL60" i="8"/>
  <c r="IM60" i="8"/>
  <c r="IN60" i="8"/>
  <c r="IO60" i="8"/>
  <c r="IP60" i="8"/>
  <c r="IQ60" i="8"/>
  <c r="IR60" i="8"/>
  <c r="IS60" i="8"/>
  <c r="IT60" i="8"/>
  <c r="IU60" i="8"/>
  <c r="IV60" i="8"/>
  <c r="A61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1" i="8"/>
  <c r="BL61" i="8"/>
  <c r="BM61" i="8"/>
  <c r="BN61" i="8"/>
  <c r="BO61" i="8"/>
  <c r="BP61" i="8"/>
  <c r="BQ61" i="8"/>
  <c r="BR61" i="8"/>
  <c r="BS61" i="8"/>
  <c r="BT61" i="8"/>
  <c r="BU61" i="8"/>
  <c r="BV61" i="8"/>
  <c r="BW61" i="8"/>
  <c r="BX61" i="8"/>
  <c r="BY61" i="8"/>
  <c r="BZ61" i="8"/>
  <c r="CA61" i="8"/>
  <c r="CB61" i="8"/>
  <c r="CC61" i="8"/>
  <c r="CD61" i="8"/>
  <c r="CE61" i="8"/>
  <c r="CF61" i="8"/>
  <c r="CG61" i="8"/>
  <c r="CH61" i="8"/>
  <c r="CI61" i="8"/>
  <c r="CJ61" i="8"/>
  <c r="CK61" i="8"/>
  <c r="CL61" i="8"/>
  <c r="CM61" i="8"/>
  <c r="CN61" i="8"/>
  <c r="CO61" i="8"/>
  <c r="CP61" i="8"/>
  <c r="CQ61" i="8"/>
  <c r="CR61" i="8"/>
  <c r="CS61" i="8"/>
  <c r="CT61" i="8"/>
  <c r="CU61" i="8"/>
  <c r="CV61" i="8"/>
  <c r="CW61" i="8"/>
  <c r="CX61" i="8"/>
  <c r="CY61" i="8"/>
  <c r="CZ61" i="8"/>
  <c r="DA61" i="8"/>
  <c r="DB61" i="8"/>
  <c r="DC61" i="8"/>
  <c r="DD61" i="8"/>
  <c r="DE61" i="8"/>
  <c r="DF61" i="8"/>
  <c r="DG61" i="8"/>
  <c r="DH61" i="8"/>
  <c r="DI61" i="8"/>
  <c r="DJ61" i="8"/>
  <c r="DK61" i="8"/>
  <c r="DL61" i="8"/>
  <c r="DM61" i="8"/>
  <c r="DN61" i="8"/>
  <c r="DO61" i="8"/>
  <c r="DP61" i="8"/>
  <c r="DQ61" i="8"/>
  <c r="DR61" i="8"/>
  <c r="DS61" i="8"/>
  <c r="DT61" i="8"/>
  <c r="DU61" i="8"/>
  <c r="DV61" i="8"/>
  <c r="DW61" i="8"/>
  <c r="DX61" i="8"/>
  <c r="DY61" i="8"/>
  <c r="DZ61" i="8"/>
  <c r="EA61" i="8"/>
  <c r="EB61" i="8"/>
  <c r="EC61" i="8"/>
  <c r="ED61" i="8"/>
  <c r="EE61" i="8"/>
  <c r="EF61" i="8"/>
  <c r="EG61" i="8"/>
  <c r="EH61" i="8"/>
  <c r="EI61" i="8"/>
  <c r="EJ61" i="8"/>
  <c r="EK61" i="8"/>
  <c r="EL61" i="8"/>
  <c r="EM61" i="8"/>
  <c r="EN61" i="8"/>
  <c r="EO61" i="8"/>
  <c r="EP61" i="8"/>
  <c r="EQ61" i="8"/>
  <c r="ER61" i="8"/>
  <c r="ES61" i="8"/>
  <c r="ET61" i="8"/>
  <c r="EU61" i="8"/>
  <c r="EV61" i="8"/>
  <c r="EW61" i="8"/>
  <c r="EX61" i="8"/>
  <c r="EY61" i="8"/>
  <c r="EZ61" i="8"/>
  <c r="FA61" i="8"/>
  <c r="FB61" i="8"/>
  <c r="FC61" i="8"/>
  <c r="FD61" i="8"/>
  <c r="FE61" i="8"/>
  <c r="FF61" i="8"/>
  <c r="FG61" i="8"/>
  <c r="FH61" i="8"/>
  <c r="FI61" i="8"/>
  <c r="FJ61" i="8"/>
  <c r="FK61" i="8"/>
  <c r="FL61" i="8"/>
  <c r="FM61" i="8"/>
  <c r="FN61" i="8"/>
  <c r="FO61" i="8"/>
  <c r="FP61" i="8"/>
  <c r="FQ61" i="8"/>
  <c r="FR61" i="8"/>
  <c r="FS61" i="8"/>
  <c r="FT61" i="8"/>
  <c r="FU61" i="8"/>
  <c r="FV61" i="8"/>
  <c r="FW61" i="8"/>
  <c r="FX61" i="8"/>
  <c r="FY61" i="8"/>
  <c r="FZ61" i="8"/>
  <c r="GA61" i="8"/>
  <c r="GB61" i="8"/>
  <c r="GC61" i="8"/>
  <c r="GD61" i="8"/>
  <c r="GE61" i="8"/>
  <c r="GF61" i="8"/>
  <c r="GG61" i="8"/>
  <c r="GH61" i="8"/>
  <c r="GI61" i="8"/>
  <c r="GJ61" i="8"/>
  <c r="GK61" i="8"/>
  <c r="GL61" i="8"/>
  <c r="GM61" i="8"/>
  <c r="GN61" i="8"/>
  <c r="GO61" i="8"/>
  <c r="GP61" i="8"/>
  <c r="GQ61" i="8"/>
  <c r="GR61" i="8"/>
  <c r="GS61" i="8"/>
  <c r="GT61" i="8"/>
  <c r="GU61" i="8"/>
  <c r="GV61" i="8"/>
  <c r="GW61" i="8"/>
  <c r="GX61" i="8"/>
  <c r="GY61" i="8"/>
  <c r="GZ61" i="8"/>
  <c r="HA61" i="8"/>
  <c r="HB61" i="8"/>
  <c r="HC61" i="8"/>
  <c r="HD61" i="8"/>
  <c r="HE61" i="8"/>
  <c r="HF61" i="8"/>
  <c r="HG61" i="8"/>
  <c r="HH61" i="8"/>
  <c r="HI61" i="8"/>
  <c r="HJ61" i="8"/>
  <c r="HK61" i="8"/>
  <c r="HL61" i="8"/>
  <c r="HM61" i="8"/>
  <c r="HN61" i="8"/>
  <c r="HO61" i="8"/>
  <c r="HP61" i="8"/>
  <c r="HQ61" i="8"/>
  <c r="HR61" i="8"/>
  <c r="HS61" i="8"/>
  <c r="HT61" i="8"/>
  <c r="HU61" i="8"/>
  <c r="HV61" i="8"/>
  <c r="HW61" i="8"/>
  <c r="HX61" i="8"/>
  <c r="HY61" i="8"/>
  <c r="HZ61" i="8"/>
  <c r="IA61" i="8"/>
  <c r="IB61" i="8"/>
  <c r="IC61" i="8"/>
  <c r="ID61" i="8"/>
  <c r="IE61" i="8"/>
  <c r="IF61" i="8"/>
  <c r="IG61" i="8"/>
  <c r="IH61" i="8"/>
  <c r="II61" i="8"/>
  <c r="IJ61" i="8"/>
  <c r="IK61" i="8"/>
  <c r="IL61" i="8"/>
  <c r="IM61" i="8"/>
  <c r="IN61" i="8"/>
  <c r="IO61" i="8"/>
  <c r="IP61" i="8"/>
  <c r="IQ61" i="8"/>
  <c r="IR61" i="8"/>
  <c r="IS61" i="8"/>
  <c r="IT61" i="8"/>
  <c r="IU61" i="8"/>
  <c r="IV61" i="8"/>
  <c r="A62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M62" i="8"/>
  <c r="AN62" i="8"/>
  <c r="AO62" i="8"/>
  <c r="AP62" i="8"/>
  <c r="AQ62" i="8"/>
  <c r="AR62" i="8"/>
  <c r="AS62" i="8"/>
  <c r="AT62" i="8"/>
  <c r="AU62" i="8"/>
  <c r="AV62" i="8"/>
  <c r="AW62" i="8"/>
  <c r="AX62" i="8"/>
  <c r="AY62" i="8"/>
  <c r="AZ62" i="8"/>
  <c r="BA62" i="8"/>
  <c r="BB62" i="8"/>
  <c r="BC62" i="8"/>
  <c r="BD62" i="8"/>
  <c r="BE62" i="8"/>
  <c r="BF62" i="8"/>
  <c r="BG62" i="8"/>
  <c r="BH62" i="8"/>
  <c r="BI62" i="8"/>
  <c r="BJ62" i="8"/>
  <c r="BK62" i="8"/>
  <c r="BL62" i="8"/>
  <c r="BM62" i="8"/>
  <c r="BN62" i="8"/>
  <c r="BO62" i="8"/>
  <c r="BP62" i="8"/>
  <c r="BQ62" i="8"/>
  <c r="BR62" i="8"/>
  <c r="BS62" i="8"/>
  <c r="BT62" i="8"/>
  <c r="BU62" i="8"/>
  <c r="BV62" i="8"/>
  <c r="BW62" i="8"/>
  <c r="BX62" i="8"/>
  <c r="BY62" i="8"/>
  <c r="BZ62" i="8"/>
  <c r="CA62" i="8"/>
  <c r="CB62" i="8"/>
  <c r="CC62" i="8"/>
  <c r="CD62" i="8"/>
  <c r="CE62" i="8"/>
  <c r="CF62" i="8"/>
  <c r="CG62" i="8"/>
  <c r="CH62" i="8"/>
  <c r="CI62" i="8"/>
  <c r="CJ62" i="8"/>
  <c r="CK62" i="8"/>
  <c r="CL62" i="8"/>
  <c r="CM62" i="8"/>
  <c r="CN62" i="8"/>
  <c r="CO62" i="8"/>
  <c r="CP62" i="8"/>
  <c r="CQ62" i="8"/>
  <c r="CR62" i="8"/>
  <c r="CS62" i="8"/>
  <c r="CT62" i="8"/>
  <c r="CU62" i="8"/>
  <c r="CV62" i="8"/>
  <c r="CW62" i="8"/>
  <c r="CX62" i="8"/>
  <c r="CY62" i="8"/>
  <c r="CZ62" i="8"/>
  <c r="DA62" i="8"/>
  <c r="DB62" i="8"/>
  <c r="DC62" i="8"/>
  <c r="DD62" i="8"/>
  <c r="DE62" i="8"/>
  <c r="DF62" i="8"/>
  <c r="DG62" i="8"/>
  <c r="DH62" i="8"/>
  <c r="DI62" i="8"/>
  <c r="DJ62" i="8"/>
  <c r="DK62" i="8"/>
  <c r="DL62" i="8"/>
  <c r="DM62" i="8"/>
  <c r="DN62" i="8"/>
  <c r="DO62" i="8"/>
  <c r="DP62" i="8"/>
  <c r="DQ62" i="8"/>
  <c r="DR62" i="8"/>
  <c r="DS62" i="8"/>
  <c r="DT62" i="8"/>
  <c r="DU62" i="8"/>
  <c r="DV62" i="8"/>
  <c r="DW62" i="8"/>
  <c r="DX62" i="8"/>
  <c r="DY62" i="8"/>
  <c r="DZ62" i="8"/>
  <c r="EA62" i="8"/>
  <c r="EB62" i="8"/>
  <c r="EC62" i="8"/>
  <c r="ED62" i="8"/>
  <c r="EE62" i="8"/>
  <c r="EF62" i="8"/>
  <c r="EG62" i="8"/>
  <c r="EH62" i="8"/>
  <c r="EI62" i="8"/>
  <c r="EJ62" i="8"/>
  <c r="EK62" i="8"/>
  <c r="EL62" i="8"/>
  <c r="EM62" i="8"/>
  <c r="EN62" i="8"/>
  <c r="EO62" i="8"/>
  <c r="EP62" i="8"/>
  <c r="EQ62" i="8"/>
  <c r="ER62" i="8"/>
  <c r="ES62" i="8"/>
  <c r="ET62" i="8"/>
  <c r="EU62" i="8"/>
  <c r="EV62" i="8"/>
  <c r="EW62" i="8"/>
  <c r="EX62" i="8"/>
  <c r="EY62" i="8"/>
  <c r="EZ62" i="8"/>
  <c r="FA62" i="8"/>
  <c r="FB62" i="8"/>
  <c r="FC62" i="8"/>
  <c r="FD62" i="8"/>
  <c r="FE62" i="8"/>
  <c r="FF62" i="8"/>
  <c r="FG62" i="8"/>
  <c r="FH62" i="8"/>
  <c r="FI62" i="8"/>
  <c r="FJ62" i="8"/>
  <c r="FK62" i="8"/>
  <c r="FL62" i="8"/>
  <c r="FM62" i="8"/>
  <c r="FN62" i="8"/>
  <c r="FO62" i="8"/>
  <c r="FP62" i="8"/>
  <c r="FQ62" i="8"/>
  <c r="FR62" i="8"/>
  <c r="FS62" i="8"/>
  <c r="FT62" i="8"/>
  <c r="FU62" i="8"/>
  <c r="FV62" i="8"/>
  <c r="FW62" i="8"/>
  <c r="FX62" i="8"/>
  <c r="FY62" i="8"/>
  <c r="FZ62" i="8"/>
  <c r="GA62" i="8"/>
  <c r="GB62" i="8"/>
  <c r="GC62" i="8"/>
  <c r="GD62" i="8"/>
  <c r="GE62" i="8"/>
  <c r="GF62" i="8"/>
  <c r="GG62" i="8"/>
  <c r="GH62" i="8"/>
  <c r="GI62" i="8"/>
  <c r="GJ62" i="8"/>
  <c r="GK62" i="8"/>
  <c r="GL62" i="8"/>
  <c r="GM62" i="8"/>
  <c r="GN62" i="8"/>
  <c r="GO62" i="8"/>
  <c r="GP62" i="8"/>
  <c r="GQ62" i="8"/>
  <c r="GR62" i="8"/>
  <c r="GS62" i="8"/>
  <c r="GT62" i="8"/>
  <c r="GU62" i="8"/>
  <c r="GV62" i="8"/>
  <c r="GW62" i="8"/>
  <c r="GX62" i="8"/>
  <c r="GY62" i="8"/>
  <c r="GZ62" i="8"/>
  <c r="HA62" i="8"/>
  <c r="HB62" i="8"/>
  <c r="HC62" i="8"/>
  <c r="HD62" i="8"/>
  <c r="HE62" i="8"/>
  <c r="HF62" i="8"/>
  <c r="HG62" i="8"/>
  <c r="HH62" i="8"/>
  <c r="HI62" i="8"/>
  <c r="HJ62" i="8"/>
  <c r="HK62" i="8"/>
  <c r="HL62" i="8"/>
  <c r="HM62" i="8"/>
  <c r="HN62" i="8"/>
  <c r="HO62" i="8"/>
  <c r="HP62" i="8"/>
  <c r="HQ62" i="8"/>
  <c r="HR62" i="8"/>
  <c r="HS62" i="8"/>
  <c r="HT62" i="8"/>
  <c r="HU62" i="8"/>
  <c r="HV62" i="8"/>
  <c r="HW62" i="8"/>
  <c r="HX62" i="8"/>
  <c r="HY62" i="8"/>
  <c r="HZ62" i="8"/>
  <c r="IA62" i="8"/>
  <c r="IB62" i="8"/>
  <c r="IC62" i="8"/>
  <c r="ID62" i="8"/>
  <c r="IE62" i="8"/>
  <c r="IF62" i="8"/>
  <c r="IG62" i="8"/>
  <c r="IH62" i="8"/>
  <c r="II62" i="8"/>
  <c r="IJ62" i="8"/>
  <c r="IK62" i="8"/>
  <c r="IL62" i="8"/>
  <c r="IM62" i="8"/>
  <c r="IN62" i="8"/>
  <c r="IO62" i="8"/>
  <c r="IP62" i="8"/>
  <c r="IQ62" i="8"/>
  <c r="IR62" i="8"/>
  <c r="IS62" i="8"/>
  <c r="IT62" i="8"/>
  <c r="IU62" i="8"/>
  <c r="IV62" i="8"/>
  <c r="A63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BK63" i="8"/>
  <c r="BL63" i="8"/>
  <c r="BM63" i="8"/>
  <c r="BN63" i="8"/>
  <c r="BO63" i="8"/>
  <c r="BP63" i="8"/>
  <c r="BQ63" i="8"/>
  <c r="BR63" i="8"/>
  <c r="BS63" i="8"/>
  <c r="BT63" i="8"/>
  <c r="BU63" i="8"/>
  <c r="BV63" i="8"/>
  <c r="BW63" i="8"/>
  <c r="BX63" i="8"/>
  <c r="BY63" i="8"/>
  <c r="BZ63" i="8"/>
  <c r="CA63" i="8"/>
  <c r="CB63" i="8"/>
  <c r="CC63" i="8"/>
  <c r="CD63" i="8"/>
  <c r="CE63" i="8"/>
  <c r="CF63" i="8"/>
  <c r="CG63" i="8"/>
  <c r="CH63" i="8"/>
  <c r="CI63" i="8"/>
  <c r="CJ63" i="8"/>
  <c r="CK63" i="8"/>
  <c r="CL63" i="8"/>
  <c r="CM63" i="8"/>
  <c r="CN63" i="8"/>
  <c r="CO63" i="8"/>
  <c r="CP63" i="8"/>
  <c r="CQ63" i="8"/>
  <c r="CR63" i="8"/>
  <c r="CS63" i="8"/>
  <c r="CT63" i="8"/>
  <c r="CU63" i="8"/>
  <c r="CV63" i="8"/>
  <c r="CW63" i="8"/>
  <c r="CX63" i="8"/>
  <c r="CY63" i="8"/>
  <c r="CZ63" i="8"/>
  <c r="DA63" i="8"/>
  <c r="DB63" i="8"/>
  <c r="DC63" i="8"/>
  <c r="DD63" i="8"/>
  <c r="DE63" i="8"/>
  <c r="DF63" i="8"/>
  <c r="DG63" i="8"/>
  <c r="DH63" i="8"/>
  <c r="DI63" i="8"/>
  <c r="DJ63" i="8"/>
  <c r="DK63" i="8"/>
  <c r="DL63" i="8"/>
  <c r="DM63" i="8"/>
  <c r="DN63" i="8"/>
  <c r="DO63" i="8"/>
  <c r="DP63" i="8"/>
  <c r="DQ63" i="8"/>
  <c r="DR63" i="8"/>
  <c r="DS63" i="8"/>
  <c r="DT63" i="8"/>
  <c r="DU63" i="8"/>
  <c r="DV63" i="8"/>
  <c r="DW63" i="8"/>
  <c r="DX63" i="8"/>
  <c r="DY63" i="8"/>
  <c r="DZ63" i="8"/>
  <c r="EA63" i="8"/>
  <c r="EB63" i="8"/>
  <c r="EC63" i="8"/>
  <c r="ED63" i="8"/>
  <c r="EE63" i="8"/>
  <c r="EF63" i="8"/>
  <c r="EG63" i="8"/>
  <c r="EH63" i="8"/>
  <c r="EI63" i="8"/>
  <c r="EJ63" i="8"/>
  <c r="EK63" i="8"/>
  <c r="EL63" i="8"/>
  <c r="EM63" i="8"/>
  <c r="EN63" i="8"/>
  <c r="EO63" i="8"/>
  <c r="EP63" i="8"/>
  <c r="EQ63" i="8"/>
  <c r="ER63" i="8"/>
  <c r="ES63" i="8"/>
  <c r="ET63" i="8"/>
  <c r="EU63" i="8"/>
  <c r="EV63" i="8"/>
  <c r="EW63" i="8"/>
  <c r="EX63" i="8"/>
  <c r="EY63" i="8"/>
  <c r="EZ63" i="8"/>
  <c r="FA63" i="8"/>
  <c r="FB63" i="8"/>
  <c r="FC63" i="8"/>
  <c r="FD63" i="8"/>
  <c r="FE63" i="8"/>
  <c r="FF63" i="8"/>
  <c r="FG63" i="8"/>
  <c r="FH63" i="8"/>
  <c r="FI63" i="8"/>
  <c r="FJ63" i="8"/>
  <c r="FK63" i="8"/>
  <c r="FL63" i="8"/>
  <c r="FM63" i="8"/>
  <c r="FN63" i="8"/>
  <c r="FO63" i="8"/>
  <c r="FP63" i="8"/>
  <c r="FQ63" i="8"/>
  <c r="FR63" i="8"/>
  <c r="FS63" i="8"/>
  <c r="FT63" i="8"/>
  <c r="FU63" i="8"/>
  <c r="FV63" i="8"/>
  <c r="FW63" i="8"/>
  <c r="FX63" i="8"/>
  <c r="FY63" i="8"/>
  <c r="FZ63" i="8"/>
  <c r="GA63" i="8"/>
  <c r="GB63" i="8"/>
  <c r="GC63" i="8"/>
  <c r="GD63" i="8"/>
  <c r="GE63" i="8"/>
  <c r="GF63" i="8"/>
  <c r="GG63" i="8"/>
  <c r="GH63" i="8"/>
  <c r="GI63" i="8"/>
  <c r="GJ63" i="8"/>
  <c r="GK63" i="8"/>
  <c r="GL63" i="8"/>
  <c r="GM63" i="8"/>
  <c r="GN63" i="8"/>
  <c r="GO63" i="8"/>
  <c r="GP63" i="8"/>
  <c r="GQ63" i="8"/>
  <c r="GR63" i="8"/>
  <c r="GS63" i="8"/>
  <c r="GT63" i="8"/>
  <c r="GU63" i="8"/>
  <c r="GV63" i="8"/>
  <c r="GW63" i="8"/>
  <c r="GX63" i="8"/>
  <c r="GY63" i="8"/>
  <c r="GZ63" i="8"/>
  <c r="HA63" i="8"/>
  <c r="HB63" i="8"/>
  <c r="HC63" i="8"/>
  <c r="HD63" i="8"/>
  <c r="HE63" i="8"/>
  <c r="HF63" i="8"/>
  <c r="HG63" i="8"/>
  <c r="HH63" i="8"/>
  <c r="HI63" i="8"/>
  <c r="HJ63" i="8"/>
  <c r="HK63" i="8"/>
  <c r="HL63" i="8"/>
  <c r="HM63" i="8"/>
  <c r="HN63" i="8"/>
  <c r="HO63" i="8"/>
  <c r="HP63" i="8"/>
  <c r="HQ63" i="8"/>
  <c r="HR63" i="8"/>
  <c r="HS63" i="8"/>
  <c r="HT63" i="8"/>
  <c r="HU63" i="8"/>
  <c r="HV63" i="8"/>
  <c r="HW63" i="8"/>
  <c r="HX63" i="8"/>
  <c r="HY63" i="8"/>
  <c r="HZ63" i="8"/>
  <c r="IA63" i="8"/>
  <c r="IB63" i="8"/>
  <c r="IC63" i="8"/>
  <c r="ID63" i="8"/>
  <c r="IE63" i="8"/>
  <c r="IF63" i="8"/>
  <c r="IG63" i="8"/>
  <c r="IH63" i="8"/>
  <c r="II63" i="8"/>
  <c r="IJ63" i="8"/>
  <c r="IK63" i="8"/>
  <c r="IL63" i="8"/>
  <c r="IM63" i="8"/>
  <c r="IN63" i="8"/>
  <c r="IO63" i="8"/>
  <c r="IP63" i="8"/>
  <c r="IQ63" i="8"/>
  <c r="IR63" i="8"/>
  <c r="IS63" i="8"/>
  <c r="IT63" i="8"/>
  <c r="IU63" i="8"/>
  <c r="IV63" i="8"/>
  <c r="A64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BK64" i="8"/>
  <c r="BL64" i="8"/>
  <c r="BM64" i="8"/>
  <c r="BN64" i="8"/>
  <c r="BO64" i="8"/>
  <c r="BP64" i="8"/>
  <c r="BQ64" i="8"/>
  <c r="BR64" i="8"/>
  <c r="BS64" i="8"/>
  <c r="BT64" i="8"/>
  <c r="BU64" i="8"/>
  <c r="BV64" i="8"/>
  <c r="BW64" i="8"/>
  <c r="BX64" i="8"/>
  <c r="BY64" i="8"/>
  <c r="BZ64" i="8"/>
  <c r="CA64" i="8"/>
  <c r="CB64" i="8"/>
  <c r="CC64" i="8"/>
  <c r="CD64" i="8"/>
  <c r="CE64" i="8"/>
  <c r="CF64" i="8"/>
  <c r="CG64" i="8"/>
  <c r="CH64" i="8"/>
  <c r="CI64" i="8"/>
  <c r="CJ64" i="8"/>
  <c r="CK64" i="8"/>
  <c r="CL64" i="8"/>
  <c r="CM64" i="8"/>
  <c r="CN64" i="8"/>
  <c r="CO64" i="8"/>
  <c r="CP64" i="8"/>
  <c r="CQ64" i="8"/>
  <c r="CR64" i="8"/>
  <c r="CS64" i="8"/>
  <c r="CT64" i="8"/>
  <c r="CU64" i="8"/>
  <c r="CV64" i="8"/>
  <c r="CW64" i="8"/>
  <c r="CX64" i="8"/>
  <c r="CY64" i="8"/>
  <c r="CZ64" i="8"/>
  <c r="DA64" i="8"/>
  <c r="DB64" i="8"/>
  <c r="DC64" i="8"/>
  <c r="DD64" i="8"/>
  <c r="DE64" i="8"/>
  <c r="DF64" i="8"/>
  <c r="DG64" i="8"/>
  <c r="DH64" i="8"/>
  <c r="DI64" i="8"/>
  <c r="DJ64" i="8"/>
  <c r="DK64" i="8"/>
  <c r="DL64" i="8"/>
  <c r="DM64" i="8"/>
  <c r="DN64" i="8"/>
  <c r="DO64" i="8"/>
  <c r="DP64" i="8"/>
  <c r="DQ64" i="8"/>
  <c r="DR64" i="8"/>
  <c r="DS64" i="8"/>
  <c r="DT64" i="8"/>
  <c r="DU64" i="8"/>
  <c r="DV64" i="8"/>
  <c r="DW64" i="8"/>
  <c r="DX64" i="8"/>
  <c r="DY64" i="8"/>
  <c r="DZ64" i="8"/>
  <c r="EA64" i="8"/>
  <c r="EB64" i="8"/>
  <c r="EC64" i="8"/>
  <c r="ED64" i="8"/>
  <c r="EE64" i="8"/>
  <c r="EF64" i="8"/>
  <c r="EG64" i="8"/>
  <c r="EH64" i="8"/>
  <c r="EI64" i="8"/>
  <c r="EJ64" i="8"/>
  <c r="EK64" i="8"/>
  <c r="EL64" i="8"/>
  <c r="EM64" i="8"/>
  <c r="EN64" i="8"/>
  <c r="EO64" i="8"/>
  <c r="EP64" i="8"/>
  <c r="EQ64" i="8"/>
  <c r="ER64" i="8"/>
  <c r="ES64" i="8"/>
  <c r="ET64" i="8"/>
  <c r="EU64" i="8"/>
  <c r="EV64" i="8"/>
  <c r="EW64" i="8"/>
  <c r="EX64" i="8"/>
  <c r="EY64" i="8"/>
  <c r="EZ64" i="8"/>
  <c r="FA64" i="8"/>
  <c r="FB64" i="8"/>
  <c r="FC64" i="8"/>
  <c r="FD64" i="8"/>
  <c r="FE64" i="8"/>
  <c r="FF64" i="8"/>
  <c r="FG64" i="8"/>
  <c r="FH64" i="8"/>
  <c r="FI64" i="8"/>
  <c r="FJ64" i="8"/>
  <c r="FK64" i="8"/>
  <c r="FL64" i="8"/>
  <c r="FM64" i="8"/>
  <c r="FN64" i="8"/>
  <c r="FO64" i="8"/>
  <c r="FP64" i="8"/>
  <c r="FQ64" i="8"/>
  <c r="FR64" i="8"/>
  <c r="FS64" i="8"/>
  <c r="FT64" i="8"/>
  <c r="FU64" i="8"/>
  <c r="FV64" i="8"/>
  <c r="FW64" i="8"/>
  <c r="FX64" i="8"/>
  <c r="FY64" i="8"/>
  <c r="FZ64" i="8"/>
  <c r="GA64" i="8"/>
  <c r="GB64" i="8"/>
  <c r="GC64" i="8"/>
  <c r="GD64" i="8"/>
  <c r="GE64" i="8"/>
  <c r="GF64" i="8"/>
  <c r="GG64" i="8"/>
  <c r="GH64" i="8"/>
  <c r="GI64" i="8"/>
  <c r="GJ64" i="8"/>
  <c r="GK64" i="8"/>
  <c r="GL64" i="8"/>
  <c r="GM64" i="8"/>
  <c r="GN64" i="8"/>
  <c r="GO64" i="8"/>
  <c r="GP64" i="8"/>
  <c r="GQ64" i="8"/>
  <c r="GR64" i="8"/>
  <c r="GS64" i="8"/>
  <c r="GT64" i="8"/>
  <c r="GU64" i="8"/>
  <c r="GV64" i="8"/>
  <c r="GW64" i="8"/>
  <c r="GX64" i="8"/>
  <c r="GY64" i="8"/>
  <c r="GZ64" i="8"/>
  <c r="HA64" i="8"/>
  <c r="HB64" i="8"/>
  <c r="HC64" i="8"/>
  <c r="HD64" i="8"/>
  <c r="HE64" i="8"/>
  <c r="HF64" i="8"/>
  <c r="HG64" i="8"/>
  <c r="HH64" i="8"/>
  <c r="HI64" i="8"/>
  <c r="HJ64" i="8"/>
  <c r="HK64" i="8"/>
  <c r="HL64" i="8"/>
  <c r="HM64" i="8"/>
  <c r="HN64" i="8"/>
  <c r="HO64" i="8"/>
  <c r="HP64" i="8"/>
  <c r="HQ64" i="8"/>
  <c r="HR64" i="8"/>
  <c r="HS64" i="8"/>
  <c r="HT64" i="8"/>
  <c r="HU64" i="8"/>
  <c r="HV64" i="8"/>
  <c r="HW64" i="8"/>
  <c r="HX64" i="8"/>
  <c r="HY64" i="8"/>
  <c r="HZ64" i="8"/>
  <c r="IA64" i="8"/>
  <c r="IB64" i="8"/>
  <c r="IC64" i="8"/>
  <c r="ID64" i="8"/>
  <c r="IE64" i="8"/>
  <c r="IF64" i="8"/>
  <c r="IG64" i="8"/>
  <c r="IH64" i="8"/>
  <c r="II64" i="8"/>
  <c r="IJ64" i="8"/>
  <c r="IK64" i="8"/>
  <c r="IL64" i="8"/>
  <c r="IM64" i="8"/>
  <c r="IN64" i="8"/>
  <c r="IO64" i="8"/>
  <c r="IP64" i="8"/>
  <c r="IQ64" i="8"/>
  <c r="IR64" i="8"/>
  <c r="IS64" i="8"/>
  <c r="IT64" i="8"/>
  <c r="IU64" i="8"/>
  <c r="IV64" i="8"/>
  <c r="A65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BA65" i="8"/>
  <c r="BB65" i="8"/>
  <c r="BC65" i="8"/>
  <c r="BD65" i="8"/>
  <c r="BE65" i="8"/>
  <c r="BF65" i="8"/>
  <c r="BG65" i="8"/>
  <c r="BH65" i="8"/>
  <c r="BI65" i="8"/>
  <c r="BJ65" i="8"/>
  <c r="BK65" i="8"/>
  <c r="BL65" i="8"/>
  <c r="BM65" i="8"/>
  <c r="BN65" i="8"/>
  <c r="BO65" i="8"/>
  <c r="BP65" i="8"/>
  <c r="BQ65" i="8"/>
  <c r="BR65" i="8"/>
  <c r="BS65" i="8"/>
  <c r="BT65" i="8"/>
  <c r="BU65" i="8"/>
  <c r="BV65" i="8"/>
  <c r="BW65" i="8"/>
  <c r="BX65" i="8"/>
  <c r="BY65" i="8"/>
  <c r="BZ65" i="8"/>
  <c r="CA65" i="8"/>
  <c r="CB65" i="8"/>
  <c r="CC65" i="8"/>
  <c r="CD65" i="8"/>
  <c r="CE65" i="8"/>
  <c r="CF65" i="8"/>
  <c r="CG65" i="8"/>
  <c r="CH65" i="8"/>
  <c r="CI65" i="8"/>
  <c r="CJ65" i="8"/>
  <c r="CK65" i="8"/>
  <c r="CL65" i="8"/>
  <c r="CM65" i="8"/>
  <c r="CN65" i="8"/>
  <c r="CO65" i="8"/>
  <c r="CP65" i="8"/>
  <c r="CQ65" i="8"/>
  <c r="CR65" i="8"/>
  <c r="CS65" i="8"/>
  <c r="CT65" i="8"/>
  <c r="CU65" i="8"/>
  <c r="CV65" i="8"/>
  <c r="CW65" i="8"/>
  <c r="CX65" i="8"/>
  <c r="CY65" i="8"/>
  <c r="CZ65" i="8"/>
  <c r="DA65" i="8"/>
  <c r="DB65" i="8"/>
  <c r="DC65" i="8"/>
  <c r="DD65" i="8"/>
  <c r="DE65" i="8"/>
  <c r="DF65" i="8"/>
  <c r="DG65" i="8"/>
  <c r="DH65" i="8"/>
  <c r="DI65" i="8"/>
  <c r="DJ65" i="8"/>
  <c r="DK65" i="8"/>
  <c r="DL65" i="8"/>
  <c r="DM65" i="8"/>
  <c r="DN65" i="8"/>
  <c r="DO65" i="8"/>
  <c r="DP65" i="8"/>
  <c r="DQ65" i="8"/>
  <c r="DR65" i="8"/>
  <c r="DS65" i="8"/>
  <c r="DT65" i="8"/>
  <c r="DU65" i="8"/>
  <c r="DV65" i="8"/>
  <c r="DW65" i="8"/>
  <c r="DX65" i="8"/>
  <c r="DY65" i="8"/>
  <c r="DZ65" i="8"/>
  <c r="EA65" i="8"/>
  <c r="EB65" i="8"/>
  <c r="EC65" i="8"/>
  <c r="ED65" i="8"/>
  <c r="EE65" i="8"/>
  <c r="EF65" i="8"/>
  <c r="EG65" i="8"/>
  <c r="EH65" i="8"/>
  <c r="EI65" i="8"/>
  <c r="EJ65" i="8"/>
  <c r="EK65" i="8"/>
  <c r="EL65" i="8"/>
  <c r="EM65" i="8"/>
  <c r="EN65" i="8"/>
  <c r="EO65" i="8"/>
  <c r="EP65" i="8"/>
  <c r="EQ65" i="8"/>
  <c r="ER65" i="8"/>
  <c r="ES65" i="8"/>
  <c r="ET65" i="8"/>
  <c r="EU65" i="8"/>
  <c r="EV65" i="8"/>
  <c r="EW65" i="8"/>
  <c r="EX65" i="8"/>
  <c r="EY65" i="8"/>
  <c r="EZ65" i="8"/>
  <c r="FA65" i="8"/>
  <c r="FB65" i="8"/>
  <c r="FC65" i="8"/>
  <c r="FD65" i="8"/>
  <c r="FE65" i="8"/>
  <c r="FF65" i="8"/>
  <c r="FG65" i="8"/>
  <c r="FH65" i="8"/>
  <c r="FI65" i="8"/>
  <c r="FJ65" i="8"/>
  <c r="FK65" i="8"/>
  <c r="FL65" i="8"/>
  <c r="FM65" i="8"/>
  <c r="FN65" i="8"/>
  <c r="FO65" i="8"/>
  <c r="FP65" i="8"/>
  <c r="FQ65" i="8"/>
  <c r="FR65" i="8"/>
  <c r="FS65" i="8"/>
  <c r="FT65" i="8"/>
  <c r="FU65" i="8"/>
  <c r="FV65" i="8"/>
  <c r="FW65" i="8"/>
  <c r="FX65" i="8"/>
  <c r="FY65" i="8"/>
  <c r="FZ65" i="8"/>
  <c r="GA65" i="8"/>
  <c r="GB65" i="8"/>
  <c r="GC65" i="8"/>
  <c r="GD65" i="8"/>
  <c r="GE65" i="8"/>
  <c r="GF65" i="8"/>
  <c r="GG65" i="8"/>
  <c r="GH65" i="8"/>
  <c r="GI65" i="8"/>
  <c r="GJ65" i="8"/>
  <c r="GK65" i="8"/>
  <c r="GL65" i="8"/>
  <c r="GM65" i="8"/>
  <c r="GN65" i="8"/>
  <c r="GO65" i="8"/>
  <c r="GP65" i="8"/>
  <c r="GQ65" i="8"/>
  <c r="GR65" i="8"/>
  <c r="GS65" i="8"/>
  <c r="GT65" i="8"/>
  <c r="GU65" i="8"/>
  <c r="GV65" i="8"/>
  <c r="GW65" i="8"/>
  <c r="GX65" i="8"/>
  <c r="GY65" i="8"/>
  <c r="GZ65" i="8"/>
  <c r="HA65" i="8"/>
  <c r="HB65" i="8"/>
  <c r="HC65" i="8"/>
  <c r="HD65" i="8"/>
  <c r="HE65" i="8"/>
  <c r="HF65" i="8"/>
  <c r="HG65" i="8"/>
  <c r="HH65" i="8"/>
  <c r="HI65" i="8"/>
  <c r="HJ65" i="8"/>
  <c r="HK65" i="8"/>
  <c r="HL65" i="8"/>
  <c r="HM65" i="8"/>
  <c r="HN65" i="8"/>
  <c r="HO65" i="8"/>
  <c r="HP65" i="8"/>
  <c r="HQ65" i="8"/>
  <c r="HR65" i="8"/>
  <c r="HS65" i="8"/>
  <c r="HT65" i="8"/>
  <c r="HU65" i="8"/>
  <c r="HV65" i="8"/>
  <c r="HW65" i="8"/>
  <c r="HX65" i="8"/>
  <c r="HY65" i="8"/>
  <c r="HZ65" i="8"/>
  <c r="IA65" i="8"/>
  <c r="IB65" i="8"/>
  <c r="IC65" i="8"/>
  <c r="ID65" i="8"/>
  <c r="IE65" i="8"/>
  <c r="IF65" i="8"/>
  <c r="IG65" i="8"/>
  <c r="IH65" i="8"/>
  <c r="II65" i="8"/>
  <c r="IJ65" i="8"/>
  <c r="IK65" i="8"/>
  <c r="IL65" i="8"/>
  <c r="IM65" i="8"/>
  <c r="IN65" i="8"/>
  <c r="IO65" i="8"/>
  <c r="IP65" i="8"/>
  <c r="IQ65" i="8"/>
  <c r="IR65" i="8"/>
  <c r="IS65" i="8"/>
  <c r="IT65" i="8"/>
  <c r="IU65" i="8"/>
  <c r="IV65" i="8"/>
  <c r="A66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BB66" i="8"/>
  <c r="BC66" i="8"/>
  <c r="BD66" i="8"/>
  <c r="BE66" i="8"/>
  <c r="BF66" i="8"/>
  <c r="BG66" i="8"/>
  <c r="BH66" i="8"/>
  <c r="BI66" i="8"/>
  <c r="BJ66" i="8"/>
  <c r="BK66" i="8"/>
  <c r="BL66" i="8"/>
  <c r="BM66" i="8"/>
  <c r="BN66" i="8"/>
  <c r="BO66" i="8"/>
  <c r="BP66" i="8"/>
  <c r="BQ66" i="8"/>
  <c r="BR66" i="8"/>
  <c r="BS66" i="8"/>
  <c r="BT66" i="8"/>
  <c r="BU66" i="8"/>
  <c r="BV66" i="8"/>
  <c r="BW66" i="8"/>
  <c r="BX66" i="8"/>
  <c r="BY66" i="8"/>
  <c r="BZ66" i="8"/>
  <c r="CA66" i="8"/>
  <c r="CB66" i="8"/>
  <c r="CC66" i="8"/>
  <c r="CD66" i="8"/>
  <c r="CE66" i="8"/>
  <c r="CF66" i="8"/>
  <c r="CG66" i="8"/>
  <c r="CH66" i="8"/>
  <c r="CI66" i="8"/>
  <c r="CJ66" i="8"/>
  <c r="CK66" i="8"/>
  <c r="CL66" i="8"/>
  <c r="CM66" i="8"/>
  <c r="CN66" i="8"/>
  <c r="CO66" i="8"/>
  <c r="CP66" i="8"/>
  <c r="CQ66" i="8"/>
  <c r="CR66" i="8"/>
  <c r="CS66" i="8"/>
  <c r="CT66" i="8"/>
  <c r="CU66" i="8"/>
  <c r="CV66" i="8"/>
  <c r="CW66" i="8"/>
  <c r="CX66" i="8"/>
  <c r="CY66" i="8"/>
  <c r="CZ66" i="8"/>
  <c r="DA66" i="8"/>
  <c r="DB66" i="8"/>
  <c r="DC66" i="8"/>
  <c r="DD66" i="8"/>
  <c r="DE66" i="8"/>
  <c r="DF66" i="8"/>
  <c r="DG66" i="8"/>
  <c r="DH66" i="8"/>
  <c r="DI66" i="8"/>
  <c r="DJ66" i="8"/>
  <c r="DK66" i="8"/>
  <c r="DL66" i="8"/>
  <c r="DM66" i="8"/>
  <c r="DN66" i="8"/>
  <c r="DO66" i="8"/>
  <c r="DP66" i="8"/>
  <c r="DQ66" i="8"/>
  <c r="DR66" i="8"/>
  <c r="DS66" i="8"/>
  <c r="DT66" i="8"/>
  <c r="DU66" i="8"/>
  <c r="DV66" i="8"/>
  <c r="DW66" i="8"/>
  <c r="DX66" i="8"/>
  <c r="DY66" i="8"/>
  <c r="DZ66" i="8"/>
  <c r="EA66" i="8"/>
  <c r="EB66" i="8"/>
  <c r="EC66" i="8"/>
  <c r="ED66" i="8"/>
  <c r="EE66" i="8"/>
  <c r="EF66" i="8"/>
  <c r="EG66" i="8"/>
  <c r="EH66" i="8"/>
  <c r="EI66" i="8"/>
  <c r="EJ66" i="8"/>
  <c r="EK66" i="8"/>
  <c r="EL66" i="8"/>
  <c r="EM66" i="8"/>
  <c r="EN66" i="8"/>
  <c r="EO66" i="8"/>
  <c r="EP66" i="8"/>
  <c r="EQ66" i="8"/>
  <c r="ER66" i="8"/>
  <c r="ES66" i="8"/>
  <c r="ET66" i="8"/>
  <c r="EU66" i="8"/>
  <c r="EV66" i="8"/>
  <c r="EW66" i="8"/>
  <c r="EX66" i="8"/>
  <c r="EY66" i="8"/>
  <c r="EZ66" i="8"/>
  <c r="FA66" i="8"/>
  <c r="FB66" i="8"/>
  <c r="FC66" i="8"/>
  <c r="FD66" i="8"/>
  <c r="FE66" i="8"/>
  <c r="FF66" i="8"/>
  <c r="FG66" i="8"/>
  <c r="FH66" i="8"/>
  <c r="FI66" i="8"/>
  <c r="FJ66" i="8"/>
  <c r="FK66" i="8"/>
  <c r="FL66" i="8"/>
  <c r="FM66" i="8"/>
  <c r="FN66" i="8"/>
  <c r="FO66" i="8"/>
  <c r="FP66" i="8"/>
  <c r="FQ66" i="8"/>
  <c r="FR66" i="8"/>
  <c r="FS66" i="8"/>
  <c r="FT66" i="8"/>
  <c r="FU66" i="8"/>
  <c r="FV66" i="8"/>
  <c r="FW66" i="8"/>
  <c r="FX66" i="8"/>
  <c r="FY66" i="8"/>
  <c r="FZ66" i="8"/>
  <c r="GA66" i="8"/>
  <c r="GB66" i="8"/>
  <c r="GC66" i="8"/>
  <c r="GD66" i="8"/>
  <c r="GE66" i="8"/>
  <c r="GF66" i="8"/>
  <c r="GG66" i="8"/>
  <c r="GH66" i="8"/>
  <c r="GI66" i="8"/>
  <c r="GJ66" i="8"/>
  <c r="GK66" i="8"/>
  <c r="GL66" i="8"/>
  <c r="GM66" i="8"/>
  <c r="GN66" i="8"/>
  <c r="GO66" i="8"/>
  <c r="GP66" i="8"/>
  <c r="GQ66" i="8"/>
  <c r="GR66" i="8"/>
  <c r="GS66" i="8"/>
  <c r="GT66" i="8"/>
  <c r="GU66" i="8"/>
  <c r="GV66" i="8"/>
  <c r="GW66" i="8"/>
  <c r="GX66" i="8"/>
  <c r="GY66" i="8"/>
  <c r="GZ66" i="8"/>
  <c r="HA66" i="8"/>
  <c r="HB66" i="8"/>
  <c r="HC66" i="8"/>
  <c r="HD66" i="8"/>
  <c r="HE66" i="8"/>
  <c r="HF66" i="8"/>
  <c r="HG66" i="8"/>
  <c r="HH66" i="8"/>
  <c r="HI66" i="8"/>
  <c r="HJ66" i="8"/>
  <c r="HK66" i="8"/>
  <c r="HL66" i="8"/>
  <c r="HM66" i="8"/>
  <c r="HN66" i="8"/>
  <c r="HO66" i="8"/>
  <c r="HP66" i="8"/>
  <c r="HQ66" i="8"/>
  <c r="HR66" i="8"/>
  <c r="HS66" i="8"/>
  <c r="HT66" i="8"/>
  <c r="HU66" i="8"/>
  <c r="HV66" i="8"/>
  <c r="HW66" i="8"/>
  <c r="HX66" i="8"/>
  <c r="HY66" i="8"/>
  <c r="HZ66" i="8"/>
  <c r="IA66" i="8"/>
  <c r="IB66" i="8"/>
  <c r="IC66" i="8"/>
  <c r="ID66" i="8"/>
  <c r="IE66" i="8"/>
  <c r="IF66" i="8"/>
  <c r="IG66" i="8"/>
  <c r="IH66" i="8"/>
  <c r="II66" i="8"/>
  <c r="IJ66" i="8"/>
  <c r="IK66" i="8"/>
  <c r="IL66" i="8"/>
  <c r="IM66" i="8"/>
  <c r="IN66" i="8"/>
  <c r="IO66" i="8"/>
  <c r="IP66" i="8"/>
  <c r="IQ66" i="8"/>
  <c r="IR66" i="8"/>
  <c r="IS66" i="8"/>
  <c r="IT66" i="8"/>
  <c r="IU66" i="8"/>
  <c r="IV66" i="8"/>
  <c r="A67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67" i="8"/>
  <c r="BL67" i="8"/>
  <c r="BM67" i="8"/>
  <c r="BN67" i="8"/>
  <c r="BO67" i="8"/>
  <c r="BP67" i="8"/>
  <c r="BQ67" i="8"/>
  <c r="BR67" i="8"/>
  <c r="BS67" i="8"/>
  <c r="BT67" i="8"/>
  <c r="BU67" i="8"/>
  <c r="BV67" i="8"/>
  <c r="BW67" i="8"/>
  <c r="BX67" i="8"/>
  <c r="BY67" i="8"/>
  <c r="BZ67" i="8"/>
  <c r="CA67" i="8"/>
  <c r="CB67" i="8"/>
  <c r="CC67" i="8"/>
  <c r="CD67" i="8"/>
  <c r="CE67" i="8"/>
  <c r="CF67" i="8"/>
  <c r="CG67" i="8"/>
  <c r="CH67" i="8"/>
  <c r="CI67" i="8"/>
  <c r="CJ67" i="8"/>
  <c r="CK67" i="8"/>
  <c r="CL67" i="8"/>
  <c r="CM67" i="8"/>
  <c r="CN67" i="8"/>
  <c r="CO67" i="8"/>
  <c r="CP67" i="8"/>
  <c r="CQ67" i="8"/>
  <c r="CR67" i="8"/>
  <c r="CS67" i="8"/>
  <c r="CT67" i="8"/>
  <c r="CU67" i="8"/>
  <c r="CV67" i="8"/>
  <c r="CW67" i="8"/>
  <c r="CX67" i="8"/>
  <c r="CY67" i="8"/>
  <c r="CZ67" i="8"/>
  <c r="DA67" i="8"/>
  <c r="DB67" i="8"/>
  <c r="DC67" i="8"/>
  <c r="DD67" i="8"/>
  <c r="DE67" i="8"/>
  <c r="DF67" i="8"/>
  <c r="DG67" i="8"/>
  <c r="DH67" i="8"/>
  <c r="DI67" i="8"/>
  <c r="DJ67" i="8"/>
  <c r="DK67" i="8"/>
  <c r="DL67" i="8"/>
  <c r="DM67" i="8"/>
  <c r="DN67" i="8"/>
  <c r="DO67" i="8"/>
  <c r="DP67" i="8"/>
  <c r="DQ67" i="8"/>
  <c r="DR67" i="8"/>
  <c r="DS67" i="8"/>
  <c r="DT67" i="8"/>
  <c r="DU67" i="8"/>
  <c r="DV67" i="8"/>
  <c r="DW67" i="8"/>
  <c r="DX67" i="8"/>
  <c r="DY67" i="8"/>
  <c r="DZ67" i="8"/>
  <c r="EA67" i="8"/>
  <c r="EB67" i="8"/>
  <c r="EC67" i="8"/>
  <c r="ED67" i="8"/>
  <c r="EE67" i="8"/>
  <c r="EF67" i="8"/>
  <c r="EG67" i="8"/>
  <c r="EH67" i="8"/>
  <c r="EI67" i="8"/>
  <c r="EJ67" i="8"/>
  <c r="EK67" i="8"/>
  <c r="EL67" i="8"/>
  <c r="EM67" i="8"/>
  <c r="EN67" i="8"/>
  <c r="EO67" i="8"/>
  <c r="EP67" i="8"/>
  <c r="EQ67" i="8"/>
  <c r="ER67" i="8"/>
  <c r="ES67" i="8"/>
  <c r="ET67" i="8"/>
  <c r="EU67" i="8"/>
  <c r="EV67" i="8"/>
  <c r="EW67" i="8"/>
  <c r="EX67" i="8"/>
  <c r="EY67" i="8"/>
  <c r="EZ67" i="8"/>
  <c r="FA67" i="8"/>
  <c r="FB67" i="8"/>
  <c r="FC67" i="8"/>
  <c r="FD67" i="8"/>
  <c r="FE67" i="8"/>
  <c r="FF67" i="8"/>
  <c r="FG67" i="8"/>
  <c r="FH67" i="8"/>
  <c r="FI67" i="8"/>
  <c r="FJ67" i="8"/>
  <c r="FK67" i="8"/>
  <c r="FL67" i="8"/>
  <c r="FM67" i="8"/>
  <c r="FN67" i="8"/>
  <c r="FO67" i="8"/>
  <c r="FP67" i="8"/>
  <c r="FQ67" i="8"/>
  <c r="FR67" i="8"/>
  <c r="FS67" i="8"/>
  <c r="FT67" i="8"/>
  <c r="FU67" i="8"/>
  <c r="FV67" i="8"/>
  <c r="FW67" i="8"/>
  <c r="FX67" i="8"/>
  <c r="FY67" i="8"/>
  <c r="FZ67" i="8"/>
  <c r="GA67" i="8"/>
  <c r="GB67" i="8"/>
  <c r="GC67" i="8"/>
  <c r="GD67" i="8"/>
  <c r="GE67" i="8"/>
  <c r="GF67" i="8"/>
  <c r="GG67" i="8"/>
  <c r="GH67" i="8"/>
  <c r="GI67" i="8"/>
  <c r="GJ67" i="8"/>
  <c r="GK67" i="8"/>
  <c r="GL67" i="8"/>
  <c r="GM67" i="8"/>
  <c r="GN67" i="8"/>
  <c r="GO67" i="8"/>
  <c r="GP67" i="8"/>
  <c r="GQ67" i="8"/>
  <c r="GR67" i="8"/>
  <c r="GS67" i="8"/>
  <c r="GT67" i="8"/>
  <c r="GU67" i="8"/>
  <c r="GV67" i="8"/>
  <c r="GW67" i="8"/>
  <c r="GX67" i="8"/>
  <c r="GY67" i="8"/>
  <c r="GZ67" i="8"/>
  <c r="HA67" i="8"/>
  <c r="HB67" i="8"/>
  <c r="HC67" i="8"/>
  <c r="HD67" i="8"/>
  <c r="HE67" i="8"/>
  <c r="HF67" i="8"/>
  <c r="HG67" i="8"/>
  <c r="HH67" i="8"/>
  <c r="HI67" i="8"/>
  <c r="HJ67" i="8"/>
  <c r="HK67" i="8"/>
  <c r="HL67" i="8"/>
  <c r="HM67" i="8"/>
  <c r="HN67" i="8"/>
  <c r="HO67" i="8"/>
  <c r="HP67" i="8"/>
  <c r="HQ67" i="8"/>
  <c r="HR67" i="8"/>
  <c r="HS67" i="8"/>
  <c r="HT67" i="8"/>
  <c r="HU67" i="8"/>
  <c r="HV67" i="8"/>
  <c r="HW67" i="8"/>
  <c r="HX67" i="8"/>
  <c r="HY67" i="8"/>
  <c r="HZ67" i="8"/>
  <c r="IA67" i="8"/>
  <c r="IB67" i="8"/>
  <c r="IC67" i="8"/>
  <c r="ID67" i="8"/>
  <c r="IE67" i="8"/>
  <c r="IF67" i="8"/>
  <c r="IG67" i="8"/>
  <c r="IH67" i="8"/>
  <c r="II67" i="8"/>
  <c r="IJ67" i="8"/>
  <c r="IK67" i="8"/>
  <c r="IL67" i="8"/>
  <c r="IM67" i="8"/>
  <c r="IN67" i="8"/>
  <c r="IO67" i="8"/>
  <c r="IP67" i="8"/>
  <c r="IQ67" i="8"/>
  <c r="IR67" i="8"/>
  <c r="IS67" i="8"/>
  <c r="IT67" i="8"/>
  <c r="IU67" i="8"/>
  <c r="IV67" i="8"/>
  <c r="A68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8" i="8"/>
  <c r="AW68" i="8"/>
  <c r="AX68" i="8"/>
  <c r="AY68" i="8"/>
  <c r="AZ68" i="8"/>
  <c r="BA68" i="8"/>
  <c r="BB68" i="8"/>
  <c r="BC68" i="8"/>
  <c r="BD68" i="8"/>
  <c r="BE68" i="8"/>
  <c r="BF68" i="8"/>
  <c r="BG68" i="8"/>
  <c r="BH68" i="8"/>
  <c r="BI68" i="8"/>
  <c r="BJ68" i="8"/>
  <c r="BK68" i="8"/>
  <c r="BL68" i="8"/>
  <c r="BM68" i="8"/>
  <c r="BN68" i="8"/>
  <c r="BO68" i="8"/>
  <c r="BP68" i="8"/>
  <c r="BQ68" i="8"/>
  <c r="BR68" i="8"/>
  <c r="BS68" i="8"/>
  <c r="BT68" i="8"/>
  <c r="BU68" i="8"/>
  <c r="BV68" i="8"/>
  <c r="BW68" i="8"/>
  <c r="BX68" i="8"/>
  <c r="BY68" i="8"/>
  <c r="BZ68" i="8"/>
  <c r="CA68" i="8"/>
  <c r="CB68" i="8"/>
  <c r="CC68" i="8"/>
  <c r="CD68" i="8"/>
  <c r="CE68" i="8"/>
  <c r="CF68" i="8"/>
  <c r="CG68" i="8"/>
  <c r="CH68" i="8"/>
  <c r="CI68" i="8"/>
  <c r="CJ68" i="8"/>
  <c r="CK68" i="8"/>
  <c r="CL68" i="8"/>
  <c r="CM68" i="8"/>
  <c r="CN68" i="8"/>
  <c r="CO68" i="8"/>
  <c r="CP68" i="8"/>
  <c r="CQ68" i="8"/>
  <c r="CR68" i="8"/>
  <c r="CS68" i="8"/>
  <c r="CT68" i="8"/>
  <c r="CU68" i="8"/>
  <c r="CV68" i="8"/>
  <c r="CW68" i="8"/>
  <c r="CX68" i="8"/>
  <c r="CY68" i="8"/>
  <c r="CZ68" i="8"/>
  <c r="DA68" i="8"/>
  <c r="DB68" i="8"/>
  <c r="DC68" i="8"/>
  <c r="DD68" i="8"/>
  <c r="DE68" i="8"/>
  <c r="DF68" i="8"/>
  <c r="DG68" i="8"/>
  <c r="DH68" i="8"/>
  <c r="DI68" i="8"/>
  <c r="DJ68" i="8"/>
  <c r="DK68" i="8"/>
  <c r="DL68" i="8"/>
  <c r="DM68" i="8"/>
  <c r="DN68" i="8"/>
  <c r="DO68" i="8"/>
  <c r="DP68" i="8"/>
  <c r="DQ68" i="8"/>
  <c r="DR68" i="8"/>
  <c r="DS68" i="8"/>
  <c r="DT68" i="8"/>
  <c r="DU68" i="8"/>
  <c r="DV68" i="8"/>
  <c r="DW68" i="8"/>
  <c r="DX68" i="8"/>
  <c r="DY68" i="8"/>
  <c r="DZ68" i="8"/>
  <c r="EA68" i="8"/>
  <c r="EB68" i="8"/>
  <c r="EC68" i="8"/>
  <c r="ED68" i="8"/>
  <c r="EE68" i="8"/>
  <c r="EF68" i="8"/>
  <c r="EG68" i="8"/>
  <c r="EH68" i="8"/>
  <c r="EI68" i="8"/>
  <c r="EJ68" i="8"/>
  <c r="EK68" i="8"/>
  <c r="EL68" i="8"/>
  <c r="EM68" i="8"/>
  <c r="EN68" i="8"/>
  <c r="EO68" i="8"/>
  <c r="EP68" i="8"/>
  <c r="EQ68" i="8"/>
  <c r="ER68" i="8"/>
  <c r="ES68" i="8"/>
  <c r="ET68" i="8"/>
  <c r="EU68" i="8"/>
  <c r="EV68" i="8"/>
  <c r="EW68" i="8"/>
  <c r="EX68" i="8"/>
  <c r="EY68" i="8"/>
  <c r="EZ68" i="8"/>
  <c r="FA68" i="8"/>
  <c r="FB68" i="8"/>
  <c r="FC68" i="8"/>
  <c r="FD68" i="8"/>
  <c r="FE68" i="8"/>
  <c r="FF68" i="8"/>
  <c r="FG68" i="8"/>
  <c r="FH68" i="8"/>
  <c r="FI68" i="8"/>
  <c r="FJ68" i="8"/>
  <c r="FK68" i="8"/>
  <c r="FL68" i="8"/>
  <c r="FM68" i="8"/>
  <c r="FN68" i="8"/>
  <c r="FO68" i="8"/>
  <c r="FP68" i="8"/>
  <c r="FQ68" i="8"/>
  <c r="FR68" i="8"/>
  <c r="FS68" i="8"/>
  <c r="FT68" i="8"/>
  <c r="FU68" i="8"/>
  <c r="FV68" i="8"/>
  <c r="FW68" i="8"/>
  <c r="FX68" i="8"/>
  <c r="FY68" i="8"/>
  <c r="FZ68" i="8"/>
  <c r="GA68" i="8"/>
  <c r="GB68" i="8"/>
  <c r="GC68" i="8"/>
  <c r="GD68" i="8"/>
  <c r="GE68" i="8"/>
  <c r="GF68" i="8"/>
  <c r="GG68" i="8"/>
  <c r="GH68" i="8"/>
  <c r="GI68" i="8"/>
  <c r="GJ68" i="8"/>
  <c r="GK68" i="8"/>
  <c r="GL68" i="8"/>
  <c r="GM68" i="8"/>
  <c r="GN68" i="8"/>
  <c r="GO68" i="8"/>
  <c r="GP68" i="8"/>
  <c r="GQ68" i="8"/>
  <c r="GR68" i="8"/>
  <c r="GS68" i="8"/>
  <c r="GT68" i="8"/>
  <c r="GU68" i="8"/>
  <c r="GV68" i="8"/>
  <c r="GW68" i="8"/>
  <c r="GX68" i="8"/>
  <c r="GY68" i="8"/>
  <c r="GZ68" i="8"/>
  <c r="HA68" i="8"/>
  <c r="HB68" i="8"/>
  <c r="HC68" i="8"/>
  <c r="HD68" i="8"/>
  <c r="HE68" i="8"/>
  <c r="HF68" i="8"/>
  <c r="HG68" i="8"/>
  <c r="HH68" i="8"/>
  <c r="HI68" i="8"/>
  <c r="HJ68" i="8"/>
  <c r="HK68" i="8"/>
  <c r="HL68" i="8"/>
  <c r="HM68" i="8"/>
  <c r="HN68" i="8"/>
  <c r="HO68" i="8"/>
  <c r="HP68" i="8"/>
  <c r="HQ68" i="8"/>
  <c r="HR68" i="8"/>
  <c r="HS68" i="8"/>
  <c r="HT68" i="8"/>
  <c r="HU68" i="8"/>
  <c r="HV68" i="8"/>
  <c r="HW68" i="8"/>
  <c r="HX68" i="8"/>
  <c r="HY68" i="8"/>
  <c r="HZ68" i="8"/>
  <c r="IA68" i="8"/>
  <c r="IB68" i="8"/>
  <c r="IC68" i="8"/>
  <c r="ID68" i="8"/>
  <c r="IE68" i="8"/>
  <c r="IF68" i="8"/>
  <c r="IG68" i="8"/>
  <c r="IH68" i="8"/>
  <c r="II68" i="8"/>
  <c r="IJ68" i="8"/>
  <c r="IK68" i="8"/>
  <c r="IL68" i="8"/>
  <c r="IM68" i="8"/>
  <c r="IN68" i="8"/>
  <c r="IO68" i="8"/>
  <c r="IP68" i="8"/>
  <c r="IQ68" i="8"/>
  <c r="IR68" i="8"/>
  <c r="IS68" i="8"/>
  <c r="IT68" i="8"/>
  <c r="IU68" i="8"/>
  <c r="IV68" i="8"/>
  <c r="A69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AJ69" i="8"/>
  <c r="AK69" i="8"/>
  <c r="AL69" i="8"/>
  <c r="AM69" i="8"/>
  <c r="AN69" i="8"/>
  <c r="AO69" i="8"/>
  <c r="AP69" i="8"/>
  <c r="AQ69" i="8"/>
  <c r="AR69" i="8"/>
  <c r="AS69" i="8"/>
  <c r="AT69" i="8"/>
  <c r="AU69" i="8"/>
  <c r="AV69" i="8"/>
  <c r="AW69" i="8"/>
  <c r="AX69" i="8"/>
  <c r="AY69" i="8"/>
  <c r="AZ69" i="8"/>
  <c r="BA69" i="8"/>
  <c r="BB69" i="8"/>
  <c r="BC69" i="8"/>
  <c r="BD69" i="8"/>
  <c r="BE69" i="8"/>
  <c r="BF69" i="8"/>
  <c r="BG69" i="8"/>
  <c r="BH69" i="8"/>
  <c r="BI69" i="8"/>
  <c r="BJ69" i="8"/>
  <c r="BK69" i="8"/>
  <c r="BL69" i="8"/>
  <c r="BM69" i="8"/>
  <c r="BN69" i="8"/>
  <c r="BO69" i="8"/>
  <c r="BP69" i="8"/>
  <c r="BQ69" i="8"/>
  <c r="BR69" i="8"/>
  <c r="BS69" i="8"/>
  <c r="BT69" i="8"/>
  <c r="BU69" i="8"/>
  <c r="BV69" i="8"/>
  <c r="BW69" i="8"/>
  <c r="BX69" i="8"/>
  <c r="BY69" i="8"/>
  <c r="BZ69" i="8"/>
  <c r="CA69" i="8"/>
  <c r="CB69" i="8"/>
  <c r="CC69" i="8"/>
  <c r="CD69" i="8"/>
  <c r="CE69" i="8"/>
  <c r="CF69" i="8"/>
  <c r="CG69" i="8"/>
  <c r="CH69" i="8"/>
  <c r="CI69" i="8"/>
  <c r="CJ69" i="8"/>
  <c r="CK69" i="8"/>
  <c r="CL69" i="8"/>
  <c r="CM69" i="8"/>
  <c r="CN69" i="8"/>
  <c r="CO69" i="8"/>
  <c r="CP69" i="8"/>
  <c r="CQ69" i="8"/>
  <c r="CR69" i="8"/>
  <c r="CS69" i="8"/>
  <c r="CT69" i="8"/>
  <c r="CU69" i="8"/>
  <c r="CV69" i="8"/>
  <c r="CW69" i="8"/>
  <c r="CX69" i="8"/>
  <c r="CY69" i="8"/>
  <c r="CZ69" i="8"/>
  <c r="DA69" i="8"/>
  <c r="DB69" i="8"/>
  <c r="DC69" i="8"/>
  <c r="DD69" i="8"/>
  <c r="DE69" i="8"/>
  <c r="DF69" i="8"/>
  <c r="DG69" i="8"/>
  <c r="DH69" i="8"/>
  <c r="DI69" i="8"/>
  <c r="DJ69" i="8"/>
  <c r="DK69" i="8"/>
  <c r="DL69" i="8"/>
  <c r="DM69" i="8"/>
  <c r="DN69" i="8"/>
  <c r="DO69" i="8"/>
  <c r="DP69" i="8"/>
  <c r="DQ69" i="8"/>
  <c r="DR69" i="8"/>
  <c r="DS69" i="8"/>
  <c r="DT69" i="8"/>
  <c r="DU69" i="8"/>
  <c r="DV69" i="8"/>
  <c r="DW69" i="8"/>
  <c r="DX69" i="8"/>
  <c r="DY69" i="8"/>
  <c r="DZ69" i="8"/>
  <c r="EA69" i="8"/>
  <c r="EB69" i="8"/>
  <c r="EC69" i="8"/>
  <c r="ED69" i="8"/>
  <c r="EE69" i="8"/>
  <c r="EF69" i="8"/>
  <c r="EG69" i="8"/>
  <c r="EH69" i="8"/>
  <c r="EI69" i="8"/>
  <c r="EJ69" i="8"/>
  <c r="EK69" i="8"/>
  <c r="EL69" i="8"/>
  <c r="EM69" i="8"/>
  <c r="EN69" i="8"/>
  <c r="EO69" i="8"/>
  <c r="EP69" i="8"/>
  <c r="EQ69" i="8"/>
  <c r="ER69" i="8"/>
  <c r="ES69" i="8"/>
  <c r="ET69" i="8"/>
  <c r="EU69" i="8"/>
  <c r="EV69" i="8"/>
  <c r="EW69" i="8"/>
  <c r="EX69" i="8"/>
  <c r="EY69" i="8"/>
  <c r="EZ69" i="8"/>
  <c r="FA69" i="8"/>
  <c r="FB69" i="8"/>
  <c r="FC69" i="8"/>
  <c r="FD69" i="8"/>
  <c r="FE69" i="8"/>
  <c r="FF69" i="8"/>
  <c r="FG69" i="8"/>
  <c r="FH69" i="8"/>
  <c r="FI69" i="8"/>
  <c r="FJ69" i="8"/>
  <c r="FK69" i="8"/>
  <c r="FL69" i="8"/>
  <c r="FM69" i="8"/>
  <c r="FN69" i="8"/>
  <c r="FO69" i="8"/>
  <c r="FP69" i="8"/>
  <c r="FQ69" i="8"/>
  <c r="FR69" i="8"/>
  <c r="FS69" i="8"/>
  <c r="FT69" i="8"/>
  <c r="FU69" i="8"/>
  <c r="FV69" i="8"/>
  <c r="FW69" i="8"/>
  <c r="FX69" i="8"/>
  <c r="FY69" i="8"/>
  <c r="FZ69" i="8"/>
  <c r="GA69" i="8"/>
  <c r="GB69" i="8"/>
  <c r="GC69" i="8"/>
  <c r="GD69" i="8"/>
  <c r="GE69" i="8"/>
  <c r="GF69" i="8"/>
  <c r="GG69" i="8"/>
  <c r="GH69" i="8"/>
  <c r="GI69" i="8"/>
  <c r="GJ69" i="8"/>
  <c r="GK69" i="8"/>
  <c r="GL69" i="8"/>
  <c r="GM69" i="8"/>
  <c r="GN69" i="8"/>
  <c r="GO69" i="8"/>
  <c r="GP69" i="8"/>
  <c r="GQ69" i="8"/>
  <c r="GR69" i="8"/>
  <c r="GS69" i="8"/>
  <c r="GT69" i="8"/>
  <c r="GU69" i="8"/>
  <c r="GV69" i="8"/>
  <c r="GW69" i="8"/>
  <c r="GX69" i="8"/>
  <c r="GY69" i="8"/>
  <c r="GZ69" i="8"/>
  <c r="HA69" i="8"/>
  <c r="HB69" i="8"/>
  <c r="HC69" i="8"/>
  <c r="HD69" i="8"/>
  <c r="HE69" i="8"/>
  <c r="HF69" i="8"/>
  <c r="HG69" i="8"/>
  <c r="HH69" i="8"/>
  <c r="HI69" i="8"/>
  <c r="HJ69" i="8"/>
  <c r="HK69" i="8"/>
  <c r="HL69" i="8"/>
  <c r="HM69" i="8"/>
  <c r="HN69" i="8"/>
  <c r="HO69" i="8"/>
  <c r="HP69" i="8"/>
  <c r="HQ69" i="8"/>
  <c r="HR69" i="8"/>
  <c r="HS69" i="8"/>
  <c r="HT69" i="8"/>
  <c r="HU69" i="8"/>
  <c r="HV69" i="8"/>
  <c r="HW69" i="8"/>
  <c r="HX69" i="8"/>
  <c r="HY69" i="8"/>
  <c r="HZ69" i="8"/>
  <c r="IA69" i="8"/>
  <c r="IB69" i="8"/>
  <c r="IC69" i="8"/>
  <c r="ID69" i="8"/>
  <c r="IE69" i="8"/>
  <c r="IF69" i="8"/>
  <c r="IG69" i="8"/>
  <c r="IH69" i="8"/>
  <c r="II69" i="8"/>
  <c r="IJ69" i="8"/>
  <c r="IK69" i="8"/>
  <c r="IL69" i="8"/>
  <c r="IM69" i="8"/>
  <c r="IN69" i="8"/>
  <c r="IO69" i="8"/>
  <c r="IP69" i="8"/>
  <c r="IQ69" i="8"/>
  <c r="IR69" i="8"/>
  <c r="IS69" i="8"/>
  <c r="IT69" i="8"/>
  <c r="IU69" i="8"/>
  <c r="IV69" i="8"/>
  <c r="A70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BA70" i="8"/>
  <c r="BB70" i="8"/>
  <c r="BC70" i="8"/>
  <c r="BD70" i="8"/>
  <c r="BE70" i="8"/>
  <c r="BF70" i="8"/>
  <c r="BG70" i="8"/>
  <c r="BH70" i="8"/>
  <c r="BI70" i="8"/>
  <c r="BJ70" i="8"/>
  <c r="BK70" i="8"/>
  <c r="BL70" i="8"/>
  <c r="BM70" i="8"/>
  <c r="BN70" i="8"/>
  <c r="BO70" i="8"/>
  <c r="BP70" i="8"/>
  <c r="BQ70" i="8"/>
  <c r="BR70" i="8"/>
  <c r="BS70" i="8"/>
  <c r="BT70" i="8"/>
  <c r="BU70" i="8"/>
  <c r="BV70" i="8"/>
  <c r="BW70" i="8"/>
  <c r="BX70" i="8"/>
  <c r="BY70" i="8"/>
  <c r="BZ70" i="8"/>
  <c r="CA70" i="8"/>
  <c r="CB70" i="8"/>
  <c r="CC70" i="8"/>
  <c r="CD70" i="8"/>
  <c r="CE70" i="8"/>
  <c r="CF70" i="8"/>
  <c r="CG70" i="8"/>
  <c r="CH70" i="8"/>
  <c r="CI70" i="8"/>
  <c r="CJ70" i="8"/>
  <c r="CK70" i="8"/>
  <c r="CL70" i="8"/>
  <c r="CM70" i="8"/>
  <c r="CN70" i="8"/>
  <c r="CO70" i="8"/>
  <c r="CP70" i="8"/>
  <c r="CQ70" i="8"/>
  <c r="CR70" i="8"/>
  <c r="CS70" i="8"/>
  <c r="CT70" i="8"/>
  <c r="CU70" i="8"/>
  <c r="CV70" i="8"/>
  <c r="CW70" i="8"/>
  <c r="CX70" i="8"/>
  <c r="CY70" i="8"/>
  <c r="CZ70" i="8"/>
  <c r="DA70" i="8"/>
  <c r="DB70" i="8"/>
  <c r="DC70" i="8"/>
  <c r="DD70" i="8"/>
  <c r="DE70" i="8"/>
  <c r="DF70" i="8"/>
  <c r="DG70" i="8"/>
  <c r="DH70" i="8"/>
  <c r="DI70" i="8"/>
  <c r="DJ70" i="8"/>
  <c r="DK70" i="8"/>
  <c r="DL70" i="8"/>
  <c r="DM70" i="8"/>
  <c r="DN70" i="8"/>
  <c r="DO70" i="8"/>
  <c r="DP70" i="8"/>
  <c r="DQ70" i="8"/>
  <c r="DR70" i="8"/>
  <c r="DS70" i="8"/>
  <c r="DT70" i="8"/>
  <c r="DU70" i="8"/>
  <c r="DV70" i="8"/>
  <c r="DW70" i="8"/>
  <c r="DX70" i="8"/>
  <c r="DY70" i="8"/>
  <c r="DZ70" i="8"/>
  <c r="EA70" i="8"/>
  <c r="EB70" i="8"/>
  <c r="EC70" i="8"/>
  <c r="ED70" i="8"/>
  <c r="EE70" i="8"/>
  <c r="EF70" i="8"/>
  <c r="EG70" i="8"/>
  <c r="EH70" i="8"/>
  <c r="EI70" i="8"/>
  <c r="EJ70" i="8"/>
  <c r="EK70" i="8"/>
  <c r="EL70" i="8"/>
  <c r="EM70" i="8"/>
  <c r="EN70" i="8"/>
  <c r="EO70" i="8"/>
  <c r="EP70" i="8"/>
  <c r="EQ70" i="8"/>
  <c r="ER70" i="8"/>
  <c r="ES70" i="8"/>
  <c r="ET70" i="8"/>
  <c r="EU70" i="8"/>
  <c r="EV70" i="8"/>
  <c r="EW70" i="8"/>
  <c r="EX70" i="8"/>
  <c r="EY70" i="8"/>
  <c r="EZ70" i="8"/>
  <c r="FA70" i="8"/>
  <c r="FB70" i="8"/>
  <c r="FC70" i="8"/>
  <c r="FD70" i="8"/>
  <c r="FE70" i="8"/>
  <c r="FF70" i="8"/>
  <c r="FG70" i="8"/>
  <c r="FH70" i="8"/>
  <c r="FI70" i="8"/>
  <c r="FJ70" i="8"/>
  <c r="FK70" i="8"/>
  <c r="FL70" i="8"/>
  <c r="FM70" i="8"/>
  <c r="FN70" i="8"/>
  <c r="FO70" i="8"/>
  <c r="FP70" i="8"/>
  <c r="FQ70" i="8"/>
  <c r="FR70" i="8"/>
  <c r="FS70" i="8"/>
  <c r="FT70" i="8"/>
  <c r="FU70" i="8"/>
  <c r="FV70" i="8"/>
  <c r="FW70" i="8"/>
  <c r="FX70" i="8"/>
  <c r="FY70" i="8"/>
  <c r="FZ70" i="8"/>
  <c r="GA70" i="8"/>
  <c r="GB70" i="8"/>
  <c r="GC70" i="8"/>
  <c r="GD70" i="8"/>
  <c r="GE70" i="8"/>
  <c r="GF70" i="8"/>
  <c r="GG70" i="8"/>
  <c r="GH70" i="8"/>
  <c r="GI70" i="8"/>
  <c r="GJ70" i="8"/>
  <c r="GK70" i="8"/>
  <c r="GL70" i="8"/>
  <c r="GM70" i="8"/>
  <c r="GN70" i="8"/>
  <c r="GO70" i="8"/>
  <c r="GP70" i="8"/>
  <c r="GQ70" i="8"/>
  <c r="GR70" i="8"/>
  <c r="GS70" i="8"/>
  <c r="GT70" i="8"/>
  <c r="GU70" i="8"/>
  <c r="GV70" i="8"/>
  <c r="GW70" i="8"/>
  <c r="GX70" i="8"/>
  <c r="GY70" i="8"/>
  <c r="GZ70" i="8"/>
  <c r="HA70" i="8"/>
  <c r="HB70" i="8"/>
  <c r="HC70" i="8"/>
  <c r="HD70" i="8"/>
  <c r="HE70" i="8"/>
  <c r="HF70" i="8"/>
  <c r="HG70" i="8"/>
  <c r="HH70" i="8"/>
  <c r="HI70" i="8"/>
  <c r="HJ70" i="8"/>
  <c r="HK70" i="8"/>
  <c r="HL70" i="8"/>
  <c r="HM70" i="8"/>
  <c r="HN70" i="8"/>
  <c r="HO70" i="8"/>
  <c r="HP70" i="8"/>
  <c r="HQ70" i="8"/>
  <c r="HR70" i="8"/>
  <c r="HS70" i="8"/>
  <c r="HT70" i="8"/>
  <c r="HU70" i="8"/>
  <c r="HV70" i="8"/>
  <c r="HW70" i="8"/>
  <c r="HX70" i="8"/>
  <c r="HY70" i="8"/>
  <c r="HZ70" i="8"/>
  <c r="IA70" i="8"/>
  <c r="IB70" i="8"/>
  <c r="IC70" i="8"/>
  <c r="ID70" i="8"/>
  <c r="IE70" i="8"/>
  <c r="IF70" i="8"/>
  <c r="IG70" i="8"/>
  <c r="IH70" i="8"/>
  <c r="II70" i="8"/>
  <c r="IJ70" i="8"/>
  <c r="IK70" i="8"/>
  <c r="IL70" i="8"/>
  <c r="IM70" i="8"/>
  <c r="IN70" i="8"/>
  <c r="IO70" i="8"/>
  <c r="IP70" i="8"/>
  <c r="IQ70" i="8"/>
  <c r="IR70" i="8"/>
  <c r="IS70" i="8"/>
  <c r="IT70" i="8"/>
  <c r="IU70" i="8"/>
  <c r="IV70" i="8"/>
  <c r="A71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Y71" i="8"/>
  <c r="AZ71" i="8"/>
  <c r="BA71" i="8"/>
  <c r="BB71" i="8"/>
  <c r="BC71" i="8"/>
  <c r="BD71" i="8"/>
  <c r="BE71" i="8"/>
  <c r="BF71" i="8"/>
  <c r="BG71" i="8"/>
  <c r="BH71" i="8"/>
  <c r="BI71" i="8"/>
  <c r="BJ71" i="8"/>
  <c r="BK71" i="8"/>
  <c r="BL71" i="8"/>
  <c r="BM71" i="8"/>
  <c r="BN71" i="8"/>
  <c r="BO71" i="8"/>
  <c r="BP71" i="8"/>
  <c r="BQ71" i="8"/>
  <c r="BR71" i="8"/>
  <c r="BS71" i="8"/>
  <c r="BT71" i="8"/>
  <c r="BU71" i="8"/>
  <c r="BV71" i="8"/>
  <c r="BW71" i="8"/>
  <c r="BX71" i="8"/>
  <c r="BY71" i="8"/>
  <c r="BZ71" i="8"/>
  <c r="CA71" i="8"/>
  <c r="CB71" i="8"/>
  <c r="CC71" i="8"/>
  <c r="CD71" i="8"/>
  <c r="CE71" i="8"/>
  <c r="CF71" i="8"/>
  <c r="CG71" i="8"/>
  <c r="CH71" i="8"/>
  <c r="CI71" i="8"/>
  <c r="CJ71" i="8"/>
  <c r="CK71" i="8"/>
  <c r="CL71" i="8"/>
  <c r="CM71" i="8"/>
  <c r="CN71" i="8"/>
  <c r="CO71" i="8"/>
  <c r="CP71" i="8"/>
  <c r="CQ71" i="8"/>
  <c r="CR71" i="8"/>
  <c r="CS71" i="8"/>
  <c r="CT71" i="8"/>
  <c r="CU71" i="8"/>
  <c r="CV71" i="8"/>
  <c r="CW71" i="8"/>
  <c r="CX71" i="8"/>
  <c r="CY71" i="8"/>
  <c r="CZ71" i="8"/>
  <c r="DA71" i="8"/>
  <c r="DB71" i="8"/>
  <c r="DC71" i="8"/>
  <c r="DD71" i="8"/>
  <c r="DE71" i="8"/>
  <c r="DF71" i="8"/>
  <c r="DG71" i="8"/>
  <c r="DH71" i="8"/>
  <c r="DI71" i="8"/>
  <c r="DJ71" i="8"/>
  <c r="DK71" i="8"/>
  <c r="DL71" i="8"/>
  <c r="DM71" i="8"/>
  <c r="DN71" i="8"/>
  <c r="DO71" i="8"/>
  <c r="DP71" i="8"/>
  <c r="DQ71" i="8"/>
  <c r="DR71" i="8"/>
  <c r="DS71" i="8"/>
  <c r="DT71" i="8"/>
  <c r="DU71" i="8"/>
  <c r="DV71" i="8"/>
  <c r="DW71" i="8"/>
  <c r="DX71" i="8"/>
  <c r="DY71" i="8"/>
  <c r="DZ71" i="8"/>
  <c r="EA71" i="8"/>
  <c r="EB71" i="8"/>
  <c r="EC71" i="8"/>
  <c r="ED71" i="8"/>
  <c r="EE71" i="8"/>
  <c r="EF71" i="8"/>
  <c r="EG71" i="8"/>
  <c r="EH71" i="8"/>
  <c r="EI71" i="8"/>
  <c r="EJ71" i="8"/>
  <c r="EK71" i="8"/>
  <c r="EL71" i="8"/>
  <c r="EM71" i="8"/>
  <c r="EN71" i="8"/>
  <c r="EO71" i="8"/>
  <c r="EP71" i="8"/>
  <c r="EQ71" i="8"/>
  <c r="ER71" i="8"/>
  <c r="ES71" i="8"/>
  <c r="ET71" i="8"/>
  <c r="EU71" i="8"/>
  <c r="EV71" i="8"/>
  <c r="EW71" i="8"/>
  <c r="EX71" i="8"/>
  <c r="EY71" i="8"/>
  <c r="EZ71" i="8"/>
  <c r="FA71" i="8"/>
  <c r="FB71" i="8"/>
  <c r="FC71" i="8"/>
  <c r="FD71" i="8"/>
  <c r="FE71" i="8"/>
  <c r="FF71" i="8"/>
  <c r="FG71" i="8"/>
  <c r="FH71" i="8"/>
  <c r="FI71" i="8"/>
  <c r="FJ71" i="8"/>
  <c r="FK71" i="8"/>
  <c r="FL71" i="8"/>
  <c r="FM71" i="8"/>
  <c r="FN71" i="8"/>
  <c r="FO71" i="8"/>
  <c r="FP71" i="8"/>
  <c r="FQ71" i="8"/>
  <c r="FR71" i="8"/>
  <c r="FS71" i="8"/>
  <c r="FT71" i="8"/>
  <c r="FU71" i="8"/>
  <c r="FV71" i="8"/>
  <c r="FW71" i="8"/>
  <c r="FX71" i="8"/>
  <c r="FY71" i="8"/>
  <c r="FZ71" i="8"/>
  <c r="GA71" i="8"/>
  <c r="GB71" i="8"/>
  <c r="GC71" i="8"/>
  <c r="GD71" i="8"/>
  <c r="GE71" i="8"/>
  <c r="GF71" i="8"/>
  <c r="GG71" i="8"/>
  <c r="GH71" i="8"/>
  <c r="GI71" i="8"/>
  <c r="GJ71" i="8"/>
  <c r="GK71" i="8"/>
  <c r="GL71" i="8"/>
  <c r="GM71" i="8"/>
  <c r="GN71" i="8"/>
  <c r="GO71" i="8"/>
  <c r="GP71" i="8"/>
  <c r="GQ71" i="8"/>
  <c r="GR71" i="8"/>
  <c r="GS71" i="8"/>
  <c r="GT71" i="8"/>
  <c r="GU71" i="8"/>
  <c r="GV71" i="8"/>
  <c r="GW71" i="8"/>
  <c r="GX71" i="8"/>
  <c r="GY71" i="8"/>
  <c r="GZ71" i="8"/>
  <c r="HA71" i="8"/>
  <c r="HB71" i="8"/>
  <c r="HC71" i="8"/>
  <c r="HD71" i="8"/>
  <c r="HE71" i="8"/>
  <c r="HF71" i="8"/>
  <c r="HG71" i="8"/>
  <c r="HH71" i="8"/>
  <c r="HI71" i="8"/>
  <c r="HJ71" i="8"/>
  <c r="HK71" i="8"/>
  <c r="HL71" i="8"/>
  <c r="HM71" i="8"/>
  <c r="HN71" i="8"/>
  <c r="HO71" i="8"/>
  <c r="HP71" i="8"/>
  <c r="HQ71" i="8"/>
  <c r="HR71" i="8"/>
  <c r="HS71" i="8"/>
  <c r="HT71" i="8"/>
  <c r="HU71" i="8"/>
  <c r="HV71" i="8"/>
  <c r="HW71" i="8"/>
  <c r="HX71" i="8"/>
  <c r="HY71" i="8"/>
  <c r="HZ71" i="8"/>
  <c r="IA71" i="8"/>
  <c r="IB71" i="8"/>
  <c r="IC71" i="8"/>
  <c r="ID71" i="8"/>
  <c r="IE71" i="8"/>
  <c r="IF71" i="8"/>
  <c r="IG71" i="8"/>
  <c r="IH71" i="8"/>
  <c r="II71" i="8"/>
  <c r="IJ71" i="8"/>
  <c r="IK71" i="8"/>
  <c r="IL71" i="8"/>
  <c r="IM71" i="8"/>
  <c r="IN71" i="8"/>
  <c r="IO71" i="8"/>
  <c r="IP71" i="8"/>
  <c r="IQ71" i="8"/>
  <c r="IR71" i="8"/>
  <c r="IS71" i="8"/>
  <c r="IT71" i="8"/>
  <c r="IU71" i="8"/>
  <c r="IV71" i="8"/>
  <c r="A72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M72" i="8"/>
  <c r="AN72" i="8"/>
  <c r="AO72" i="8"/>
  <c r="AP72" i="8"/>
  <c r="AQ72" i="8"/>
  <c r="AR72" i="8"/>
  <c r="AS72" i="8"/>
  <c r="AT72" i="8"/>
  <c r="AU72" i="8"/>
  <c r="AV72" i="8"/>
  <c r="AW72" i="8"/>
  <c r="AX72" i="8"/>
  <c r="AY72" i="8"/>
  <c r="AZ72" i="8"/>
  <c r="BA72" i="8"/>
  <c r="BB72" i="8"/>
  <c r="BC72" i="8"/>
  <c r="BD72" i="8"/>
  <c r="BE72" i="8"/>
  <c r="BF72" i="8"/>
  <c r="BG72" i="8"/>
  <c r="BH72" i="8"/>
  <c r="BI72" i="8"/>
  <c r="BJ72" i="8"/>
  <c r="BK72" i="8"/>
  <c r="BL72" i="8"/>
  <c r="BM72" i="8"/>
  <c r="BN72" i="8"/>
  <c r="BO72" i="8"/>
  <c r="BP72" i="8"/>
  <c r="BQ72" i="8"/>
  <c r="BR72" i="8"/>
  <c r="BS72" i="8"/>
  <c r="BT72" i="8"/>
  <c r="BU72" i="8"/>
  <c r="BV72" i="8"/>
  <c r="BW72" i="8"/>
  <c r="BX72" i="8"/>
  <c r="BY72" i="8"/>
  <c r="BZ72" i="8"/>
  <c r="CA72" i="8"/>
  <c r="CB72" i="8"/>
  <c r="CC72" i="8"/>
  <c r="CD72" i="8"/>
  <c r="CE72" i="8"/>
  <c r="CF72" i="8"/>
  <c r="CG72" i="8"/>
  <c r="CH72" i="8"/>
  <c r="CI72" i="8"/>
  <c r="CJ72" i="8"/>
  <c r="CK72" i="8"/>
  <c r="CL72" i="8"/>
  <c r="CM72" i="8"/>
  <c r="CN72" i="8"/>
  <c r="CO72" i="8"/>
  <c r="CP72" i="8"/>
  <c r="CQ72" i="8"/>
  <c r="CR72" i="8"/>
  <c r="CS72" i="8"/>
  <c r="CT72" i="8"/>
  <c r="CU72" i="8"/>
  <c r="CV72" i="8"/>
  <c r="CW72" i="8"/>
  <c r="CX72" i="8"/>
  <c r="CY72" i="8"/>
  <c r="CZ72" i="8"/>
  <c r="DA72" i="8"/>
  <c r="DB72" i="8"/>
  <c r="DC72" i="8"/>
  <c r="DD72" i="8"/>
  <c r="DE72" i="8"/>
  <c r="DF72" i="8"/>
  <c r="DG72" i="8"/>
  <c r="DH72" i="8"/>
  <c r="DI72" i="8"/>
  <c r="DJ72" i="8"/>
  <c r="DK72" i="8"/>
  <c r="DL72" i="8"/>
  <c r="DM72" i="8"/>
  <c r="DN72" i="8"/>
  <c r="DO72" i="8"/>
  <c r="DP72" i="8"/>
  <c r="DQ72" i="8"/>
  <c r="DR72" i="8"/>
  <c r="DS72" i="8"/>
  <c r="DT72" i="8"/>
  <c r="DU72" i="8"/>
  <c r="DV72" i="8"/>
  <c r="DW72" i="8"/>
  <c r="DX72" i="8"/>
  <c r="DY72" i="8"/>
  <c r="DZ72" i="8"/>
  <c r="EA72" i="8"/>
  <c r="EB72" i="8"/>
  <c r="EC72" i="8"/>
  <c r="ED72" i="8"/>
  <c r="EE72" i="8"/>
  <c r="EF72" i="8"/>
  <c r="EG72" i="8"/>
  <c r="EH72" i="8"/>
  <c r="EI72" i="8"/>
  <c r="EJ72" i="8"/>
  <c r="EK72" i="8"/>
  <c r="EL72" i="8"/>
  <c r="EM72" i="8"/>
  <c r="EN72" i="8"/>
  <c r="EO72" i="8"/>
  <c r="EP72" i="8"/>
  <c r="EQ72" i="8"/>
  <c r="ER72" i="8"/>
  <c r="ES72" i="8"/>
  <c r="ET72" i="8"/>
  <c r="EU72" i="8"/>
  <c r="EV72" i="8"/>
  <c r="EW72" i="8"/>
  <c r="EX72" i="8"/>
  <c r="EY72" i="8"/>
  <c r="EZ72" i="8"/>
  <c r="FA72" i="8"/>
  <c r="FB72" i="8"/>
  <c r="FC72" i="8"/>
  <c r="FD72" i="8"/>
  <c r="FE72" i="8"/>
  <c r="FF72" i="8"/>
  <c r="FG72" i="8"/>
  <c r="FH72" i="8"/>
  <c r="FI72" i="8"/>
  <c r="FJ72" i="8"/>
  <c r="FK72" i="8"/>
  <c r="FL72" i="8"/>
  <c r="FM72" i="8"/>
  <c r="FN72" i="8"/>
  <c r="FO72" i="8"/>
  <c r="FP72" i="8"/>
  <c r="FQ72" i="8"/>
  <c r="FR72" i="8"/>
  <c r="FS72" i="8"/>
  <c r="FT72" i="8"/>
  <c r="FU72" i="8"/>
  <c r="FV72" i="8"/>
  <c r="FW72" i="8"/>
  <c r="FX72" i="8"/>
  <c r="FY72" i="8"/>
  <c r="FZ72" i="8"/>
  <c r="GA72" i="8"/>
  <c r="GB72" i="8"/>
  <c r="GC72" i="8"/>
  <c r="GD72" i="8"/>
  <c r="GE72" i="8"/>
  <c r="GF72" i="8"/>
  <c r="GG72" i="8"/>
  <c r="GH72" i="8"/>
  <c r="GI72" i="8"/>
  <c r="GJ72" i="8"/>
  <c r="GK72" i="8"/>
  <c r="GL72" i="8"/>
  <c r="GM72" i="8"/>
  <c r="GN72" i="8"/>
  <c r="GO72" i="8"/>
  <c r="GP72" i="8"/>
  <c r="GQ72" i="8"/>
  <c r="GR72" i="8"/>
  <c r="GS72" i="8"/>
  <c r="GT72" i="8"/>
  <c r="GU72" i="8"/>
  <c r="GV72" i="8"/>
  <c r="GW72" i="8"/>
  <c r="GX72" i="8"/>
  <c r="GY72" i="8"/>
  <c r="GZ72" i="8"/>
  <c r="HA72" i="8"/>
  <c r="HB72" i="8"/>
  <c r="HC72" i="8"/>
  <c r="HD72" i="8"/>
  <c r="HE72" i="8"/>
  <c r="HF72" i="8"/>
  <c r="HG72" i="8"/>
  <c r="HH72" i="8"/>
  <c r="HI72" i="8"/>
  <c r="HJ72" i="8"/>
  <c r="HK72" i="8"/>
  <c r="HL72" i="8"/>
  <c r="HM72" i="8"/>
  <c r="HN72" i="8"/>
  <c r="HO72" i="8"/>
  <c r="HP72" i="8"/>
  <c r="HQ72" i="8"/>
  <c r="HR72" i="8"/>
  <c r="HS72" i="8"/>
  <c r="HT72" i="8"/>
  <c r="HU72" i="8"/>
  <c r="HV72" i="8"/>
  <c r="HW72" i="8"/>
  <c r="HX72" i="8"/>
  <c r="HY72" i="8"/>
  <c r="HZ72" i="8"/>
  <c r="IA72" i="8"/>
  <c r="IB72" i="8"/>
  <c r="IC72" i="8"/>
  <c r="ID72" i="8"/>
  <c r="IE72" i="8"/>
  <c r="IF72" i="8"/>
  <c r="IG72" i="8"/>
  <c r="IH72" i="8"/>
  <c r="II72" i="8"/>
  <c r="IJ72" i="8"/>
  <c r="IK72" i="8"/>
  <c r="IL72" i="8"/>
  <c r="IM72" i="8"/>
  <c r="IN72" i="8"/>
  <c r="IO72" i="8"/>
  <c r="IP72" i="8"/>
  <c r="IQ72" i="8"/>
  <c r="IR72" i="8"/>
  <c r="IS72" i="8"/>
  <c r="IT72" i="8"/>
  <c r="IU72" i="8"/>
  <c r="IV72" i="8"/>
  <c r="A73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K73" i="8"/>
  <c r="BL73" i="8"/>
  <c r="BM73" i="8"/>
  <c r="BN73" i="8"/>
  <c r="BO73" i="8"/>
  <c r="BP73" i="8"/>
  <c r="BQ73" i="8"/>
  <c r="BR73" i="8"/>
  <c r="BS73" i="8"/>
  <c r="BT73" i="8"/>
  <c r="BU73" i="8"/>
  <c r="BV73" i="8"/>
  <c r="BW73" i="8"/>
  <c r="BX73" i="8"/>
  <c r="BY73" i="8"/>
  <c r="BZ73" i="8"/>
  <c r="CA73" i="8"/>
  <c r="CB73" i="8"/>
  <c r="CC73" i="8"/>
  <c r="CD73" i="8"/>
  <c r="CE73" i="8"/>
  <c r="CF73" i="8"/>
  <c r="CG73" i="8"/>
  <c r="CH73" i="8"/>
  <c r="CI73" i="8"/>
  <c r="CJ73" i="8"/>
  <c r="CK73" i="8"/>
  <c r="CL73" i="8"/>
  <c r="CM73" i="8"/>
  <c r="CN73" i="8"/>
  <c r="CO73" i="8"/>
  <c r="CP73" i="8"/>
  <c r="CQ73" i="8"/>
  <c r="CR73" i="8"/>
  <c r="CS73" i="8"/>
  <c r="CT73" i="8"/>
  <c r="CU73" i="8"/>
  <c r="CV73" i="8"/>
  <c r="CW73" i="8"/>
  <c r="CX73" i="8"/>
  <c r="CY73" i="8"/>
  <c r="CZ73" i="8"/>
  <c r="DA73" i="8"/>
  <c r="DB73" i="8"/>
  <c r="DC73" i="8"/>
  <c r="DD73" i="8"/>
  <c r="DE73" i="8"/>
  <c r="DF73" i="8"/>
  <c r="DG73" i="8"/>
  <c r="DH73" i="8"/>
  <c r="DI73" i="8"/>
  <c r="DJ73" i="8"/>
  <c r="DK73" i="8"/>
  <c r="DL73" i="8"/>
  <c r="DM73" i="8"/>
  <c r="DN73" i="8"/>
  <c r="DO73" i="8"/>
  <c r="DP73" i="8"/>
  <c r="DQ73" i="8"/>
  <c r="DR73" i="8"/>
  <c r="DS73" i="8"/>
  <c r="DT73" i="8"/>
  <c r="DU73" i="8"/>
  <c r="DV73" i="8"/>
  <c r="DW73" i="8"/>
  <c r="DX73" i="8"/>
  <c r="DY73" i="8"/>
  <c r="DZ73" i="8"/>
  <c r="EA73" i="8"/>
  <c r="EB73" i="8"/>
  <c r="EC73" i="8"/>
  <c r="ED73" i="8"/>
  <c r="EE73" i="8"/>
  <c r="EF73" i="8"/>
  <c r="EG73" i="8"/>
  <c r="EH73" i="8"/>
  <c r="EI73" i="8"/>
  <c r="EJ73" i="8"/>
  <c r="EK73" i="8"/>
  <c r="EL73" i="8"/>
  <c r="EM73" i="8"/>
  <c r="EN73" i="8"/>
  <c r="EO73" i="8"/>
  <c r="EP73" i="8"/>
  <c r="EQ73" i="8"/>
  <c r="ER73" i="8"/>
  <c r="ES73" i="8"/>
  <c r="ET73" i="8"/>
  <c r="EU73" i="8"/>
  <c r="EV73" i="8"/>
  <c r="EW73" i="8"/>
  <c r="EX73" i="8"/>
  <c r="EY73" i="8"/>
  <c r="EZ73" i="8"/>
  <c r="FA73" i="8"/>
  <c r="FB73" i="8"/>
  <c r="FC73" i="8"/>
  <c r="FD73" i="8"/>
  <c r="FE73" i="8"/>
  <c r="FF73" i="8"/>
  <c r="FG73" i="8"/>
  <c r="FH73" i="8"/>
  <c r="FI73" i="8"/>
  <c r="FJ73" i="8"/>
  <c r="FK73" i="8"/>
  <c r="FL73" i="8"/>
  <c r="FM73" i="8"/>
  <c r="FN73" i="8"/>
  <c r="FO73" i="8"/>
  <c r="FP73" i="8"/>
  <c r="FQ73" i="8"/>
  <c r="FR73" i="8"/>
  <c r="FS73" i="8"/>
  <c r="FT73" i="8"/>
  <c r="FU73" i="8"/>
  <c r="FV73" i="8"/>
  <c r="FW73" i="8"/>
  <c r="FX73" i="8"/>
  <c r="FY73" i="8"/>
  <c r="FZ73" i="8"/>
  <c r="GA73" i="8"/>
  <c r="GB73" i="8"/>
  <c r="GC73" i="8"/>
  <c r="GD73" i="8"/>
  <c r="GE73" i="8"/>
  <c r="GF73" i="8"/>
  <c r="GG73" i="8"/>
  <c r="GH73" i="8"/>
  <c r="GI73" i="8"/>
  <c r="GJ73" i="8"/>
  <c r="GK73" i="8"/>
  <c r="GL73" i="8"/>
  <c r="GM73" i="8"/>
  <c r="GN73" i="8"/>
  <c r="GO73" i="8"/>
  <c r="GP73" i="8"/>
  <c r="GQ73" i="8"/>
  <c r="GR73" i="8"/>
  <c r="GS73" i="8"/>
  <c r="GT73" i="8"/>
  <c r="GU73" i="8"/>
  <c r="GV73" i="8"/>
  <c r="GW73" i="8"/>
  <c r="GX73" i="8"/>
  <c r="GY73" i="8"/>
  <c r="GZ73" i="8"/>
  <c r="HA73" i="8"/>
  <c r="HB73" i="8"/>
  <c r="HC73" i="8"/>
  <c r="HD73" i="8"/>
  <c r="HE73" i="8"/>
  <c r="HF73" i="8"/>
  <c r="HG73" i="8"/>
  <c r="HH73" i="8"/>
  <c r="HI73" i="8"/>
  <c r="HJ73" i="8"/>
  <c r="HK73" i="8"/>
  <c r="HL73" i="8"/>
  <c r="HM73" i="8"/>
  <c r="HN73" i="8"/>
  <c r="HO73" i="8"/>
  <c r="HP73" i="8"/>
  <c r="HQ73" i="8"/>
  <c r="HR73" i="8"/>
  <c r="HS73" i="8"/>
  <c r="HT73" i="8"/>
  <c r="HU73" i="8"/>
  <c r="HV73" i="8"/>
  <c r="HW73" i="8"/>
  <c r="HX73" i="8"/>
  <c r="HY73" i="8"/>
  <c r="HZ73" i="8"/>
  <c r="IA73" i="8"/>
  <c r="IB73" i="8"/>
  <c r="IC73" i="8"/>
  <c r="ID73" i="8"/>
  <c r="IE73" i="8"/>
  <c r="IF73" i="8"/>
  <c r="IG73" i="8"/>
  <c r="IH73" i="8"/>
  <c r="II73" i="8"/>
  <c r="IJ73" i="8"/>
  <c r="IK73" i="8"/>
  <c r="IL73" i="8"/>
  <c r="IM73" i="8"/>
  <c r="IN73" i="8"/>
  <c r="IO73" i="8"/>
  <c r="IP73" i="8"/>
  <c r="IQ73" i="8"/>
  <c r="IR73" i="8"/>
  <c r="IS73" i="8"/>
  <c r="IT73" i="8"/>
  <c r="IU73" i="8"/>
  <c r="IV73" i="8"/>
  <c r="A74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AV74" i="8"/>
  <c r="AW74" i="8"/>
  <c r="AX74" i="8"/>
  <c r="AY74" i="8"/>
  <c r="AZ74" i="8"/>
  <c r="BA74" i="8"/>
  <c r="BB74" i="8"/>
  <c r="BC74" i="8"/>
  <c r="BD74" i="8"/>
  <c r="BE74" i="8"/>
  <c r="BF74" i="8"/>
  <c r="BG74" i="8"/>
  <c r="BH74" i="8"/>
  <c r="BI74" i="8"/>
  <c r="BJ74" i="8"/>
  <c r="BK74" i="8"/>
  <c r="BL74" i="8"/>
  <c r="BM74" i="8"/>
  <c r="BN74" i="8"/>
  <c r="BO74" i="8"/>
  <c r="BP74" i="8"/>
  <c r="BQ74" i="8"/>
  <c r="BR74" i="8"/>
  <c r="BS74" i="8"/>
  <c r="BT74" i="8"/>
  <c r="BU74" i="8"/>
  <c r="BV74" i="8"/>
  <c r="BW74" i="8"/>
  <c r="BX74" i="8"/>
  <c r="BY74" i="8"/>
  <c r="BZ74" i="8"/>
  <c r="CA74" i="8"/>
  <c r="CB74" i="8"/>
  <c r="CC74" i="8"/>
  <c r="CD74" i="8"/>
  <c r="CE74" i="8"/>
  <c r="CF74" i="8"/>
  <c r="CG74" i="8"/>
  <c r="CH74" i="8"/>
  <c r="CI74" i="8"/>
  <c r="CJ74" i="8"/>
  <c r="CK74" i="8"/>
  <c r="CL74" i="8"/>
  <c r="CM74" i="8"/>
  <c r="CN74" i="8"/>
  <c r="CO74" i="8"/>
  <c r="CP74" i="8"/>
  <c r="CQ74" i="8"/>
  <c r="CR74" i="8"/>
  <c r="CS74" i="8"/>
  <c r="CT74" i="8"/>
  <c r="CU74" i="8"/>
  <c r="CV74" i="8"/>
  <c r="CW74" i="8"/>
  <c r="CX74" i="8"/>
  <c r="CY74" i="8"/>
  <c r="CZ74" i="8"/>
  <c r="DA74" i="8"/>
  <c r="DB74" i="8"/>
  <c r="DC74" i="8"/>
  <c r="DD74" i="8"/>
  <c r="DE74" i="8"/>
  <c r="DF74" i="8"/>
  <c r="DG74" i="8"/>
  <c r="DH74" i="8"/>
  <c r="DI74" i="8"/>
  <c r="DJ74" i="8"/>
  <c r="DK74" i="8"/>
  <c r="DL74" i="8"/>
  <c r="DM74" i="8"/>
  <c r="DN74" i="8"/>
  <c r="DO74" i="8"/>
  <c r="DP74" i="8"/>
  <c r="DQ74" i="8"/>
  <c r="DR74" i="8"/>
  <c r="DS74" i="8"/>
  <c r="DT74" i="8"/>
  <c r="DU74" i="8"/>
  <c r="DV74" i="8"/>
  <c r="DW74" i="8"/>
  <c r="DX74" i="8"/>
  <c r="DY74" i="8"/>
  <c r="DZ74" i="8"/>
  <c r="EA74" i="8"/>
  <c r="EB74" i="8"/>
  <c r="EC74" i="8"/>
  <c r="ED74" i="8"/>
  <c r="EE74" i="8"/>
  <c r="EF74" i="8"/>
  <c r="EG74" i="8"/>
  <c r="EH74" i="8"/>
  <c r="EI74" i="8"/>
  <c r="EJ74" i="8"/>
  <c r="EK74" i="8"/>
  <c r="EL74" i="8"/>
  <c r="EM74" i="8"/>
  <c r="EN74" i="8"/>
  <c r="EO74" i="8"/>
  <c r="EP74" i="8"/>
  <c r="EQ74" i="8"/>
  <c r="ER74" i="8"/>
  <c r="ES74" i="8"/>
  <c r="ET74" i="8"/>
  <c r="EU74" i="8"/>
  <c r="EV74" i="8"/>
  <c r="EW74" i="8"/>
  <c r="EX74" i="8"/>
  <c r="EY74" i="8"/>
  <c r="EZ74" i="8"/>
  <c r="FA74" i="8"/>
  <c r="FB74" i="8"/>
  <c r="FC74" i="8"/>
  <c r="FD74" i="8"/>
  <c r="FE74" i="8"/>
  <c r="FF74" i="8"/>
  <c r="FG74" i="8"/>
  <c r="FH74" i="8"/>
  <c r="FI74" i="8"/>
  <c r="FJ74" i="8"/>
  <c r="FK74" i="8"/>
  <c r="FL74" i="8"/>
  <c r="FM74" i="8"/>
  <c r="FN74" i="8"/>
  <c r="FO74" i="8"/>
  <c r="FP74" i="8"/>
  <c r="FQ74" i="8"/>
  <c r="FR74" i="8"/>
  <c r="FS74" i="8"/>
  <c r="FT74" i="8"/>
  <c r="FU74" i="8"/>
  <c r="FV74" i="8"/>
  <c r="FW74" i="8"/>
  <c r="FX74" i="8"/>
  <c r="FY74" i="8"/>
  <c r="FZ74" i="8"/>
  <c r="GA74" i="8"/>
  <c r="GB74" i="8"/>
  <c r="GC74" i="8"/>
  <c r="GD74" i="8"/>
  <c r="GE74" i="8"/>
  <c r="GF74" i="8"/>
  <c r="GG74" i="8"/>
  <c r="GH74" i="8"/>
  <c r="GI74" i="8"/>
  <c r="GJ74" i="8"/>
  <c r="GK74" i="8"/>
  <c r="GL74" i="8"/>
  <c r="GM74" i="8"/>
  <c r="GN74" i="8"/>
  <c r="GO74" i="8"/>
  <c r="GP74" i="8"/>
  <c r="GQ74" i="8"/>
  <c r="GR74" i="8"/>
  <c r="GS74" i="8"/>
  <c r="GT74" i="8"/>
  <c r="GU74" i="8"/>
  <c r="GV74" i="8"/>
  <c r="GW74" i="8"/>
  <c r="GX74" i="8"/>
  <c r="GY74" i="8"/>
  <c r="GZ74" i="8"/>
  <c r="HA74" i="8"/>
  <c r="HB74" i="8"/>
  <c r="HC74" i="8"/>
  <c r="HD74" i="8"/>
  <c r="HE74" i="8"/>
  <c r="HF74" i="8"/>
  <c r="HG74" i="8"/>
  <c r="HH74" i="8"/>
  <c r="HI74" i="8"/>
  <c r="HJ74" i="8"/>
  <c r="HK74" i="8"/>
  <c r="HL74" i="8"/>
  <c r="HM74" i="8"/>
  <c r="HN74" i="8"/>
  <c r="HO74" i="8"/>
  <c r="HP74" i="8"/>
  <c r="HQ74" i="8"/>
  <c r="HR74" i="8"/>
  <c r="HS74" i="8"/>
  <c r="HT74" i="8"/>
  <c r="HU74" i="8"/>
  <c r="HV74" i="8"/>
  <c r="HW74" i="8"/>
  <c r="HX74" i="8"/>
  <c r="HY74" i="8"/>
  <c r="HZ74" i="8"/>
  <c r="IA74" i="8"/>
  <c r="IB74" i="8"/>
  <c r="IC74" i="8"/>
  <c r="ID74" i="8"/>
  <c r="IE74" i="8"/>
  <c r="IF74" i="8"/>
  <c r="IG74" i="8"/>
  <c r="IH74" i="8"/>
  <c r="II74" i="8"/>
  <c r="IJ74" i="8"/>
  <c r="IK74" i="8"/>
  <c r="IL74" i="8"/>
  <c r="IM74" i="8"/>
  <c r="IN74" i="8"/>
  <c r="IO74" i="8"/>
  <c r="IP74" i="8"/>
  <c r="IQ74" i="8"/>
  <c r="IR74" i="8"/>
  <c r="IS74" i="8"/>
  <c r="IT74" i="8"/>
  <c r="IU74" i="8"/>
  <c r="IV74" i="8"/>
  <c r="A75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Z75" i="8"/>
  <c r="AA75" i="8"/>
  <c r="AB75" i="8"/>
  <c r="AC75" i="8"/>
  <c r="AD75" i="8"/>
  <c r="AE75" i="8"/>
  <c r="AF75" i="8"/>
  <c r="AG75" i="8"/>
  <c r="AH75" i="8"/>
  <c r="AI75" i="8"/>
  <c r="AJ75" i="8"/>
  <c r="AK75" i="8"/>
  <c r="AL75" i="8"/>
  <c r="AM75" i="8"/>
  <c r="AN75" i="8"/>
  <c r="AO75" i="8"/>
  <c r="AP75" i="8"/>
  <c r="AQ75" i="8"/>
  <c r="AR75" i="8"/>
  <c r="AS75" i="8"/>
  <c r="AT75" i="8"/>
  <c r="AU75" i="8"/>
  <c r="AV75" i="8"/>
  <c r="AW75" i="8"/>
  <c r="AX75" i="8"/>
  <c r="AY75" i="8"/>
  <c r="AZ75" i="8"/>
  <c r="BA75" i="8"/>
  <c r="BB75" i="8"/>
  <c r="BC75" i="8"/>
  <c r="BD75" i="8"/>
  <c r="BE75" i="8"/>
  <c r="BF75" i="8"/>
  <c r="BG75" i="8"/>
  <c r="BH75" i="8"/>
  <c r="BI75" i="8"/>
  <c r="BJ75" i="8"/>
  <c r="BK75" i="8"/>
  <c r="BL75" i="8"/>
  <c r="BM75" i="8"/>
  <c r="BN75" i="8"/>
  <c r="BO75" i="8"/>
  <c r="BP75" i="8"/>
  <c r="BQ75" i="8"/>
  <c r="BR75" i="8"/>
  <c r="BS75" i="8"/>
  <c r="BT75" i="8"/>
  <c r="BU75" i="8"/>
  <c r="BV75" i="8"/>
  <c r="BW75" i="8"/>
  <c r="BX75" i="8"/>
  <c r="BY75" i="8"/>
  <c r="BZ75" i="8"/>
  <c r="CA75" i="8"/>
  <c r="CB75" i="8"/>
  <c r="CC75" i="8"/>
  <c r="CD75" i="8"/>
  <c r="CE75" i="8"/>
  <c r="CF75" i="8"/>
  <c r="CG75" i="8"/>
  <c r="CH75" i="8"/>
  <c r="CI75" i="8"/>
  <c r="CJ75" i="8"/>
  <c r="CK75" i="8"/>
  <c r="CL75" i="8"/>
  <c r="CM75" i="8"/>
  <c r="CN75" i="8"/>
  <c r="CO75" i="8"/>
  <c r="CP75" i="8"/>
  <c r="CQ75" i="8"/>
  <c r="CR75" i="8"/>
  <c r="CS75" i="8"/>
  <c r="CT75" i="8"/>
  <c r="CU75" i="8"/>
  <c r="CV75" i="8"/>
  <c r="CW75" i="8"/>
  <c r="CX75" i="8"/>
  <c r="CY75" i="8"/>
  <c r="CZ75" i="8"/>
  <c r="DA75" i="8"/>
  <c r="DB75" i="8"/>
  <c r="DC75" i="8"/>
  <c r="DD75" i="8"/>
  <c r="DE75" i="8"/>
  <c r="DF75" i="8"/>
  <c r="DG75" i="8"/>
  <c r="DH75" i="8"/>
  <c r="DI75" i="8"/>
  <c r="DJ75" i="8"/>
  <c r="DK75" i="8"/>
  <c r="DL75" i="8"/>
  <c r="DM75" i="8"/>
  <c r="DN75" i="8"/>
  <c r="DO75" i="8"/>
  <c r="DP75" i="8"/>
  <c r="DQ75" i="8"/>
  <c r="DR75" i="8"/>
  <c r="DS75" i="8"/>
  <c r="DT75" i="8"/>
  <c r="DU75" i="8"/>
  <c r="DV75" i="8"/>
  <c r="DW75" i="8"/>
  <c r="DX75" i="8"/>
  <c r="DY75" i="8"/>
  <c r="DZ75" i="8"/>
  <c r="EA75" i="8"/>
  <c r="EB75" i="8"/>
  <c r="EC75" i="8"/>
  <c r="ED75" i="8"/>
  <c r="EE75" i="8"/>
  <c r="EF75" i="8"/>
  <c r="EG75" i="8"/>
  <c r="EH75" i="8"/>
  <c r="EI75" i="8"/>
  <c r="EJ75" i="8"/>
  <c r="EK75" i="8"/>
  <c r="EL75" i="8"/>
  <c r="EM75" i="8"/>
  <c r="EN75" i="8"/>
  <c r="EO75" i="8"/>
  <c r="EP75" i="8"/>
  <c r="EQ75" i="8"/>
  <c r="ER75" i="8"/>
  <c r="ES75" i="8"/>
  <c r="ET75" i="8"/>
  <c r="EU75" i="8"/>
  <c r="EV75" i="8"/>
  <c r="EW75" i="8"/>
  <c r="EX75" i="8"/>
  <c r="EY75" i="8"/>
  <c r="EZ75" i="8"/>
  <c r="FA75" i="8"/>
  <c r="FB75" i="8"/>
  <c r="FC75" i="8"/>
  <c r="FD75" i="8"/>
  <c r="FE75" i="8"/>
  <c r="FF75" i="8"/>
  <c r="FG75" i="8"/>
  <c r="FH75" i="8"/>
  <c r="FI75" i="8"/>
  <c r="FJ75" i="8"/>
  <c r="FK75" i="8"/>
  <c r="FL75" i="8"/>
  <c r="FM75" i="8"/>
  <c r="FN75" i="8"/>
  <c r="FO75" i="8"/>
  <c r="FP75" i="8"/>
  <c r="FQ75" i="8"/>
  <c r="FR75" i="8"/>
  <c r="FS75" i="8"/>
  <c r="FT75" i="8"/>
  <c r="FU75" i="8"/>
  <c r="FV75" i="8"/>
  <c r="FW75" i="8"/>
  <c r="FX75" i="8"/>
  <c r="FY75" i="8"/>
  <c r="FZ75" i="8"/>
  <c r="GA75" i="8"/>
  <c r="GB75" i="8"/>
  <c r="GC75" i="8"/>
  <c r="GD75" i="8"/>
  <c r="GE75" i="8"/>
  <c r="GF75" i="8"/>
  <c r="GG75" i="8"/>
  <c r="GH75" i="8"/>
  <c r="GI75" i="8"/>
  <c r="GJ75" i="8"/>
  <c r="GK75" i="8"/>
  <c r="GL75" i="8"/>
  <c r="GM75" i="8"/>
  <c r="GN75" i="8"/>
  <c r="GO75" i="8"/>
  <c r="GP75" i="8"/>
  <c r="GQ75" i="8"/>
  <c r="GR75" i="8"/>
  <c r="GS75" i="8"/>
  <c r="GT75" i="8"/>
  <c r="GU75" i="8"/>
  <c r="GV75" i="8"/>
  <c r="GW75" i="8"/>
  <c r="GX75" i="8"/>
  <c r="GY75" i="8"/>
  <c r="GZ75" i="8"/>
  <c r="HA75" i="8"/>
  <c r="HB75" i="8"/>
  <c r="HC75" i="8"/>
  <c r="HD75" i="8"/>
  <c r="HE75" i="8"/>
  <c r="HF75" i="8"/>
  <c r="HG75" i="8"/>
  <c r="HH75" i="8"/>
  <c r="HI75" i="8"/>
  <c r="HJ75" i="8"/>
  <c r="HK75" i="8"/>
  <c r="HL75" i="8"/>
  <c r="HM75" i="8"/>
  <c r="HN75" i="8"/>
  <c r="HO75" i="8"/>
  <c r="HP75" i="8"/>
  <c r="HQ75" i="8"/>
  <c r="HR75" i="8"/>
  <c r="HS75" i="8"/>
  <c r="HT75" i="8"/>
  <c r="HU75" i="8"/>
  <c r="HV75" i="8"/>
  <c r="HW75" i="8"/>
  <c r="HX75" i="8"/>
  <c r="HY75" i="8"/>
  <c r="HZ75" i="8"/>
  <c r="IA75" i="8"/>
  <c r="IB75" i="8"/>
  <c r="IC75" i="8"/>
  <c r="ID75" i="8"/>
  <c r="IE75" i="8"/>
  <c r="IF75" i="8"/>
  <c r="IG75" i="8"/>
  <c r="IH75" i="8"/>
  <c r="II75" i="8"/>
  <c r="IJ75" i="8"/>
  <c r="IK75" i="8"/>
  <c r="IL75" i="8"/>
  <c r="IM75" i="8"/>
  <c r="IN75" i="8"/>
  <c r="IO75" i="8"/>
  <c r="IP75" i="8"/>
  <c r="IQ75" i="8"/>
  <c r="IR75" i="8"/>
  <c r="IS75" i="8"/>
  <c r="IT75" i="8"/>
  <c r="IU75" i="8"/>
  <c r="IV75" i="8"/>
  <c r="A76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Z76" i="8"/>
  <c r="AA76" i="8"/>
  <c r="AB76" i="8"/>
  <c r="AC76" i="8"/>
  <c r="AD76" i="8"/>
  <c r="AE76" i="8"/>
  <c r="AF76" i="8"/>
  <c r="AG76" i="8"/>
  <c r="AH76" i="8"/>
  <c r="AI76" i="8"/>
  <c r="AJ76" i="8"/>
  <c r="AK76" i="8"/>
  <c r="AL76" i="8"/>
  <c r="AM76" i="8"/>
  <c r="AN76" i="8"/>
  <c r="AO76" i="8"/>
  <c r="AP76" i="8"/>
  <c r="AQ76" i="8"/>
  <c r="AR76" i="8"/>
  <c r="AS76" i="8"/>
  <c r="AT76" i="8"/>
  <c r="AU76" i="8"/>
  <c r="AV76" i="8"/>
  <c r="AW76" i="8"/>
  <c r="AX76" i="8"/>
  <c r="AY76" i="8"/>
  <c r="AZ76" i="8"/>
  <c r="BA76" i="8"/>
  <c r="BB76" i="8"/>
  <c r="BC76" i="8"/>
  <c r="BD76" i="8"/>
  <c r="BE76" i="8"/>
  <c r="BF76" i="8"/>
  <c r="BG76" i="8"/>
  <c r="BH76" i="8"/>
  <c r="BI76" i="8"/>
  <c r="BJ76" i="8"/>
  <c r="BK76" i="8"/>
  <c r="BL76" i="8"/>
  <c r="BM76" i="8"/>
  <c r="BN76" i="8"/>
  <c r="BO76" i="8"/>
  <c r="BP76" i="8"/>
  <c r="BQ76" i="8"/>
  <c r="BR76" i="8"/>
  <c r="BS76" i="8"/>
  <c r="BT76" i="8"/>
  <c r="BU76" i="8"/>
  <c r="BV76" i="8"/>
  <c r="BW76" i="8"/>
  <c r="BX76" i="8"/>
  <c r="BY76" i="8"/>
  <c r="BZ76" i="8"/>
  <c r="CA76" i="8"/>
  <c r="CB76" i="8"/>
  <c r="CC76" i="8"/>
  <c r="CD76" i="8"/>
  <c r="CE76" i="8"/>
  <c r="CF76" i="8"/>
  <c r="CG76" i="8"/>
  <c r="CH76" i="8"/>
  <c r="CI76" i="8"/>
  <c r="CJ76" i="8"/>
  <c r="CK76" i="8"/>
  <c r="CL76" i="8"/>
  <c r="CM76" i="8"/>
  <c r="CN76" i="8"/>
  <c r="CO76" i="8"/>
  <c r="CP76" i="8"/>
  <c r="CQ76" i="8"/>
  <c r="CR76" i="8"/>
  <c r="CS76" i="8"/>
  <c r="CT76" i="8"/>
  <c r="CU76" i="8"/>
  <c r="CV76" i="8"/>
  <c r="CW76" i="8"/>
  <c r="CX76" i="8"/>
  <c r="CY76" i="8"/>
  <c r="CZ76" i="8"/>
  <c r="DA76" i="8"/>
  <c r="DB76" i="8"/>
  <c r="DC76" i="8"/>
  <c r="DD76" i="8"/>
  <c r="DE76" i="8"/>
  <c r="DF76" i="8"/>
  <c r="DG76" i="8"/>
  <c r="DH76" i="8"/>
  <c r="DI76" i="8"/>
  <c r="DJ76" i="8"/>
  <c r="DK76" i="8"/>
  <c r="DL76" i="8"/>
  <c r="DM76" i="8"/>
  <c r="DN76" i="8"/>
  <c r="DO76" i="8"/>
  <c r="DP76" i="8"/>
  <c r="DQ76" i="8"/>
  <c r="DR76" i="8"/>
  <c r="DS76" i="8"/>
  <c r="DT76" i="8"/>
  <c r="DU76" i="8"/>
  <c r="DV76" i="8"/>
  <c r="DW76" i="8"/>
  <c r="DX76" i="8"/>
  <c r="DY76" i="8"/>
  <c r="DZ76" i="8"/>
  <c r="EA76" i="8"/>
  <c r="EB76" i="8"/>
  <c r="EC76" i="8"/>
  <c r="ED76" i="8"/>
  <c r="EE76" i="8"/>
  <c r="EF76" i="8"/>
  <c r="EG76" i="8"/>
  <c r="EH76" i="8"/>
  <c r="EI76" i="8"/>
  <c r="EJ76" i="8"/>
  <c r="EK76" i="8"/>
  <c r="EL76" i="8"/>
  <c r="EM76" i="8"/>
  <c r="EN76" i="8"/>
  <c r="EO76" i="8"/>
  <c r="EP76" i="8"/>
  <c r="EQ76" i="8"/>
  <c r="ER76" i="8"/>
  <c r="ES76" i="8"/>
  <c r="ET76" i="8"/>
  <c r="EU76" i="8"/>
  <c r="EV76" i="8"/>
  <c r="EW76" i="8"/>
  <c r="EX76" i="8"/>
  <c r="EY76" i="8"/>
  <c r="EZ76" i="8"/>
  <c r="FA76" i="8"/>
  <c r="FB76" i="8"/>
  <c r="FC76" i="8"/>
  <c r="FD76" i="8"/>
  <c r="FE76" i="8"/>
  <c r="FF76" i="8"/>
  <c r="FG76" i="8"/>
  <c r="FH76" i="8"/>
  <c r="FI76" i="8"/>
  <c r="FJ76" i="8"/>
  <c r="FK76" i="8"/>
  <c r="FL76" i="8"/>
  <c r="FM76" i="8"/>
  <c r="FN76" i="8"/>
  <c r="FO76" i="8"/>
  <c r="FP76" i="8"/>
  <c r="FQ76" i="8"/>
  <c r="FR76" i="8"/>
  <c r="FS76" i="8"/>
  <c r="FT76" i="8"/>
  <c r="FU76" i="8"/>
  <c r="FV76" i="8"/>
  <c r="FW76" i="8"/>
  <c r="FX76" i="8"/>
  <c r="FY76" i="8"/>
  <c r="FZ76" i="8"/>
  <c r="GA76" i="8"/>
  <c r="GB76" i="8"/>
  <c r="GC76" i="8"/>
  <c r="GD76" i="8"/>
  <c r="GE76" i="8"/>
  <c r="GF76" i="8"/>
  <c r="GG76" i="8"/>
  <c r="GH76" i="8"/>
  <c r="GI76" i="8"/>
  <c r="GJ76" i="8"/>
  <c r="GK76" i="8"/>
  <c r="GL76" i="8"/>
  <c r="GM76" i="8"/>
  <c r="GN76" i="8"/>
  <c r="GO76" i="8"/>
  <c r="GP76" i="8"/>
  <c r="GQ76" i="8"/>
  <c r="GR76" i="8"/>
  <c r="GS76" i="8"/>
  <c r="GT76" i="8"/>
  <c r="GU76" i="8"/>
  <c r="GV76" i="8"/>
  <c r="GW76" i="8"/>
  <c r="GX76" i="8"/>
  <c r="GY76" i="8"/>
  <c r="GZ76" i="8"/>
  <c r="HA76" i="8"/>
  <c r="HB76" i="8"/>
  <c r="HC76" i="8"/>
  <c r="HD76" i="8"/>
  <c r="HE76" i="8"/>
  <c r="HF76" i="8"/>
  <c r="HG76" i="8"/>
  <c r="HH76" i="8"/>
  <c r="HI76" i="8"/>
  <c r="HJ76" i="8"/>
  <c r="HK76" i="8"/>
  <c r="HL76" i="8"/>
  <c r="HM76" i="8"/>
  <c r="HN76" i="8"/>
  <c r="HO76" i="8"/>
  <c r="HP76" i="8"/>
  <c r="HQ76" i="8"/>
  <c r="HR76" i="8"/>
  <c r="HS76" i="8"/>
  <c r="HT76" i="8"/>
  <c r="HU76" i="8"/>
  <c r="HV76" i="8"/>
  <c r="HW76" i="8"/>
  <c r="HX76" i="8"/>
  <c r="HY76" i="8"/>
  <c r="HZ76" i="8"/>
  <c r="IA76" i="8"/>
  <c r="IB76" i="8"/>
  <c r="IC76" i="8"/>
  <c r="ID76" i="8"/>
  <c r="IE76" i="8"/>
  <c r="IF76" i="8"/>
  <c r="IG76" i="8"/>
  <c r="IH76" i="8"/>
  <c r="II76" i="8"/>
  <c r="IJ76" i="8"/>
  <c r="IK76" i="8"/>
  <c r="IL76" i="8"/>
  <c r="IM76" i="8"/>
  <c r="IN76" i="8"/>
  <c r="IO76" i="8"/>
  <c r="IP76" i="8"/>
  <c r="IQ76" i="8"/>
  <c r="IR76" i="8"/>
  <c r="IS76" i="8"/>
  <c r="IT76" i="8"/>
  <c r="IU76" i="8"/>
  <c r="IV76" i="8"/>
  <c r="A77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Z77" i="8"/>
  <c r="AA77" i="8"/>
  <c r="AB77" i="8"/>
  <c r="AC77" i="8"/>
  <c r="AD77" i="8"/>
  <c r="AE77" i="8"/>
  <c r="AF77" i="8"/>
  <c r="AG77" i="8"/>
  <c r="AH77" i="8"/>
  <c r="AI77" i="8"/>
  <c r="AJ77" i="8"/>
  <c r="AK77" i="8"/>
  <c r="AL77" i="8"/>
  <c r="AM77" i="8"/>
  <c r="AN77" i="8"/>
  <c r="AO77" i="8"/>
  <c r="AP77" i="8"/>
  <c r="AQ77" i="8"/>
  <c r="AR77" i="8"/>
  <c r="AS77" i="8"/>
  <c r="AT77" i="8"/>
  <c r="AU77" i="8"/>
  <c r="AV77" i="8"/>
  <c r="AW77" i="8"/>
  <c r="AX77" i="8"/>
  <c r="AY77" i="8"/>
  <c r="AZ77" i="8"/>
  <c r="BA77" i="8"/>
  <c r="BB77" i="8"/>
  <c r="BC77" i="8"/>
  <c r="BD77" i="8"/>
  <c r="BE77" i="8"/>
  <c r="BF77" i="8"/>
  <c r="BG77" i="8"/>
  <c r="BH77" i="8"/>
  <c r="BI77" i="8"/>
  <c r="BJ77" i="8"/>
  <c r="BK77" i="8"/>
  <c r="BL77" i="8"/>
  <c r="BM77" i="8"/>
  <c r="BN77" i="8"/>
  <c r="BO77" i="8"/>
  <c r="BP77" i="8"/>
  <c r="BQ77" i="8"/>
  <c r="BR77" i="8"/>
  <c r="BS77" i="8"/>
  <c r="BT77" i="8"/>
  <c r="BU77" i="8"/>
  <c r="BV77" i="8"/>
  <c r="BW77" i="8"/>
  <c r="BX77" i="8"/>
  <c r="BY77" i="8"/>
  <c r="BZ77" i="8"/>
  <c r="CA77" i="8"/>
  <c r="CB77" i="8"/>
  <c r="CC77" i="8"/>
  <c r="CD77" i="8"/>
  <c r="CE77" i="8"/>
  <c r="CF77" i="8"/>
  <c r="CG77" i="8"/>
  <c r="CH77" i="8"/>
  <c r="CI77" i="8"/>
  <c r="CJ77" i="8"/>
  <c r="CK77" i="8"/>
  <c r="CL77" i="8"/>
  <c r="CM77" i="8"/>
  <c r="CN77" i="8"/>
  <c r="CO77" i="8"/>
  <c r="CP77" i="8"/>
  <c r="CQ77" i="8"/>
  <c r="CR77" i="8"/>
  <c r="CS77" i="8"/>
  <c r="CT77" i="8"/>
  <c r="CU77" i="8"/>
  <c r="CV77" i="8"/>
  <c r="CW77" i="8"/>
  <c r="CX77" i="8"/>
  <c r="CY77" i="8"/>
  <c r="CZ77" i="8"/>
  <c r="DA77" i="8"/>
  <c r="DB77" i="8"/>
  <c r="DC77" i="8"/>
  <c r="DD77" i="8"/>
  <c r="DE77" i="8"/>
  <c r="DF77" i="8"/>
  <c r="DG77" i="8"/>
  <c r="DH77" i="8"/>
  <c r="DI77" i="8"/>
  <c r="DJ77" i="8"/>
  <c r="DK77" i="8"/>
  <c r="DL77" i="8"/>
  <c r="DM77" i="8"/>
  <c r="DN77" i="8"/>
  <c r="DO77" i="8"/>
  <c r="DP77" i="8"/>
  <c r="DQ77" i="8"/>
  <c r="DR77" i="8"/>
  <c r="DS77" i="8"/>
  <c r="DT77" i="8"/>
  <c r="DU77" i="8"/>
  <c r="DV77" i="8"/>
  <c r="DW77" i="8"/>
  <c r="DX77" i="8"/>
  <c r="DY77" i="8"/>
  <c r="DZ77" i="8"/>
  <c r="EA77" i="8"/>
  <c r="EB77" i="8"/>
  <c r="EC77" i="8"/>
  <c r="ED77" i="8"/>
  <c r="EE77" i="8"/>
  <c r="EF77" i="8"/>
  <c r="EG77" i="8"/>
  <c r="EH77" i="8"/>
  <c r="EI77" i="8"/>
  <c r="EJ77" i="8"/>
  <c r="EK77" i="8"/>
  <c r="EL77" i="8"/>
  <c r="EM77" i="8"/>
  <c r="EN77" i="8"/>
  <c r="EO77" i="8"/>
  <c r="EP77" i="8"/>
  <c r="EQ77" i="8"/>
  <c r="ER77" i="8"/>
  <c r="ES77" i="8"/>
  <c r="ET77" i="8"/>
  <c r="EU77" i="8"/>
  <c r="EV77" i="8"/>
  <c r="EW77" i="8"/>
  <c r="EX77" i="8"/>
  <c r="EY77" i="8"/>
  <c r="EZ77" i="8"/>
  <c r="FA77" i="8"/>
  <c r="FB77" i="8"/>
  <c r="FC77" i="8"/>
  <c r="FD77" i="8"/>
  <c r="FE77" i="8"/>
  <c r="FF77" i="8"/>
  <c r="FG77" i="8"/>
  <c r="FH77" i="8"/>
  <c r="FI77" i="8"/>
  <c r="FJ77" i="8"/>
  <c r="FK77" i="8"/>
  <c r="FL77" i="8"/>
  <c r="FM77" i="8"/>
  <c r="FN77" i="8"/>
  <c r="FO77" i="8"/>
  <c r="FP77" i="8"/>
  <c r="FQ77" i="8"/>
  <c r="FR77" i="8"/>
  <c r="FS77" i="8"/>
  <c r="FT77" i="8"/>
  <c r="FU77" i="8"/>
  <c r="FV77" i="8"/>
  <c r="FW77" i="8"/>
  <c r="FX77" i="8"/>
  <c r="FY77" i="8"/>
  <c r="FZ77" i="8"/>
  <c r="GA77" i="8"/>
  <c r="GB77" i="8"/>
  <c r="GC77" i="8"/>
  <c r="GD77" i="8"/>
  <c r="GE77" i="8"/>
  <c r="GF77" i="8"/>
  <c r="GG77" i="8"/>
  <c r="GH77" i="8"/>
  <c r="GI77" i="8"/>
  <c r="GJ77" i="8"/>
  <c r="GK77" i="8"/>
  <c r="GL77" i="8"/>
  <c r="GM77" i="8"/>
  <c r="GN77" i="8"/>
  <c r="GO77" i="8"/>
  <c r="GP77" i="8"/>
  <c r="GQ77" i="8"/>
  <c r="GR77" i="8"/>
  <c r="GS77" i="8"/>
  <c r="GT77" i="8"/>
  <c r="GU77" i="8"/>
  <c r="GV77" i="8"/>
  <c r="GW77" i="8"/>
  <c r="GX77" i="8"/>
  <c r="GY77" i="8"/>
  <c r="GZ77" i="8"/>
  <c r="HA77" i="8"/>
  <c r="HB77" i="8"/>
  <c r="HC77" i="8"/>
  <c r="HD77" i="8"/>
  <c r="HE77" i="8"/>
  <c r="HF77" i="8"/>
  <c r="HG77" i="8"/>
  <c r="HH77" i="8"/>
  <c r="HI77" i="8"/>
  <c r="HJ77" i="8"/>
  <c r="HK77" i="8"/>
  <c r="HL77" i="8"/>
  <c r="HM77" i="8"/>
  <c r="HN77" i="8"/>
  <c r="HO77" i="8"/>
  <c r="HP77" i="8"/>
  <c r="HQ77" i="8"/>
  <c r="HR77" i="8"/>
  <c r="HS77" i="8"/>
  <c r="HT77" i="8"/>
  <c r="HU77" i="8"/>
  <c r="HV77" i="8"/>
  <c r="HW77" i="8"/>
  <c r="HX77" i="8"/>
  <c r="HY77" i="8"/>
  <c r="HZ77" i="8"/>
  <c r="IA77" i="8"/>
  <c r="IB77" i="8"/>
  <c r="IC77" i="8"/>
  <c r="ID77" i="8"/>
  <c r="IE77" i="8"/>
  <c r="IF77" i="8"/>
  <c r="IG77" i="8"/>
  <c r="IH77" i="8"/>
  <c r="II77" i="8"/>
  <c r="IJ77" i="8"/>
  <c r="IK77" i="8"/>
  <c r="IL77" i="8"/>
  <c r="IM77" i="8"/>
  <c r="IN77" i="8"/>
  <c r="IO77" i="8"/>
  <c r="IP77" i="8"/>
  <c r="IQ77" i="8"/>
  <c r="IR77" i="8"/>
  <c r="IS77" i="8"/>
  <c r="IT77" i="8"/>
  <c r="IU77" i="8"/>
  <c r="IV77" i="8"/>
  <c r="A78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Z78" i="8"/>
  <c r="AA78" i="8"/>
  <c r="AB78" i="8"/>
  <c r="AC78" i="8"/>
  <c r="AD78" i="8"/>
  <c r="AE78" i="8"/>
  <c r="AF78" i="8"/>
  <c r="AG78" i="8"/>
  <c r="AH78" i="8"/>
  <c r="AI78" i="8"/>
  <c r="AJ78" i="8"/>
  <c r="AK78" i="8"/>
  <c r="AL78" i="8"/>
  <c r="AM78" i="8"/>
  <c r="AN78" i="8"/>
  <c r="AO78" i="8"/>
  <c r="AP78" i="8"/>
  <c r="AQ78" i="8"/>
  <c r="AR78" i="8"/>
  <c r="AS78" i="8"/>
  <c r="AT78" i="8"/>
  <c r="AU78" i="8"/>
  <c r="AV78" i="8"/>
  <c r="AW78" i="8"/>
  <c r="AX78" i="8"/>
  <c r="AY78" i="8"/>
  <c r="AZ78" i="8"/>
  <c r="BA78" i="8"/>
  <c r="BB78" i="8"/>
  <c r="BC78" i="8"/>
  <c r="BD78" i="8"/>
  <c r="BE78" i="8"/>
  <c r="BF78" i="8"/>
  <c r="BG78" i="8"/>
  <c r="BH78" i="8"/>
  <c r="BI78" i="8"/>
  <c r="BJ78" i="8"/>
  <c r="BK78" i="8"/>
  <c r="BL78" i="8"/>
  <c r="BM78" i="8"/>
  <c r="BN78" i="8"/>
  <c r="BO78" i="8"/>
  <c r="BP78" i="8"/>
  <c r="BQ78" i="8"/>
  <c r="BR78" i="8"/>
  <c r="BS78" i="8"/>
  <c r="BT78" i="8"/>
  <c r="BU78" i="8"/>
  <c r="BV78" i="8"/>
  <c r="BW78" i="8"/>
  <c r="BX78" i="8"/>
  <c r="BY78" i="8"/>
  <c r="BZ78" i="8"/>
  <c r="CA78" i="8"/>
  <c r="CB78" i="8"/>
  <c r="CC78" i="8"/>
  <c r="CD78" i="8"/>
  <c r="CE78" i="8"/>
  <c r="CF78" i="8"/>
  <c r="CG78" i="8"/>
  <c r="CH78" i="8"/>
  <c r="CI78" i="8"/>
  <c r="CJ78" i="8"/>
  <c r="CK78" i="8"/>
  <c r="CL78" i="8"/>
  <c r="CM78" i="8"/>
  <c r="CN78" i="8"/>
  <c r="CO78" i="8"/>
  <c r="CP78" i="8"/>
  <c r="CQ78" i="8"/>
  <c r="CR78" i="8"/>
  <c r="CS78" i="8"/>
  <c r="CT78" i="8"/>
  <c r="CU78" i="8"/>
  <c r="CV78" i="8"/>
  <c r="CW78" i="8"/>
  <c r="CX78" i="8"/>
  <c r="CY78" i="8"/>
  <c r="CZ78" i="8"/>
  <c r="DA78" i="8"/>
  <c r="DB78" i="8"/>
  <c r="DC78" i="8"/>
  <c r="DD78" i="8"/>
  <c r="DE78" i="8"/>
  <c r="DF78" i="8"/>
  <c r="DG78" i="8"/>
  <c r="DH78" i="8"/>
  <c r="DI78" i="8"/>
  <c r="DJ78" i="8"/>
  <c r="DK78" i="8"/>
  <c r="DL78" i="8"/>
  <c r="DM78" i="8"/>
  <c r="DN78" i="8"/>
  <c r="DO78" i="8"/>
  <c r="DP78" i="8"/>
  <c r="DQ78" i="8"/>
  <c r="DR78" i="8"/>
  <c r="DS78" i="8"/>
  <c r="DT78" i="8"/>
  <c r="DU78" i="8"/>
  <c r="DV78" i="8"/>
  <c r="DW78" i="8"/>
  <c r="DX78" i="8"/>
  <c r="DY78" i="8"/>
  <c r="DZ78" i="8"/>
  <c r="EA78" i="8"/>
  <c r="EB78" i="8"/>
  <c r="EC78" i="8"/>
  <c r="ED78" i="8"/>
  <c r="EE78" i="8"/>
  <c r="EF78" i="8"/>
  <c r="EG78" i="8"/>
  <c r="EH78" i="8"/>
  <c r="EI78" i="8"/>
  <c r="EJ78" i="8"/>
  <c r="EK78" i="8"/>
  <c r="EL78" i="8"/>
  <c r="EM78" i="8"/>
  <c r="EN78" i="8"/>
  <c r="EO78" i="8"/>
  <c r="EP78" i="8"/>
  <c r="EQ78" i="8"/>
  <c r="ER78" i="8"/>
  <c r="ES78" i="8"/>
  <c r="ET78" i="8"/>
  <c r="EU78" i="8"/>
  <c r="EV78" i="8"/>
  <c r="EW78" i="8"/>
  <c r="EX78" i="8"/>
  <c r="EY78" i="8"/>
  <c r="EZ78" i="8"/>
  <c r="FA78" i="8"/>
  <c r="FB78" i="8"/>
  <c r="FC78" i="8"/>
  <c r="FD78" i="8"/>
  <c r="FE78" i="8"/>
  <c r="FF78" i="8"/>
  <c r="FG78" i="8"/>
  <c r="FH78" i="8"/>
  <c r="FI78" i="8"/>
  <c r="FJ78" i="8"/>
  <c r="FK78" i="8"/>
  <c r="FL78" i="8"/>
  <c r="FM78" i="8"/>
  <c r="FN78" i="8"/>
  <c r="FO78" i="8"/>
  <c r="FP78" i="8"/>
  <c r="FQ78" i="8"/>
  <c r="FR78" i="8"/>
  <c r="FS78" i="8"/>
  <c r="FT78" i="8"/>
  <c r="FU78" i="8"/>
  <c r="FV78" i="8"/>
  <c r="FW78" i="8"/>
  <c r="FX78" i="8"/>
  <c r="FY78" i="8"/>
  <c r="FZ78" i="8"/>
  <c r="GA78" i="8"/>
  <c r="GB78" i="8"/>
  <c r="GC78" i="8"/>
  <c r="GD78" i="8"/>
  <c r="GE78" i="8"/>
  <c r="GF78" i="8"/>
  <c r="GG78" i="8"/>
  <c r="GH78" i="8"/>
  <c r="GI78" i="8"/>
  <c r="GJ78" i="8"/>
  <c r="GK78" i="8"/>
  <c r="GL78" i="8"/>
  <c r="GM78" i="8"/>
  <c r="GN78" i="8"/>
  <c r="GO78" i="8"/>
  <c r="GP78" i="8"/>
  <c r="GQ78" i="8"/>
  <c r="GR78" i="8"/>
  <c r="GS78" i="8"/>
  <c r="GT78" i="8"/>
  <c r="GU78" i="8"/>
  <c r="GV78" i="8"/>
  <c r="GW78" i="8"/>
  <c r="GX78" i="8"/>
  <c r="GY78" i="8"/>
  <c r="GZ78" i="8"/>
  <c r="HA78" i="8"/>
  <c r="HB78" i="8"/>
  <c r="HC78" i="8"/>
  <c r="HD78" i="8"/>
  <c r="HE78" i="8"/>
  <c r="HF78" i="8"/>
  <c r="HG78" i="8"/>
  <c r="HH78" i="8"/>
  <c r="HI78" i="8"/>
  <c r="HJ78" i="8"/>
  <c r="HK78" i="8"/>
  <c r="HL78" i="8"/>
  <c r="HM78" i="8"/>
  <c r="HN78" i="8"/>
  <c r="HO78" i="8"/>
  <c r="HP78" i="8"/>
  <c r="HQ78" i="8"/>
  <c r="HR78" i="8"/>
  <c r="HS78" i="8"/>
  <c r="HT78" i="8"/>
  <c r="HU78" i="8"/>
  <c r="HV78" i="8"/>
  <c r="HW78" i="8"/>
  <c r="HX78" i="8"/>
  <c r="HY78" i="8"/>
  <c r="HZ78" i="8"/>
  <c r="IA78" i="8"/>
  <c r="IB78" i="8"/>
  <c r="IC78" i="8"/>
  <c r="ID78" i="8"/>
  <c r="IE78" i="8"/>
  <c r="IF78" i="8"/>
  <c r="IG78" i="8"/>
  <c r="IH78" i="8"/>
  <c r="II78" i="8"/>
  <c r="IJ78" i="8"/>
  <c r="IK78" i="8"/>
  <c r="IL78" i="8"/>
  <c r="IM78" i="8"/>
  <c r="IN78" i="8"/>
  <c r="IO78" i="8"/>
  <c r="IP78" i="8"/>
  <c r="IQ78" i="8"/>
  <c r="IR78" i="8"/>
  <c r="IS78" i="8"/>
  <c r="IT78" i="8"/>
  <c r="IU78" i="8"/>
  <c r="IV78" i="8"/>
  <c r="A79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Z79" i="8"/>
  <c r="AA79" i="8"/>
  <c r="AB79" i="8"/>
  <c r="AC79" i="8"/>
  <c r="AD79" i="8"/>
  <c r="AE79" i="8"/>
  <c r="AF79" i="8"/>
  <c r="AG79" i="8"/>
  <c r="AH79" i="8"/>
  <c r="AI79" i="8"/>
  <c r="AJ79" i="8"/>
  <c r="AK79" i="8"/>
  <c r="AL79" i="8"/>
  <c r="AM79" i="8"/>
  <c r="AN79" i="8"/>
  <c r="AO79" i="8"/>
  <c r="AP79" i="8"/>
  <c r="AQ79" i="8"/>
  <c r="AR79" i="8"/>
  <c r="AS79" i="8"/>
  <c r="AT79" i="8"/>
  <c r="AU79" i="8"/>
  <c r="AV79" i="8"/>
  <c r="AW79" i="8"/>
  <c r="AX79" i="8"/>
  <c r="AY79" i="8"/>
  <c r="AZ79" i="8"/>
  <c r="BA79" i="8"/>
  <c r="BB79" i="8"/>
  <c r="BC79" i="8"/>
  <c r="BD79" i="8"/>
  <c r="BE79" i="8"/>
  <c r="BF79" i="8"/>
  <c r="BG79" i="8"/>
  <c r="BH79" i="8"/>
  <c r="BI79" i="8"/>
  <c r="BJ79" i="8"/>
  <c r="BK79" i="8"/>
  <c r="BL79" i="8"/>
  <c r="BM79" i="8"/>
  <c r="BN79" i="8"/>
  <c r="BO79" i="8"/>
  <c r="BP79" i="8"/>
  <c r="BQ79" i="8"/>
  <c r="BR79" i="8"/>
  <c r="BS79" i="8"/>
  <c r="BT79" i="8"/>
  <c r="BU79" i="8"/>
  <c r="BV79" i="8"/>
  <c r="BW79" i="8"/>
  <c r="BX79" i="8"/>
  <c r="BY79" i="8"/>
  <c r="BZ79" i="8"/>
  <c r="CA79" i="8"/>
  <c r="CB79" i="8"/>
  <c r="CC79" i="8"/>
  <c r="CD79" i="8"/>
  <c r="CE79" i="8"/>
  <c r="CF79" i="8"/>
  <c r="CG79" i="8"/>
  <c r="CH79" i="8"/>
  <c r="CI79" i="8"/>
  <c r="CJ79" i="8"/>
  <c r="CK79" i="8"/>
  <c r="CL79" i="8"/>
  <c r="CM79" i="8"/>
  <c r="CN79" i="8"/>
  <c r="CO79" i="8"/>
  <c r="CP79" i="8"/>
  <c r="CQ79" i="8"/>
  <c r="CR79" i="8"/>
  <c r="CS79" i="8"/>
  <c r="CT79" i="8"/>
  <c r="CU79" i="8"/>
  <c r="CV79" i="8"/>
  <c r="CW79" i="8"/>
  <c r="CX79" i="8"/>
  <c r="CY79" i="8"/>
  <c r="CZ79" i="8"/>
  <c r="DA79" i="8"/>
  <c r="DB79" i="8"/>
  <c r="DC79" i="8"/>
  <c r="DD79" i="8"/>
  <c r="DE79" i="8"/>
  <c r="DF79" i="8"/>
  <c r="DG79" i="8"/>
  <c r="DH79" i="8"/>
  <c r="DI79" i="8"/>
  <c r="DJ79" i="8"/>
  <c r="DK79" i="8"/>
  <c r="DL79" i="8"/>
  <c r="DM79" i="8"/>
  <c r="DN79" i="8"/>
  <c r="DO79" i="8"/>
  <c r="DP79" i="8"/>
  <c r="DQ79" i="8"/>
  <c r="DR79" i="8"/>
  <c r="DS79" i="8"/>
  <c r="DT79" i="8"/>
  <c r="DU79" i="8"/>
  <c r="DV79" i="8"/>
  <c r="DW79" i="8"/>
  <c r="DX79" i="8"/>
  <c r="DY79" i="8"/>
  <c r="DZ79" i="8"/>
  <c r="EA79" i="8"/>
  <c r="EB79" i="8"/>
  <c r="EC79" i="8"/>
  <c r="ED79" i="8"/>
  <c r="EE79" i="8"/>
  <c r="EF79" i="8"/>
  <c r="EG79" i="8"/>
  <c r="EH79" i="8"/>
  <c r="EI79" i="8"/>
  <c r="EJ79" i="8"/>
  <c r="EK79" i="8"/>
  <c r="EL79" i="8"/>
  <c r="EM79" i="8"/>
  <c r="EN79" i="8"/>
  <c r="EO79" i="8"/>
  <c r="EP79" i="8"/>
  <c r="EQ79" i="8"/>
  <c r="ER79" i="8"/>
  <c r="ES79" i="8"/>
  <c r="ET79" i="8"/>
  <c r="EU79" i="8"/>
  <c r="EV79" i="8"/>
  <c r="EW79" i="8"/>
  <c r="EX79" i="8"/>
  <c r="EY79" i="8"/>
  <c r="EZ79" i="8"/>
  <c r="FA79" i="8"/>
  <c r="FB79" i="8"/>
  <c r="FC79" i="8"/>
  <c r="FD79" i="8"/>
  <c r="FE79" i="8"/>
  <c r="FF79" i="8"/>
  <c r="FG79" i="8"/>
  <c r="FH79" i="8"/>
  <c r="FI79" i="8"/>
  <c r="FJ79" i="8"/>
  <c r="FK79" i="8"/>
  <c r="FL79" i="8"/>
  <c r="FM79" i="8"/>
  <c r="FN79" i="8"/>
  <c r="FO79" i="8"/>
  <c r="FP79" i="8"/>
  <c r="FQ79" i="8"/>
  <c r="FR79" i="8"/>
  <c r="FS79" i="8"/>
  <c r="FT79" i="8"/>
  <c r="FU79" i="8"/>
  <c r="FV79" i="8"/>
  <c r="FW79" i="8"/>
  <c r="FX79" i="8"/>
  <c r="FY79" i="8"/>
  <c r="FZ79" i="8"/>
  <c r="GA79" i="8"/>
  <c r="GB79" i="8"/>
  <c r="GC79" i="8"/>
  <c r="GD79" i="8"/>
  <c r="GE79" i="8"/>
  <c r="GF79" i="8"/>
  <c r="GG79" i="8"/>
  <c r="GH79" i="8"/>
  <c r="GI79" i="8"/>
  <c r="GJ79" i="8"/>
  <c r="GK79" i="8"/>
  <c r="GL79" i="8"/>
  <c r="GM79" i="8"/>
  <c r="GN79" i="8"/>
  <c r="GO79" i="8"/>
  <c r="GP79" i="8"/>
  <c r="GQ79" i="8"/>
  <c r="GR79" i="8"/>
  <c r="GS79" i="8"/>
  <c r="GT79" i="8"/>
  <c r="GU79" i="8"/>
  <c r="GV79" i="8"/>
  <c r="GW79" i="8"/>
  <c r="GX79" i="8"/>
  <c r="GY79" i="8"/>
  <c r="GZ79" i="8"/>
  <c r="HA79" i="8"/>
  <c r="HB79" i="8"/>
  <c r="HC79" i="8"/>
  <c r="HD79" i="8"/>
  <c r="HE79" i="8"/>
  <c r="HF79" i="8"/>
  <c r="HG79" i="8"/>
  <c r="HH79" i="8"/>
  <c r="HI79" i="8"/>
  <c r="HJ79" i="8"/>
  <c r="HK79" i="8"/>
  <c r="HL79" i="8"/>
  <c r="HM79" i="8"/>
  <c r="HN79" i="8"/>
  <c r="HO79" i="8"/>
  <c r="HP79" i="8"/>
  <c r="HQ79" i="8"/>
  <c r="HR79" i="8"/>
  <c r="HS79" i="8"/>
  <c r="HT79" i="8"/>
  <c r="HU79" i="8"/>
  <c r="HV79" i="8"/>
  <c r="HW79" i="8"/>
  <c r="HX79" i="8"/>
  <c r="HY79" i="8"/>
  <c r="HZ79" i="8"/>
  <c r="IA79" i="8"/>
  <c r="IB79" i="8"/>
  <c r="IC79" i="8"/>
  <c r="ID79" i="8"/>
  <c r="IE79" i="8"/>
  <c r="IF79" i="8"/>
  <c r="IG79" i="8"/>
  <c r="IH79" i="8"/>
  <c r="II79" i="8"/>
  <c r="IJ79" i="8"/>
  <c r="IK79" i="8"/>
  <c r="IL79" i="8"/>
  <c r="IM79" i="8"/>
  <c r="IN79" i="8"/>
  <c r="IO79" i="8"/>
  <c r="IP79" i="8"/>
  <c r="IQ79" i="8"/>
  <c r="IR79" i="8"/>
  <c r="IS79" i="8"/>
  <c r="IT79" i="8"/>
  <c r="IU79" i="8"/>
  <c r="IV79" i="8"/>
  <c r="A80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Z80" i="8"/>
  <c r="AA80" i="8"/>
  <c r="AB80" i="8"/>
  <c r="AC80" i="8"/>
  <c r="AD80" i="8"/>
  <c r="AE80" i="8"/>
  <c r="AF80" i="8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T80" i="8"/>
  <c r="AU80" i="8"/>
  <c r="AV80" i="8"/>
  <c r="AW80" i="8"/>
  <c r="AX80" i="8"/>
  <c r="AY80" i="8"/>
  <c r="AZ80" i="8"/>
  <c r="BA80" i="8"/>
  <c r="BB80" i="8"/>
  <c r="BC80" i="8"/>
  <c r="BD80" i="8"/>
  <c r="BE80" i="8"/>
  <c r="BF80" i="8"/>
  <c r="BG80" i="8"/>
  <c r="BH80" i="8"/>
  <c r="BI80" i="8"/>
  <c r="BJ80" i="8"/>
  <c r="BK80" i="8"/>
  <c r="BL80" i="8"/>
  <c r="BM80" i="8"/>
  <c r="BN80" i="8"/>
  <c r="BO80" i="8"/>
  <c r="BP80" i="8"/>
  <c r="BQ80" i="8"/>
  <c r="BR80" i="8"/>
  <c r="BS80" i="8"/>
  <c r="BT80" i="8"/>
  <c r="BU80" i="8"/>
  <c r="BV80" i="8"/>
  <c r="BW80" i="8"/>
  <c r="BX80" i="8"/>
  <c r="BY80" i="8"/>
  <c r="BZ80" i="8"/>
  <c r="CA80" i="8"/>
  <c r="CB80" i="8"/>
  <c r="CC80" i="8"/>
  <c r="CD80" i="8"/>
  <c r="CE80" i="8"/>
  <c r="CF80" i="8"/>
  <c r="CG80" i="8"/>
  <c r="CH80" i="8"/>
  <c r="CI80" i="8"/>
  <c r="CJ80" i="8"/>
  <c r="CK80" i="8"/>
  <c r="CL80" i="8"/>
  <c r="CM80" i="8"/>
  <c r="CN80" i="8"/>
  <c r="CO80" i="8"/>
  <c r="CP80" i="8"/>
  <c r="CQ80" i="8"/>
  <c r="CR80" i="8"/>
  <c r="CS80" i="8"/>
  <c r="CT80" i="8"/>
  <c r="CU80" i="8"/>
  <c r="CV80" i="8"/>
  <c r="CW80" i="8"/>
  <c r="CX80" i="8"/>
  <c r="CY80" i="8"/>
  <c r="CZ80" i="8"/>
  <c r="DA80" i="8"/>
  <c r="DB80" i="8"/>
  <c r="DC80" i="8"/>
  <c r="DD80" i="8"/>
  <c r="DE80" i="8"/>
  <c r="DF80" i="8"/>
  <c r="DG80" i="8"/>
  <c r="DH80" i="8"/>
  <c r="DI80" i="8"/>
  <c r="DJ80" i="8"/>
  <c r="DK80" i="8"/>
  <c r="DL80" i="8"/>
  <c r="DM80" i="8"/>
  <c r="DN80" i="8"/>
  <c r="DO80" i="8"/>
  <c r="DP80" i="8"/>
  <c r="DQ80" i="8"/>
  <c r="DR80" i="8"/>
  <c r="DS80" i="8"/>
  <c r="DT80" i="8"/>
  <c r="DU80" i="8"/>
  <c r="DV80" i="8"/>
  <c r="DW80" i="8"/>
  <c r="DX80" i="8"/>
  <c r="DY80" i="8"/>
  <c r="DZ80" i="8"/>
  <c r="EA80" i="8"/>
  <c r="EB80" i="8"/>
  <c r="EC80" i="8"/>
  <c r="ED80" i="8"/>
  <c r="EE80" i="8"/>
  <c r="EF80" i="8"/>
  <c r="EG80" i="8"/>
  <c r="EH80" i="8"/>
  <c r="EI80" i="8"/>
  <c r="EJ80" i="8"/>
  <c r="EK80" i="8"/>
  <c r="EL80" i="8"/>
  <c r="EM80" i="8"/>
  <c r="EN80" i="8"/>
  <c r="EO80" i="8"/>
  <c r="EP80" i="8"/>
  <c r="EQ80" i="8"/>
  <c r="ER80" i="8"/>
  <c r="ES80" i="8"/>
  <c r="ET80" i="8"/>
  <c r="EU80" i="8"/>
  <c r="EV80" i="8"/>
  <c r="EW80" i="8"/>
  <c r="EX80" i="8"/>
  <c r="EY80" i="8"/>
  <c r="EZ80" i="8"/>
  <c r="FA80" i="8"/>
  <c r="FB80" i="8"/>
  <c r="FC80" i="8"/>
  <c r="FD80" i="8"/>
  <c r="FE80" i="8"/>
  <c r="FF80" i="8"/>
  <c r="FG80" i="8"/>
  <c r="FH80" i="8"/>
  <c r="FI80" i="8"/>
  <c r="FJ80" i="8"/>
  <c r="FK80" i="8"/>
  <c r="FL80" i="8"/>
  <c r="FM80" i="8"/>
  <c r="FN80" i="8"/>
  <c r="FO80" i="8"/>
  <c r="FP80" i="8"/>
  <c r="FQ80" i="8"/>
  <c r="FR80" i="8"/>
  <c r="FS80" i="8"/>
  <c r="FT80" i="8"/>
  <c r="FU80" i="8"/>
  <c r="FV80" i="8"/>
  <c r="FW80" i="8"/>
  <c r="FX80" i="8"/>
  <c r="FY80" i="8"/>
  <c r="FZ80" i="8"/>
  <c r="GA80" i="8"/>
  <c r="GB80" i="8"/>
  <c r="GC80" i="8"/>
  <c r="GD80" i="8"/>
  <c r="GE80" i="8"/>
  <c r="GF80" i="8"/>
  <c r="GG80" i="8"/>
  <c r="GH80" i="8"/>
  <c r="GI80" i="8"/>
  <c r="GJ80" i="8"/>
  <c r="GK80" i="8"/>
  <c r="GL80" i="8"/>
  <c r="GM80" i="8"/>
  <c r="GN80" i="8"/>
  <c r="GO80" i="8"/>
  <c r="GP80" i="8"/>
  <c r="GQ80" i="8"/>
  <c r="GR80" i="8"/>
  <c r="GS80" i="8"/>
  <c r="GT80" i="8"/>
  <c r="GU80" i="8"/>
  <c r="GV80" i="8"/>
  <c r="GW80" i="8"/>
  <c r="GX80" i="8"/>
  <c r="GY80" i="8"/>
  <c r="GZ80" i="8"/>
  <c r="HA80" i="8"/>
  <c r="HB80" i="8"/>
  <c r="HC80" i="8"/>
  <c r="HD80" i="8"/>
  <c r="HE80" i="8"/>
  <c r="HF80" i="8"/>
  <c r="HG80" i="8"/>
  <c r="HH80" i="8"/>
  <c r="HI80" i="8"/>
  <c r="HJ80" i="8"/>
  <c r="HK80" i="8"/>
  <c r="HL80" i="8"/>
  <c r="HM80" i="8"/>
  <c r="HN80" i="8"/>
  <c r="HO80" i="8"/>
  <c r="HP80" i="8"/>
  <c r="HQ80" i="8"/>
  <c r="HR80" i="8"/>
  <c r="HS80" i="8"/>
  <c r="HT80" i="8"/>
  <c r="HU80" i="8"/>
  <c r="HV80" i="8"/>
  <c r="HW80" i="8"/>
  <c r="HX80" i="8"/>
  <c r="HY80" i="8"/>
  <c r="HZ80" i="8"/>
  <c r="IA80" i="8"/>
  <c r="IB80" i="8"/>
  <c r="IC80" i="8"/>
  <c r="ID80" i="8"/>
  <c r="IE80" i="8"/>
  <c r="IF80" i="8"/>
  <c r="IG80" i="8"/>
  <c r="IH80" i="8"/>
  <c r="II80" i="8"/>
  <c r="IJ80" i="8"/>
  <c r="IK80" i="8"/>
  <c r="IL80" i="8"/>
  <c r="IM80" i="8"/>
  <c r="IN80" i="8"/>
  <c r="IO80" i="8"/>
  <c r="IP80" i="8"/>
  <c r="IQ80" i="8"/>
  <c r="IR80" i="8"/>
  <c r="IS80" i="8"/>
  <c r="IT80" i="8"/>
  <c r="IU80" i="8"/>
  <c r="IV80" i="8"/>
  <c r="A81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M81" i="8"/>
  <c r="AN81" i="8"/>
  <c r="AO81" i="8"/>
  <c r="AP81" i="8"/>
  <c r="AQ81" i="8"/>
  <c r="AR81" i="8"/>
  <c r="AS81" i="8"/>
  <c r="AT81" i="8"/>
  <c r="AU81" i="8"/>
  <c r="AV81" i="8"/>
  <c r="AW81" i="8"/>
  <c r="AX81" i="8"/>
  <c r="AY81" i="8"/>
  <c r="AZ81" i="8"/>
  <c r="BA81" i="8"/>
  <c r="BB81" i="8"/>
  <c r="BC81" i="8"/>
  <c r="BD81" i="8"/>
  <c r="BE81" i="8"/>
  <c r="BF81" i="8"/>
  <c r="BG81" i="8"/>
  <c r="BH81" i="8"/>
  <c r="BI81" i="8"/>
  <c r="BJ81" i="8"/>
  <c r="BK81" i="8"/>
  <c r="BL81" i="8"/>
  <c r="BM81" i="8"/>
  <c r="BN81" i="8"/>
  <c r="BO81" i="8"/>
  <c r="BP81" i="8"/>
  <c r="BQ81" i="8"/>
  <c r="BR81" i="8"/>
  <c r="BS81" i="8"/>
  <c r="BT81" i="8"/>
  <c r="BU81" i="8"/>
  <c r="BV81" i="8"/>
  <c r="BW81" i="8"/>
  <c r="BX81" i="8"/>
  <c r="BY81" i="8"/>
  <c r="BZ81" i="8"/>
  <c r="CA81" i="8"/>
  <c r="CB81" i="8"/>
  <c r="CC81" i="8"/>
  <c r="CD81" i="8"/>
  <c r="CE81" i="8"/>
  <c r="CF81" i="8"/>
  <c r="CG81" i="8"/>
  <c r="CH81" i="8"/>
  <c r="CI81" i="8"/>
  <c r="CJ81" i="8"/>
  <c r="CK81" i="8"/>
  <c r="CL81" i="8"/>
  <c r="CM81" i="8"/>
  <c r="CN81" i="8"/>
  <c r="CO81" i="8"/>
  <c r="CP81" i="8"/>
  <c r="CQ81" i="8"/>
  <c r="CR81" i="8"/>
  <c r="CS81" i="8"/>
  <c r="CT81" i="8"/>
  <c r="CU81" i="8"/>
  <c r="CV81" i="8"/>
  <c r="CW81" i="8"/>
  <c r="CX81" i="8"/>
  <c r="CY81" i="8"/>
  <c r="CZ81" i="8"/>
  <c r="DA81" i="8"/>
  <c r="DB81" i="8"/>
  <c r="DC81" i="8"/>
  <c r="DD81" i="8"/>
  <c r="DE81" i="8"/>
  <c r="DF81" i="8"/>
  <c r="DG81" i="8"/>
  <c r="DH81" i="8"/>
  <c r="DI81" i="8"/>
  <c r="DJ81" i="8"/>
  <c r="DK81" i="8"/>
  <c r="DL81" i="8"/>
  <c r="DM81" i="8"/>
  <c r="DN81" i="8"/>
  <c r="DO81" i="8"/>
  <c r="DP81" i="8"/>
  <c r="DQ81" i="8"/>
  <c r="DR81" i="8"/>
  <c r="DS81" i="8"/>
  <c r="DT81" i="8"/>
  <c r="DU81" i="8"/>
  <c r="DV81" i="8"/>
  <c r="DW81" i="8"/>
  <c r="DX81" i="8"/>
  <c r="DY81" i="8"/>
  <c r="DZ81" i="8"/>
  <c r="EA81" i="8"/>
  <c r="EB81" i="8"/>
  <c r="EC81" i="8"/>
  <c r="ED81" i="8"/>
  <c r="EE81" i="8"/>
  <c r="EF81" i="8"/>
  <c r="EG81" i="8"/>
  <c r="EH81" i="8"/>
  <c r="EI81" i="8"/>
  <c r="EJ81" i="8"/>
  <c r="EK81" i="8"/>
  <c r="EL81" i="8"/>
  <c r="EM81" i="8"/>
  <c r="EN81" i="8"/>
  <c r="EO81" i="8"/>
  <c r="EP81" i="8"/>
  <c r="EQ81" i="8"/>
  <c r="ER81" i="8"/>
  <c r="ES81" i="8"/>
  <c r="ET81" i="8"/>
  <c r="EU81" i="8"/>
  <c r="EV81" i="8"/>
  <c r="EW81" i="8"/>
  <c r="EX81" i="8"/>
  <c r="EY81" i="8"/>
  <c r="EZ81" i="8"/>
  <c r="FA81" i="8"/>
  <c r="FB81" i="8"/>
  <c r="FC81" i="8"/>
  <c r="FD81" i="8"/>
  <c r="FE81" i="8"/>
  <c r="FF81" i="8"/>
  <c r="FG81" i="8"/>
  <c r="FH81" i="8"/>
  <c r="FI81" i="8"/>
  <c r="FJ81" i="8"/>
  <c r="FK81" i="8"/>
  <c r="FL81" i="8"/>
  <c r="FM81" i="8"/>
  <c r="FN81" i="8"/>
  <c r="FO81" i="8"/>
  <c r="FP81" i="8"/>
  <c r="FQ81" i="8"/>
  <c r="FR81" i="8"/>
  <c r="FS81" i="8"/>
  <c r="FT81" i="8"/>
  <c r="FU81" i="8"/>
  <c r="FV81" i="8"/>
  <c r="FW81" i="8"/>
  <c r="FX81" i="8"/>
  <c r="FY81" i="8"/>
  <c r="FZ81" i="8"/>
  <c r="GA81" i="8"/>
  <c r="GB81" i="8"/>
  <c r="GC81" i="8"/>
  <c r="GD81" i="8"/>
  <c r="GE81" i="8"/>
  <c r="GF81" i="8"/>
  <c r="GG81" i="8"/>
  <c r="GH81" i="8"/>
  <c r="GI81" i="8"/>
  <c r="GJ81" i="8"/>
  <c r="GK81" i="8"/>
  <c r="GL81" i="8"/>
  <c r="GM81" i="8"/>
  <c r="GN81" i="8"/>
  <c r="GO81" i="8"/>
  <c r="GP81" i="8"/>
  <c r="GQ81" i="8"/>
  <c r="GR81" i="8"/>
  <c r="GS81" i="8"/>
  <c r="GT81" i="8"/>
  <c r="GU81" i="8"/>
  <c r="GV81" i="8"/>
  <c r="GW81" i="8"/>
  <c r="GX81" i="8"/>
  <c r="GY81" i="8"/>
  <c r="GZ81" i="8"/>
  <c r="HA81" i="8"/>
  <c r="HB81" i="8"/>
  <c r="HC81" i="8"/>
  <c r="HD81" i="8"/>
  <c r="HE81" i="8"/>
  <c r="HF81" i="8"/>
  <c r="HG81" i="8"/>
  <c r="HH81" i="8"/>
  <c r="HI81" i="8"/>
  <c r="HJ81" i="8"/>
  <c r="HK81" i="8"/>
  <c r="HL81" i="8"/>
  <c r="HM81" i="8"/>
  <c r="HN81" i="8"/>
  <c r="HO81" i="8"/>
  <c r="HP81" i="8"/>
  <c r="HQ81" i="8"/>
  <c r="HR81" i="8"/>
  <c r="HS81" i="8"/>
  <c r="HT81" i="8"/>
  <c r="HU81" i="8"/>
  <c r="HV81" i="8"/>
  <c r="HW81" i="8"/>
  <c r="HX81" i="8"/>
  <c r="HY81" i="8"/>
  <c r="HZ81" i="8"/>
  <c r="IA81" i="8"/>
  <c r="IB81" i="8"/>
  <c r="IC81" i="8"/>
  <c r="ID81" i="8"/>
  <c r="IE81" i="8"/>
  <c r="IF81" i="8"/>
  <c r="IG81" i="8"/>
  <c r="IH81" i="8"/>
  <c r="II81" i="8"/>
  <c r="IJ81" i="8"/>
  <c r="IK81" i="8"/>
  <c r="IL81" i="8"/>
  <c r="IM81" i="8"/>
  <c r="IN81" i="8"/>
  <c r="IO81" i="8"/>
  <c r="IP81" i="8"/>
  <c r="IQ81" i="8"/>
  <c r="IR81" i="8"/>
  <c r="IS81" i="8"/>
  <c r="IT81" i="8"/>
  <c r="IU81" i="8"/>
  <c r="IV81" i="8"/>
  <c r="A82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M82" i="8"/>
  <c r="AN82" i="8"/>
  <c r="AO82" i="8"/>
  <c r="AP82" i="8"/>
  <c r="AQ82" i="8"/>
  <c r="AR82" i="8"/>
  <c r="AS82" i="8"/>
  <c r="AT82" i="8"/>
  <c r="AU82" i="8"/>
  <c r="AV82" i="8"/>
  <c r="AW82" i="8"/>
  <c r="AX82" i="8"/>
  <c r="AY82" i="8"/>
  <c r="AZ82" i="8"/>
  <c r="BA82" i="8"/>
  <c r="BB82" i="8"/>
  <c r="BC82" i="8"/>
  <c r="BD82" i="8"/>
  <c r="BE82" i="8"/>
  <c r="BF82" i="8"/>
  <c r="BG82" i="8"/>
  <c r="BH82" i="8"/>
  <c r="BI82" i="8"/>
  <c r="BJ82" i="8"/>
  <c r="BK82" i="8"/>
  <c r="BL82" i="8"/>
  <c r="BM82" i="8"/>
  <c r="BN82" i="8"/>
  <c r="BO82" i="8"/>
  <c r="BP82" i="8"/>
  <c r="BQ82" i="8"/>
  <c r="BR82" i="8"/>
  <c r="BS82" i="8"/>
  <c r="BT82" i="8"/>
  <c r="BU82" i="8"/>
  <c r="BV82" i="8"/>
  <c r="BW82" i="8"/>
  <c r="BX82" i="8"/>
  <c r="BY82" i="8"/>
  <c r="BZ82" i="8"/>
  <c r="CA82" i="8"/>
  <c r="CB82" i="8"/>
  <c r="CC82" i="8"/>
  <c r="CD82" i="8"/>
  <c r="CE82" i="8"/>
  <c r="CF82" i="8"/>
  <c r="CG82" i="8"/>
  <c r="CH82" i="8"/>
  <c r="CI82" i="8"/>
  <c r="CJ82" i="8"/>
  <c r="CK82" i="8"/>
  <c r="CL82" i="8"/>
  <c r="CM82" i="8"/>
  <c r="CN82" i="8"/>
  <c r="CO82" i="8"/>
  <c r="CP82" i="8"/>
  <c r="CQ82" i="8"/>
  <c r="CR82" i="8"/>
  <c r="CS82" i="8"/>
  <c r="CT82" i="8"/>
  <c r="CU82" i="8"/>
  <c r="CV82" i="8"/>
  <c r="CW82" i="8"/>
  <c r="CX82" i="8"/>
  <c r="CY82" i="8"/>
  <c r="CZ82" i="8"/>
  <c r="DA82" i="8"/>
  <c r="DB82" i="8"/>
  <c r="DC82" i="8"/>
  <c r="DD82" i="8"/>
  <c r="DE82" i="8"/>
  <c r="DF82" i="8"/>
  <c r="DG82" i="8"/>
  <c r="DH82" i="8"/>
  <c r="DI82" i="8"/>
  <c r="DJ82" i="8"/>
  <c r="DK82" i="8"/>
  <c r="DL82" i="8"/>
  <c r="DM82" i="8"/>
  <c r="DN82" i="8"/>
  <c r="DO82" i="8"/>
  <c r="DP82" i="8"/>
  <c r="DQ82" i="8"/>
  <c r="DR82" i="8"/>
  <c r="DS82" i="8"/>
  <c r="DT82" i="8"/>
  <c r="DU82" i="8"/>
  <c r="DV82" i="8"/>
  <c r="DW82" i="8"/>
  <c r="DX82" i="8"/>
  <c r="DY82" i="8"/>
  <c r="DZ82" i="8"/>
  <c r="EA82" i="8"/>
  <c r="EB82" i="8"/>
  <c r="EC82" i="8"/>
  <c r="ED82" i="8"/>
  <c r="EE82" i="8"/>
  <c r="EF82" i="8"/>
  <c r="EG82" i="8"/>
  <c r="EH82" i="8"/>
  <c r="EI82" i="8"/>
  <c r="EJ82" i="8"/>
  <c r="EK82" i="8"/>
  <c r="EL82" i="8"/>
  <c r="EM82" i="8"/>
  <c r="EN82" i="8"/>
  <c r="EO82" i="8"/>
  <c r="EP82" i="8"/>
  <c r="EQ82" i="8"/>
  <c r="ER82" i="8"/>
  <c r="ES82" i="8"/>
  <c r="ET82" i="8"/>
  <c r="EU82" i="8"/>
  <c r="EV82" i="8"/>
  <c r="EW82" i="8"/>
  <c r="EX82" i="8"/>
  <c r="EY82" i="8"/>
  <c r="EZ82" i="8"/>
  <c r="FA82" i="8"/>
  <c r="FB82" i="8"/>
  <c r="FC82" i="8"/>
  <c r="FD82" i="8"/>
  <c r="FE82" i="8"/>
  <c r="FF82" i="8"/>
  <c r="FG82" i="8"/>
  <c r="FH82" i="8"/>
  <c r="FI82" i="8"/>
  <c r="FJ82" i="8"/>
  <c r="FK82" i="8"/>
  <c r="FL82" i="8"/>
  <c r="FM82" i="8"/>
  <c r="FN82" i="8"/>
  <c r="FO82" i="8"/>
  <c r="FP82" i="8"/>
  <c r="FQ82" i="8"/>
  <c r="FR82" i="8"/>
  <c r="FS82" i="8"/>
  <c r="FT82" i="8"/>
  <c r="FU82" i="8"/>
  <c r="FV82" i="8"/>
  <c r="FW82" i="8"/>
  <c r="FX82" i="8"/>
  <c r="FY82" i="8"/>
  <c r="FZ82" i="8"/>
  <c r="GA82" i="8"/>
  <c r="GB82" i="8"/>
  <c r="GC82" i="8"/>
  <c r="GD82" i="8"/>
  <c r="GE82" i="8"/>
  <c r="GF82" i="8"/>
  <c r="GG82" i="8"/>
  <c r="GH82" i="8"/>
  <c r="GI82" i="8"/>
  <c r="GJ82" i="8"/>
  <c r="GK82" i="8"/>
  <c r="GL82" i="8"/>
  <c r="GM82" i="8"/>
  <c r="GN82" i="8"/>
  <c r="GO82" i="8"/>
  <c r="GP82" i="8"/>
  <c r="GQ82" i="8"/>
  <c r="GR82" i="8"/>
  <c r="GS82" i="8"/>
  <c r="GT82" i="8"/>
  <c r="GU82" i="8"/>
  <c r="GV82" i="8"/>
  <c r="GW82" i="8"/>
  <c r="GX82" i="8"/>
  <c r="GY82" i="8"/>
  <c r="GZ82" i="8"/>
  <c r="HA82" i="8"/>
  <c r="HB82" i="8"/>
  <c r="HC82" i="8"/>
  <c r="HD82" i="8"/>
  <c r="HE82" i="8"/>
  <c r="HF82" i="8"/>
  <c r="HG82" i="8"/>
  <c r="HH82" i="8"/>
  <c r="HI82" i="8"/>
  <c r="HJ82" i="8"/>
  <c r="HK82" i="8"/>
  <c r="HL82" i="8"/>
  <c r="HM82" i="8"/>
  <c r="HN82" i="8"/>
  <c r="HO82" i="8"/>
  <c r="HP82" i="8"/>
  <c r="HQ82" i="8"/>
  <c r="HR82" i="8"/>
  <c r="HS82" i="8"/>
  <c r="HT82" i="8"/>
  <c r="HU82" i="8"/>
  <c r="HV82" i="8"/>
  <c r="HW82" i="8"/>
  <c r="HX82" i="8"/>
  <c r="HY82" i="8"/>
  <c r="HZ82" i="8"/>
  <c r="IA82" i="8"/>
  <c r="IB82" i="8"/>
  <c r="IC82" i="8"/>
  <c r="ID82" i="8"/>
  <c r="IE82" i="8"/>
  <c r="IF82" i="8"/>
  <c r="IG82" i="8"/>
  <c r="IH82" i="8"/>
  <c r="II82" i="8"/>
  <c r="IJ82" i="8"/>
  <c r="IK82" i="8"/>
  <c r="IL82" i="8"/>
  <c r="IM82" i="8"/>
  <c r="IN82" i="8"/>
  <c r="IO82" i="8"/>
  <c r="IP82" i="8"/>
  <c r="IQ82" i="8"/>
  <c r="IR82" i="8"/>
  <c r="IS82" i="8"/>
  <c r="IT82" i="8"/>
  <c r="IU82" i="8"/>
  <c r="IV82" i="8"/>
  <c r="A83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M83" i="8"/>
  <c r="AN83" i="8"/>
  <c r="AO83" i="8"/>
  <c r="AP83" i="8"/>
  <c r="AQ83" i="8"/>
  <c r="AR83" i="8"/>
  <c r="AS83" i="8"/>
  <c r="AT83" i="8"/>
  <c r="AU83" i="8"/>
  <c r="AV83" i="8"/>
  <c r="AW83" i="8"/>
  <c r="AX83" i="8"/>
  <c r="AY83" i="8"/>
  <c r="AZ83" i="8"/>
  <c r="BA83" i="8"/>
  <c r="BB83" i="8"/>
  <c r="BC83" i="8"/>
  <c r="BD83" i="8"/>
  <c r="BE83" i="8"/>
  <c r="BF83" i="8"/>
  <c r="BG83" i="8"/>
  <c r="BH83" i="8"/>
  <c r="BI83" i="8"/>
  <c r="BJ83" i="8"/>
  <c r="BK83" i="8"/>
  <c r="BL83" i="8"/>
  <c r="BM83" i="8"/>
  <c r="BN83" i="8"/>
  <c r="BO83" i="8"/>
  <c r="BP83" i="8"/>
  <c r="BQ83" i="8"/>
  <c r="BR83" i="8"/>
  <c r="BS83" i="8"/>
  <c r="BT83" i="8"/>
  <c r="BU83" i="8"/>
  <c r="BV83" i="8"/>
  <c r="BW83" i="8"/>
  <c r="BX83" i="8"/>
  <c r="BY83" i="8"/>
  <c r="BZ83" i="8"/>
  <c r="CA83" i="8"/>
  <c r="CB83" i="8"/>
  <c r="CC83" i="8"/>
  <c r="CD83" i="8"/>
  <c r="CE83" i="8"/>
  <c r="CF83" i="8"/>
  <c r="CG83" i="8"/>
  <c r="CH83" i="8"/>
  <c r="CI83" i="8"/>
  <c r="CJ83" i="8"/>
  <c r="CK83" i="8"/>
  <c r="CL83" i="8"/>
  <c r="CM83" i="8"/>
  <c r="CN83" i="8"/>
  <c r="CO83" i="8"/>
  <c r="CP83" i="8"/>
  <c r="CQ83" i="8"/>
  <c r="CR83" i="8"/>
  <c r="CS83" i="8"/>
  <c r="CT83" i="8"/>
  <c r="CU83" i="8"/>
  <c r="CV83" i="8"/>
  <c r="CW83" i="8"/>
  <c r="CX83" i="8"/>
  <c r="CY83" i="8"/>
  <c r="CZ83" i="8"/>
  <c r="DA83" i="8"/>
  <c r="DB83" i="8"/>
  <c r="DC83" i="8"/>
  <c r="DD83" i="8"/>
  <c r="DE83" i="8"/>
  <c r="DF83" i="8"/>
  <c r="DG83" i="8"/>
  <c r="DH83" i="8"/>
  <c r="DI83" i="8"/>
  <c r="DJ83" i="8"/>
  <c r="DK83" i="8"/>
  <c r="DL83" i="8"/>
  <c r="DM83" i="8"/>
  <c r="DN83" i="8"/>
  <c r="DO83" i="8"/>
  <c r="DP83" i="8"/>
  <c r="DQ83" i="8"/>
  <c r="DR83" i="8"/>
  <c r="DS83" i="8"/>
  <c r="DT83" i="8"/>
  <c r="DU83" i="8"/>
  <c r="DV83" i="8"/>
  <c r="DW83" i="8"/>
  <c r="DX83" i="8"/>
  <c r="DY83" i="8"/>
  <c r="DZ83" i="8"/>
  <c r="EA83" i="8"/>
  <c r="EB83" i="8"/>
  <c r="EC83" i="8"/>
  <c r="ED83" i="8"/>
  <c r="EE83" i="8"/>
  <c r="EF83" i="8"/>
  <c r="EG83" i="8"/>
  <c r="EH83" i="8"/>
  <c r="EI83" i="8"/>
  <c r="EJ83" i="8"/>
  <c r="EK83" i="8"/>
  <c r="EL83" i="8"/>
  <c r="EM83" i="8"/>
  <c r="EN83" i="8"/>
  <c r="EO83" i="8"/>
  <c r="EP83" i="8"/>
  <c r="EQ83" i="8"/>
  <c r="ER83" i="8"/>
  <c r="ES83" i="8"/>
  <c r="ET83" i="8"/>
  <c r="EU83" i="8"/>
  <c r="EV83" i="8"/>
  <c r="EW83" i="8"/>
  <c r="EX83" i="8"/>
  <c r="EY83" i="8"/>
  <c r="EZ83" i="8"/>
  <c r="FA83" i="8"/>
  <c r="FB83" i="8"/>
  <c r="FC83" i="8"/>
  <c r="FD83" i="8"/>
  <c r="FE83" i="8"/>
  <c r="FF83" i="8"/>
  <c r="FG83" i="8"/>
  <c r="FH83" i="8"/>
  <c r="FI83" i="8"/>
  <c r="FJ83" i="8"/>
  <c r="FK83" i="8"/>
  <c r="FL83" i="8"/>
  <c r="FM83" i="8"/>
  <c r="FN83" i="8"/>
  <c r="FO83" i="8"/>
  <c r="FP83" i="8"/>
  <c r="FQ83" i="8"/>
  <c r="FR83" i="8"/>
  <c r="FS83" i="8"/>
  <c r="FT83" i="8"/>
  <c r="FU83" i="8"/>
  <c r="FV83" i="8"/>
  <c r="FW83" i="8"/>
  <c r="FX83" i="8"/>
  <c r="FY83" i="8"/>
  <c r="FZ83" i="8"/>
  <c r="GA83" i="8"/>
  <c r="GB83" i="8"/>
  <c r="GC83" i="8"/>
  <c r="GD83" i="8"/>
  <c r="GE83" i="8"/>
  <c r="GF83" i="8"/>
  <c r="GG83" i="8"/>
  <c r="GH83" i="8"/>
  <c r="GI83" i="8"/>
  <c r="GJ83" i="8"/>
  <c r="GK83" i="8"/>
  <c r="GL83" i="8"/>
  <c r="GM83" i="8"/>
  <c r="GN83" i="8"/>
  <c r="GO83" i="8"/>
  <c r="GP83" i="8"/>
  <c r="GQ83" i="8"/>
  <c r="GR83" i="8"/>
  <c r="GS83" i="8"/>
  <c r="GT83" i="8"/>
  <c r="GU83" i="8"/>
  <c r="GV83" i="8"/>
  <c r="GW83" i="8"/>
  <c r="GX83" i="8"/>
  <c r="GY83" i="8"/>
  <c r="GZ83" i="8"/>
  <c r="HA83" i="8"/>
  <c r="HB83" i="8"/>
  <c r="HC83" i="8"/>
  <c r="HD83" i="8"/>
  <c r="HE83" i="8"/>
  <c r="HF83" i="8"/>
  <c r="HG83" i="8"/>
  <c r="HH83" i="8"/>
  <c r="HI83" i="8"/>
  <c r="HJ83" i="8"/>
  <c r="HK83" i="8"/>
  <c r="HL83" i="8"/>
  <c r="HM83" i="8"/>
  <c r="HN83" i="8"/>
  <c r="HO83" i="8"/>
  <c r="HP83" i="8"/>
  <c r="HQ83" i="8"/>
  <c r="HR83" i="8"/>
  <c r="HS83" i="8"/>
  <c r="HT83" i="8"/>
  <c r="HU83" i="8"/>
  <c r="HV83" i="8"/>
  <c r="HW83" i="8"/>
  <c r="HX83" i="8"/>
  <c r="HY83" i="8"/>
  <c r="HZ83" i="8"/>
  <c r="IA83" i="8"/>
  <c r="IB83" i="8"/>
  <c r="IC83" i="8"/>
  <c r="ID83" i="8"/>
  <c r="IE83" i="8"/>
  <c r="IF83" i="8"/>
  <c r="IG83" i="8"/>
  <c r="IH83" i="8"/>
  <c r="II83" i="8"/>
  <c r="IJ83" i="8"/>
  <c r="IK83" i="8"/>
  <c r="IL83" i="8"/>
  <c r="IM83" i="8"/>
  <c r="IN83" i="8"/>
  <c r="IO83" i="8"/>
  <c r="IP83" i="8"/>
  <c r="IQ83" i="8"/>
  <c r="IR83" i="8"/>
  <c r="IS83" i="8"/>
  <c r="IT83" i="8"/>
  <c r="IU83" i="8"/>
  <c r="IV83" i="8"/>
  <c r="A84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M84" i="8"/>
  <c r="AN84" i="8"/>
  <c r="AO84" i="8"/>
  <c r="AP84" i="8"/>
  <c r="AQ84" i="8"/>
  <c r="AR84" i="8"/>
  <c r="AS84" i="8"/>
  <c r="AT84" i="8"/>
  <c r="AU84" i="8"/>
  <c r="AV84" i="8"/>
  <c r="AW84" i="8"/>
  <c r="AX84" i="8"/>
  <c r="AY84" i="8"/>
  <c r="AZ84" i="8"/>
  <c r="BA84" i="8"/>
  <c r="BB84" i="8"/>
  <c r="BC84" i="8"/>
  <c r="BD84" i="8"/>
  <c r="BE84" i="8"/>
  <c r="BF84" i="8"/>
  <c r="BG84" i="8"/>
  <c r="BH84" i="8"/>
  <c r="BI84" i="8"/>
  <c r="BJ84" i="8"/>
  <c r="BK84" i="8"/>
  <c r="BL84" i="8"/>
  <c r="BM84" i="8"/>
  <c r="BN84" i="8"/>
  <c r="BO84" i="8"/>
  <c r="BP84" i="8"/>
  <c r="BQ84" i="8"/>
  <c r="BR84" i="8"/>
  <c r="BS84" i="8"/>
  <c r="BT84" i="8"/>
  <c r="BU84" i="8"/>
  <c r="BV84" i="8"/>
  <c r="BW84" i="8"/>
  <c r="BX84" i="8"/>
  <c r="BY84" i="8"/>
  <c r="BZ84" i="8"/>
  <c r="CA84" i="8"/>
  <c r="CB84" i="8"/>
  <c r="CC84" i="8"/>
  <c r="CD84" i="8"/>
  <c r="CE84" i="8"/>
  <c r="CF84" i="8"/>
  <c r="CG84" i="8"/>
  <c r="CH84" i="8"/>
  <c r="CI84" i="8"/>
  <c r="CJ84" i="8"/>
  <c r="CK84" i="8"/>
  <c r="CL84" i="8"/>
  <c r="CM84" i="8"/>
  <c r="CN84" i="8"/>
  <c r="CO84" i="8"/>
  <c r="CP84" i="8"/>
  <c r="CQ84" i="8"/>
  <c r="CR84" i="8"/>
  <c r="CS84" i="8"/>
  <c r="CT84" i="8"/>
  <c r="CU84" i="8"/>
  <c r="CV84" i="8"/>
  <c r="CW84" i="8"/>
  <c r="CX84" i="8"/>
  <c r="CY84" i="8"/>
  <c r="CZ84" i="8"/>
  <c r="DA84" i="8"/>
  <c r="DB84" i="8"/>
  <c r="DC84" i="8"/>
  <c r="DD84" i="8"/>
  <c r="DE84" i="8"/>
  <c r="DF84" i="8"/>
  <c r="DG84" i="8"/>
  <c r="DH84" i="8"/>
  <c r="DI84" i="8"/>
  <c r="DJ84" i="8"/>
  <c r="DK84" i="8"/>
  <c r="DL84" i="8"/>
  <c r="DM84" i="8"/>
  <c r="DN84" i="8"/>
  <c r="DO84" i="8"/>
  <c r="DP84" i="8"/>
  <c r="DQ84" i="8"/>
  <c r="DR84" i="8"/>
  <c r="DS84" i="8"/>
  <c r="DT84" i="8"/>
  <c r="DU84" i="8"/>
  <c r="DV84" i="8"/>
  <c r="DW84" i="8"/>
  <c r="DX84" i="8"/>
  <c r="DY84" i="8"/>
  <c r="DZ84" i="8"/>
  <c r="EA84" i="8"/>
  <c r="EB84" i="8"/>
  <c r="EC84" i="8"/>
  <c r="ED84" i="8"/>
  <c r="EE84" i="8"/>
  <c r="EF84" i="8"/>
  <c r="EG84" i="8"/>
  <c r="EH84" i="8"/>
  <c r="EI84" i="8"/>
  <c r="EJ84" i="8"/>
  <c r="EK84" i="8"/>
  <c r="EL84" i="8"/>
  <c r="EM84" i="8"/>
  <c r="EN84" i="8"/>
  <c r="EO84" i="8"/>
  <c r="EP84" i="8"/>
  <c r="EQ84" i="8"/>
  <c r="ER84" i="8"/>
  <c r="ES84" i="8"/>
  <c r="ET84" i="8"/>
  <c r="EU84" i="8"/>
  <c r="EV84" i="8"/>
  <c r="EW84" i="8"/>
  <c r="EX84" i="8"/>
  <c r="EY84" i="8"/>
  <c r="EZ84" i="8"/>
  <c r="FA84" i="8"/>
  <c r="FB84" i="8"/>
  <c r="FC84" i="8"/>
  <c r="FD84" i="8"/>
  <c r="FE84" i="8"/>
  <c r="FF84" i="8"/>
  <c r="FG84" i="8"/>
  <c r="FH84" i="8"/>
  <c r="FI84" i="8"/>
  <c r="FJ84" i="8"/>
  <c r="FK84" i="8"/>
  <c r="FL84" i="8"/>
  <c r="FM84" i="8"/>
  <c r="FN84" i="8"/>
  <c r="FO84" i="8"/>
  <c r="FP84" i="8"/>
  <c r="FQ84" i="8"/>
  <c r="FR84" i="8"/>
  <c r="FS84" i="8"/>
  <c r="FT84" i="8"/>
  <c r="FU84" i="8"/>
  <c r="FV84" i="8"/>
  <c r="FW84" i="8"/>
  <c r="FX84" i="8"/>
  <c r="FY84" i="8"/>
  <c r="FZ84" i="8"/>
  <c r="GA84" i="8"/>
  <c r="GB84" i="8"/>
  <c r="GC84" i="8"/>
  <c r="GD84" i="8"/>
  <c r="GE84" i="8"/>
  <c r="GF84" i="8"/>
  <c r="GG84" i="8"/>
  <c r="GH84" i="8"/>
  <c r="GI84" i="8"/>
  <c r="GJ84" i="8"/>
  <c r="GK84" i="8"/>
  <c r="GL84" i="8"/>
  <c r="GM84" i="8"/>
  <c r="GN84" i="8"/>
  <c r="GO84" i="8"/>
  <c r="GP84" i="8"/>
  <c r="GQ84" i="8"/>
  <c r="GR84" i="8"/>
  <c r="GS84" i="8"/>
  <c r="GT84" i="8"/>
  <c r="GU84" i="8"/>
  <c r="GV84" i="8"/>
  <c r="GW84" i="8"/>
  <c r="GX84" i="8"/>
  <c r="GY84" i="8"/>
  <c r="GZ84" i="8"/>
  <c r="HA84" i="8"/>
  <c r="HB84" i="8"/>
  <c r="HC84" i="8"/>
  <c r="HD84" i="8"/>
  <c r="HE84" i="8"/>
  <c r="HF84" i="8"/>
  <c r="HG84" i="8"/>
  <c r="HH84" i="8"/>
  <c r="HI84" i="8"/>
  <c r="HJ84" i="8"/>
  <c r="HK84" i="8"/>
  <c r="HL84" i="8"/>
  <c r="HM84" i="8"/>
  <c r="HN84" i="8"/>
  <c r="HO84" i="8"/>
  <c r="HP84" i="8"/>
  <c r="HQ84" i="8"/>
  <c r="HR84" i="8"/>
  <c r="HS84" i="8"/>
  <c r="HT84" i="8"/>
  <c r="HU84" i="8"/>
  <c r="HV84" i="8"/>
  <c r="HW84" i="8"/>
  <c r="HX84" i="8"/>
  <c r="HY84" i="8"/>
  <c r="HZ84" i="8"/>
  <c r="IA84" i="8"/>
  <c r="IB84" i="8"/>
  <c r="IC84" i="8"/>
  <c r="ID84" i="8"/>
  <c r="IE84" i="8"/>
  <c r="IF84" i="8"/>
  <c r="IG84" i="8"/>
  <c r="IH84" i="8"/>
  <c r="II84" i="8"/>
  <c r="IJ84" i="8"/>
  <c r="IK84" i="8"/>
  <c r="IL84" i="8"/>
  <c r="IM84" i="8"/>
  <c r="IN84" i="8"/>
  <c r="IO84" i="8"/>
  <c r="IP84" i="8"/>
  <c r="IQ84" i="8"/>
  <c r="IR84" i="8"/>
  <c r="IS84" i="8"/>
  <c r="IT84" i="8"/>
  <c r="IU84" i="8"/>
  <c r="IV84" i="8"/>
  <c r="A85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AJ85" i="8"/>
  <c r="AK85" i="8"/>
  <c r="AL85" i="8"/>
  <c r="AM85" i="8"/>
  <c r="AN85" i="8"/>
  <c r="AO85" i="8"/>
  <c r="AP85" i="8"/>
  <c r="AQ85" i="8"/>
  <c r="AR85" i="8"/>
  <c r="AS85" i="8"/>
  <c r="AT85" i="8"/>
  <c r="AU85" i="8"/>
  <c r="AV85" i="8"/>
  <c r="AW85" i="8"/>
  <c r="AX85" i="8"/>
  <c r="AY85" i="8"/>
  <c r="AZ85" i="8"/>
  <c r="BA85" i="8"/>
  <c r="BB85" i="8"/>
  <c r="BC85" i="8"/>
  <c r="BD85" i="8"/>
  <c r="BE85" i="8"/>
  <c r="BF85" i="8"/>
  <c r="BG85" i="8"/>
  <c r="BH85" i="8"/>
  <c r="BI85" i="8"/>
  <c r="BJ85" i="8"/>
  <c r="BK85" i="8"/>
  <c r="BL85" i="8"/>
  <c r="BM85" i="8"/>
  <c r="BN85" i="8"/>
  <c r="BO85" i="8"/>
  <c r="BP85" i="8"/>
  <c r="BQ85" i="8"/>
  <c r="BR85" i="8"/>
  <c r="BS85" i="8"/>
  <c r="BT85" i="8"/>
  <c r="BU85" i="8"/>
  <c r="BV85" i="8"/>
  <c r="BW85" i="8"/>
  <c r="BX85" i="8"/>
  <c r="BY85" i="8"/>
  <c r="BZ85" i="8"/>
  <c r="CA85" i="8"/>
  <c r="CB85" i="8"/>
  <c r="CC85" i="8"/>
  <c r="CD85" i="8"/>
  <c r="CE85" i="8"/>
  <c r="CF85" i="8"/>
  <c r="CG85" i="8"/>
  <c r="CH85" i="8"/>
  <c r="CI85" i="8"/>
  <c r="CJ85" i="8"/>
  <c r="CK85" i="8"/>
  <c r="CL85" i="8"/>
  <c r="CM85" i="8"/>
  <c r="CN85" i="8"/>
  <c r="CO85" i="8"/>
  <c r="CP85" i="8"/>
  <c r="CQ85" i="8"/>
  <c r="CR85" i="8"/>
  <c r="CS85" i="8"/>
  <c r="CT85" i="8"/>
  <c r="CU85" i="8"/>
  <c r="CV85" i="8"/>
  <c r="CW85" i="8"/>
  <c r="CX85" i="8"/>
  <c r="CY85" i="8"/>
  <c r="CZ85" i="8"/>
  <c r="DA85" i="8"/>
  <c r="DB85" i="8"/>
  <c r="DC85" i="8"/>
  <c r="DD85" i="8"/>
  <c r="DE85" i="8"/>
  <c r="DF85" i="8"/>
  <c r="DG85" i="8"/>
  <c r="DH85" i="8"/>
  <c r="DI85" i="8"/>
  <c r="DJ85" i="8"/>
  <c r="DK85" i="8"/>
  <c r="DL85" i="8"/>
  <c r="DM85" i="8"/>
  <c r="DN85" i="8"/>
  <c r="DO85" i="8"/>
  <c r="DP85" i="8"/>
  <c r="DQ85" i="8"/>
  <c r="DR85" i="8"/>
  <c r="DS85" i="8"/>
  <c r="DT85" i="8"/>
  <c r="DU85" i="8"/>
  <c r="DV85" i="8"/>
  <c r="DW85" i="8"/>
  <c r="DX85" i="8"/>
  <c r="DY85" i="8"/>
  <c r="DZ85" i="8"/>
  <c r="EA85" i="8"/>
  <c r="EB85" i="8"/>
  <c r="EC85" i="8"/>
  <c r="ED85" i="8"/>
  <c r="EE85" i="8"/>
  <c r="EF85" i="8"/>
  <c r="EG85" i="8"/>
  <c r="EH85" i="8"/>
  <c r="EI85" i="8"/>
  <c r="EJ85" i="8"/>
  <c r="EK85" i="8"/>
  <c r="EL85" i="8"/>
  <c r="EM85" i="8"/>
  <c r="EN85" i="8"/>
  <c r="EO85" i="8"/>
  <c r="EP85" i="8"/>
  <c r="EQ85" i="8"/>
  <c r="ER85" i="8"/>
  <c r="ES85" i="8"/>
  <c r="ET85" i="8"/>
  <c r="EU85" i="8"/>
  <c r="EV85" i="8"/>
  <c r="EW85" i="8"/>
  <c r="EX85" i="8"/>
  <c r="EY85" i="8"/>
  <c r="EZ85" i="8"/>
  <c r="FA85" i="8"/>
  <c r="FB85" i="8"/>
  <c r="FC85" i="8"/>
  <c r="FD85" i="8"/>
  <c r="FE85" i="8"/>
  <c r="FF85" i="8"/>
  <c r="FG85" i="8"/>
  <c r="FH85" i="8"/>
  <c r="FI85" i="8"/>
  <c r="FJ85" i="8"/>
  <c r="FK85" i="8"/>
  <c r="FL85" i="8"/>
  <c r="FM85" i="8"/>
  <c r="FN85" i="8"/>
  <c r="FO85" i="8"/>
  <c r="FP85" i="8"/>
  <c r="FQ85" i="8"/>
  <c r="FR85" i="8"/>
  <c r="FS85" i="8"/>
  <c r="FT85" i="8"/>
  <c r="FU85" i="8"/>
  <c r="FV85" i="8"/>
  <c r="FW85" i="8"/>
  <c r="FX85" i="8"/>
  <c r="FY85" i="8"/>
  <c r="FZ85" i="8"/>
  <c r="GA85" i="8"/>
  <c r="GB85" i="8"/>
  <c r="GC85" i="8"/>
  <c r="GD85" i="8"/>
  <c r="GE85" i="8"/>
  <c r="GF85" i="8"/>
  <c r="GG85" i="8"/>
  <c r="GH85" i="8"/>
  <c r="GI85" i="8"/>
  <c r="GJ85" i="8"/>
  <c r="GK85" i="8"/>
  <c r="GL85" i="8"/>
  <c r="GM85" i="8"/>
  <c r="GN85" i="8"/>
  <c r="GO85" i="8"/>
  <c r="GP85" i="8"/>
  <c r="GQ85" i="8"/>
  <c r="GR85" i="8"/>
  <c r="GS85" i="8"/>
  <c r="GT85" i="8"/>
  <c r="GU85" i="8"/>
  <c r="GV85" i="8"/>
  <c r="GW85" i="8"/>
  <c r="GX85" i="8"/>
  <c r="GY85" i="8"/>
  <c r="GZ85" i="8"/>
  <c r="HA85" i="8"/>
  <c r="HB85" i="8"/>
  <c r="HC85" i="8"/>
  <c r="HD85" i="8"/>
  <c r="HE85" i="8"/>
  <c r="HF85" i="8"/>
  <c r="HG85" i="8"/>
  <c r="HH85" i="8"/>
  <c r="HI85" i="8"/>
  <c r="HJ85" i="8"/>
  <c r="HK85" i="8"/>
  <c r="HL85" i="8"/>
  <c r="HM85" i="8"/>
  <c r="HN85" i="8"/>
  <c r="HO85" i="8"/>
  <c r="HP85" i="8"/>
  <c r="HQ85" i="8"/>
  <c r="HR85" i="8"/>
  <c r="HS85" i="8"/>
  <c r="HT85" i="8"/>
  <c r="HU85" i="8"/>
  <c r="HV85" i="8"/>
  <c r="HW85" i="8"/>
  <c r="HX85" i="8"/>
  <c r="HY85" i="8"/>
  <c r="HZ85" i="8"/>
  <c r="IA85" i="8"/>
  <c r="IB85" i="8"/>
  <c r="IC85" i="8"/>
  <c r="ID85" i="8"/>
  <c r="IE85" i="8"/>
  <c r="IF85" i="8"/>
  <c r="IG85" i="8"/>
  <c r="IH85" i="8"/>
  <c r="II85" i="8"/>
  <c r="IJ85" i="8"/>
  <c r="IK85" i="8"/>
  <c r="IL85" i="8"/>
  <c r="IM85" i="8"/>
  <c r="IN85" i="8"/>
  <c r="IO85" i="8"/>
  <c r="IP85" i="8"/>
  <c r="IQ85" i="8"/>
  <c r="IR85" i="8"/>
  <c r="IS85" i="8"/>
  <c r="IT85" i="8"/>
  <c r="IU85" i="8"/>
  <c r="IV85" i="8"/>
  <c r="A86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Z86" i="8"/>
  <c r="AA86" i="8"/>
  <c r="AB86" i="8"/>
  <c r="AC86" i="8"/>
  <c r="AD86" i="8"/>
  <c r="AE86" i="8"/>
  <c r="AF86" i="8"/>
  <c r="AG86" i="8"/>
  <c r="AH86" i="8"/>
  <c r="AI86" i="8"/>
  <c r="AJ86" i="8"/>
  <c r="AK86" i="8"/>
  <c r="AL86" i="8"/>
  <c r="AM86" i="8"/>
  <c r="AN86" i="8"/>
  <c r="AO86" i="8"/>
  <c r="AP86" i="8"/>
  <c r="AQ86" i="8"/>
  <c r="AR86" i="8"/>
  <c r="AS86" i="8"/>
  <c r="AT86" i="8"/>
  <c r="AU86" i="8"/>
  <c r="AV86" i="8"/>
  <c r="AW86" i="8"/>
  <c r="AX86" i="8"/>
  <c r="AY86" i="8"/>
  <c r="AZ86" i="8"/>
  <c r="BA86" i="8"/>
  <c r="BB86" i="8"/>
  <c r="BC86" i="8"/>
  <c r="BD86" i="8"/>
  <c r="BE86" i="8"/>
  <c r="BF86" i="8"/>
  <c r="BG86" i="8"/>
  <c r="BH86" i="8"/>
  <c r="BI86" i="8"/>
  <c r="BJ86" i="8"/>
  <c r="BK86" i="8"/>
  <c r="BL86" i="8"/>
  <c r="BM86" i="8"/>
  <c r="BN86" i="8"/>
  <c r="BO86" i="8"/>
  <c r="BP86" i="8"/>
  <c r="BQ86" i="8"/>
  <c r="BR86" i="8"/>
  <c r="BS86" i="8"/>
  <c r="BT86" i="8"/>
  <c r="BU86" i="8"/>
  <c r="BV86" i="8"/>
  <c r="BW86" i="8"/>
  <c r="BX86" i="8"/>
  <c r="BY86" i="8"/>
  <c r="BZ86" i="8"/>
  <c r="CA86" i="8"/>
  <c r="CB86" i="8"/>
  <c r="CC86" i="8"/>
  <c r="CD86" i="8"/>
  <c r="CE86" i="8"/>
  <c r="CF86" i="8"/>
  <c r="CG86" i="8"/>
  <c r="CH86" i="8"/>
  <c r="CI86" i="8"/>
  <c r="CJ86" i="8"/>
  <c r="CK86" i="8"/>
  <c r="CL86" i="8"/>
  <c r="CM86" i="8"/>
  <c r="CN86" i="8"/>
  <c r="CO86" i="8"/>
  <c r="CP86" i="8"/>
  <c r="CQ86" i="8"/>
  <c r="CR86" i="8"/>
  <c r="CS86" i="8"/>
  <c r="CT86" i="8"/>
  <c r="CU86" i="8"/>
  <c r="CV86" i="8"/>
  <c r="CW86" i="8"/>
  <c r="CX86" i="8"/>
  <c r="CY86" i="8"/>
  <c r="CZ86" i="8"/>
  <c r="DA86" i="8"/>
  <c r="DB86" i="8"/>
  <c r="DC86" i="8"/>
  <c r="DD86" i="8"/>
  <c r="DE86" i="8"/>
  <c r="DF86" i="8"/>
  <c r="DG86" i="8"/>
  <c r="DH86" i="8"/>
  <c r="DI86" i="8"/>
  <c r="DJ86" i="8"/>
  <c r="DK86" i="8"/>
  <c r="DL86" i="8"/>
  <c r="DM86" i="8"/>
  <c r="DN86" i="8"/>
  <c r="DO86" i="8"/>
  <c r="DP86" i="8"/>
  <c r="DQ86" i="8"/>
  <c r="DR86" i="8"/>
  <c r="DS86" i="8"/>
  <c r="DT86" i="8"/>
  <c r="DU86" i="8"/>
  <c r="DV86" i="8"/>
  <c r="DW86" i="8"/>
  <c r="DX86" i="8"/>
  <c r="DY86" i="8"/>
  <c r="DZ86" i="8"/>
  <c r="EA86" i="8"/>
  <c r="EB86" i="8"/>
  <c r="EC86" i="8"/>
  <c r="ED86" i="8"/>
  <c r="EE86" i="8"/>
  <c r="EF86" i="8"/>
  <c r="EG86" i="8"/>
  <c r="EH86" i="8"/>
  <c r="EI86" i="8"/>
  <c r="EJ86" i="8"/>
  <c r="EK86" i="8"/>
  <c r="EL86" i="8"/>
  <c r="EM86" i="8"/>
  <c r="EN86" i="8"/>
  <c r="EO86" i="8"/>
  <c r="EP86" i="8"/>
  <c r="EQ86" i="8"/>
  <c r="ER86" i="8"/>
  <c r="ES86" i="8"/>
  <c r="ET86" i="8"/>
  <c r="EU86" i="8"/>
  <c r="EV86" i="8"/>
  <c r="EW86" i="8"/>
  <c r="EX86" i="8"/>
  <c r="EY86" i="8"/>
  <c r="EZ86" i="8"/>
  <c r="FA86" i="8"/>
  <c r="FB86" i="8"/>
  <c r="FC86" i="8"/>
  <c r="FD86" i="8"/>
  <c r="FE86" i="8"/>
  <c r="FF86" i="8"/>
  <c r="FG86" i="8"/>
  <c r="FH86" i="8"/>
  <c r="FI86" i="8"/>
  <c r="FJ86" i="8"/>
  <c r="FK86" i="8"/>
  <c r="FL86" i="8"/>
  <c r="FM86" i="8"/>
  <c r="FN86" i="8"/>
  <c r="FO86" i="8"/>
  <c r="FP86" i="8"/>
  <c r="FQ86" i="8"/>
  <c r="FR86" i="8"/>
  <c r="FS86" i="8"/>
  <c r="FT86" i="8"/>
  <c r="FU86" i="8"/>
  <c r="FV86" i="8"/>
  <c r="FW86" i="8"/>
  <c r="FX86" i="8"/>
  <c r="FY86" i="8"/>
  <c r="FZ86" i="8"/>
  <c r="GA86" i="8"/>
  <c r="GB86" i="8"/>
  <c r="GC86" i="8"/>
  <c r="GD86" i="8"/>
  <c r="GE86" i="8"/>
  <c r="GF86" i="8"/>
  <c r="GG86" i="8"/>
  <c r="GH86" i="8"/>
  <c r="GI86" i="8"/>
  <c r="GJ86" i="8"/>
  <c r="GK86" i="8"/>
  <c r="GL86" i="8"/>
  <c r="GM86" i="8"/>
  <c r="GN86" i="8"/>
  <c r="GO86" i="8"/>
  <c r="GP86" i="8"/>
  <c r="GQ86" i="8"/>
  <c r="GR86" i="8"/>
  <c r="GS86" i="8"/>
  <c r="GT86" i="8"/>
  <c r="GU86" i="8"/>
  <c r="GV86" i="8"/>
  <c r="GW86" i="8"/>
  <c r="GX86" i="8"/>
  <c r="GY86" i="8"/>
  <c r="GZ86" i="8"/>
  <c r="HA86" i="8"/>
  <c r="HB86" i="8"/>
  <c r="HC86" i="8"/>
  <c r="HD86" i="8"/>
  <c r="HE86" i="8"/>
  <c r="HF86" i="8"/>
  <c r="HG86" i="8"/>
  <c r="HH86" i="8"/>
  <c r="HI86" i="8"/>
  <c r="HJ86" i="8"/>
  <c r="HK86" i="8"/>
  <c r="HL86" i="8"/>
  <c r="HM86" i="8"/>
  <c r="HN86" i="8"/>
  <c r="HO86" i="8"/>
  <c r="HP86" i="8"/>
  <c r="HQ86" i="8"/>
  <c r="HR86" i="8"/>
  <c r="HS86" i="8"/>
  <c r="HT86" i="8"/>
  <c r="HU86" i="8"/>
  <c r="HV86" i="8"/>
  <c r="HW86" i="8"/>
  <c r="HX86" i="8"/>
  <c r="HY86" i="8"/>
  <c r="HZ86" i="8"/>
  <c r="IA86" i="8"/>
  <c r="IB86" i="8"/>
  <c r="IC86" i="8"/>
  <c r="ID86" i="8"/>
  <c r="IE86" i="8"/>
  <c r="IF86" i="8"/>
  <c r="IG86" i="8"/>
  <c r="IH86" i="8"/>
  <c r="II86" i="8"/>
  <c r="IJ86" i="8"/>
  <c r="IK86" i="8"/>
  <c r="IL86" i="8"/>
  <c r="IM86" i="8"/>
  <c r="IN86" i="8"/>
  <c r="IO86" i="8"/>
  <c r="IP86" i="8"/>
  <c r="IQ86" i="8"/>
  <c r="IR86" i="8"/>
  <c r="IS86" i="8"/>
  <c r="IT86" i="8"/>
  <c r="IU86" i="8"/>
  <c r="IV86" i="8"/>
  <c r="A87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Z87" i="8"/>
  <c r="AA87" i="8"/>
  <c r="AB87" i="8"/>
  <c r="AC87" i="8"/>
  <c r="AD87" i="8"/>
  <c r="AE87" i="8"/>
  <c r="AF87" i="8"/>
  <c r="AG87" i="8"/>
  <c r="AH87" i="8"/>
  <c r="AI87" i="8"/>
  <c r="AJ87" i="8"/>
  <c r="AK87" i="8"/>
  <c r="AL87" i="8"/>
  <c r="AM87" i="8"/>
  <c r="AN87" i="8"/>
  <c r="AO87" i="8"/>
  <c r="AP87" i="8"/>
  <c r="AQ87" i="8"/>
  <c r="AR87" i="8"/>
  <c r="AS87" i="8"/>
  <c r="AT87" i="8"/>
  <c r="AU87" i="8"/>
  <c r="AV87" i="8"/>
  <c r="AW87" i="8"/>
  <c r="AX87" i="8"/>
  <c r="AY87" i="8"/>
  <c r="AZ87" i="8"/>
  <c r="BA87" i="8"/>
  <c r="BB87" i="8"/>
  <c r="BC87" i="8"/>
  <c r="BD87" i="8"/>
  <c r="BE87" i="8"/>
  <c r="BF87" i="8"/>
  <c r="BG87" i="8"/>
  <c r="BH87" i="8"/>
  <c r="BI87" i="8"/>
  <c r="BJ87" i="8"/>
  <c r="BK87" i="8"/>
  <c r="BL87" i="8"/>
  <c r="BM87" i="8"/>
  <c r="BN87" i="8"/>
  <c r="BO87" i="8"/>
  <c r="BP87" i="8"/>
  <c r="BQ87" i="8"/>
  <c r="BR87" i="8"/>
  <c r="BS87" i="8"/>
  <c r="BT87" i="8"/>
  <c r="BU87" i="8"/>
  <c r="BV87" i="8"/>
  <c r="BW87" i="8"/>
  <c r="BX87" i="8"/>
  <c r="BY87" i="8"/>
  <c r="BZ87" i="8"/>
  <c r="CA87" i="8"/>
  <c r="CB87" i="8"/>
  <c r="CC87" i="8"/>
  <c r="CD87" i="8"/>
  <c r="CE87" i="8"/>
  <c r="CF87" i="8"/>
  <c r="CG87" i="8"/>
  <c r="CH87" i="8"/>
  <c r="CI87" i="8"/>
  <c r="CJ87" i="8"/>
  <c r="CK87" i="8"/>
  <c r="CL87" i="8"/>
  <c r="CM87" i="8"/>
  <c r="CN87" i="8"/>
  <c r="CO87" i="8"/>
  <c r="CP87" i="8"/>
  <c r="CQ87" i="8"/>
  <c r="CR87" i="8"/>
  <c r="CS87" i="8"/>
  <c r="CT87" i="8"/>
  <c r="CU87" i="8"/>
  <c r="CV87" i="8"/>
  <c r="CW87" i="8"/>
  <c r="CX87" i="8"/>
  <c r="CY87" i="8"/>
  <c r="CZ87" i="8"/>
  <c r="DA87" i="8"/>
  <c r="DB87" i="8"/>
  <c r="DC87" i="8"/>
  <c r="DD87" i="8"/>
  <c r="DE87" i="8"/>
  <c r="DF87" i="8"/>
  <c r="DG87" i="8"/>
  <c r="DH87" i="8"/>
  <c r="DI87" i="8"/>
  <c r="DJ87" i="8"/>
  <c r="DK87" i="8"/>
  <c r="DL87" i="8"/>
  <c r="DM87" i="8"/>
  <c r="DN87" i="8"/>
  <c r="DO87" i="8"/>
  <c r="DP87" i="8"/>
  <c r="DQ87" i="8"/>
  <c r="DR87" i="8"/>
  <c r="DS87" i="8"/>
  <c r="DT87" i="8"/>
  <c r="DU87" i="8"/>
  <c r="DV87" i="8"/>
  <c r="DW87" i="8"/>
  <c r="DX87" i="8"/>
  <c r="DY87" i="8"/>
  <c r="DZ87" i="8"/>
  <c r="EA87" i="8"/>
  <c r="EB87" i="8"/>
  <c r="EC87" i="8"/>
  <c r="ED87" i="8"/>
  <c r="EE87" i="8"/>
  <c r="EF87" i="8"/>
  <c r="EG87" i="8"/>
  <c r="EH87" i="8"/>
  <c r="EI87" i="8"/>
  <c r="EJ87" i="8"/>
  <c r="EK87" i="8"/>
  <c r="EL87" i="8"/>
  <c r="EM87" i="8"/>
  <c r="EN87" i="8"/>
  <c r="EO87" i="8"/>
  <c r="EP87" i="8"/>
  <c r="EQ87" i="8"/>
  <c r="ER87" i="8"/>
  <c r="ES87" i="8"/>
  <c r="ET87" i="8"/>
  <c r="EU87" i="8"/>
  <c r="EV87" i="8"/>
  <c r="EW87" i="8"/>
  <c r="EX87" i="8"/>
  <c r="EY87" i="8"/>
  <c r="EZ87" i="8"/>
  <c r="FA87" i="8"/>
  <c r="FB87" i="8"/>
  <c r="FC87" i="8"/>
  <c r="FD87" i="8"/>
  <c r="FE87" i="8"/>
  <c r="FF87" i="8"/>
  <c r="FG87" i="8"/>
  <c r="FH87" i="8"/>
  <c r="FI87" i="8"/>
  <c r="FJ87" i="8"/>
  <c r="FK87" i="8"/>
  <c r="FL87" i="8"/>
  <c r="FM87" i="8"/>
  <c r="FN87" i="8"/>
  <c r="FO87" i="8"/>
  <c r="FP87" i="8"/>
  <c r="FQ87" i="8"/>
  <c r="FR87" i="8"/>
  <c r="FS87" i="8"/>
  <c r="FT87" i="8"/>
  <c r="FU87" i="8"/>
  <c r="FV87" i="8"/>
  <c r="FW87" i="8"/>
  <c r="FX87" i="8"/>
  <c r="FY87" i="8"/>
  <c r="FZ87" i="8"/>
  <c r="GA87" i="8"/>
  <c r="GB87" i="8"/>
  <c r="GC87" i="8"/>
  <c r="GD87" i="8"/>
  <c r="GE87" i="8"/>
  <c r="GF87" i="8"/>
  <c r="GG87" i="8"/>
  <c r="GH87" i="8"/>
  <c r="GI87" i="8"/>
  <c r="GJ87" i="8"/>
  <c r="GK87" i="8"/>
  <c r="GL87" i="8"/>
  <c r="GM87" i="8"/>
  <c r="GN87" i="8"/>
  <c r="GO87" i="8"/>
  <c r="GP87" i="8"/>
  <c r="GQ87" i="8"/>
  <c r="GR87" i="8"/>
  <c r="GS87" i="8"/>
  <c r="GT87" i="8"/>
  <c r="GU87" i="8"/>
  <c r="GV87" i="8"/>
  <c r="GW87" i="8"/>
  <c r="GX87" i="8"/>
  <c r="GY87" i="8"/>
  <c r="GZ87" i="8"/>
  <c r="HA87" i="8"/>
  <c r="HB87" i="8"/>
  <c r="HC87" i="8"/>
  <c r="HD87" i="8"/>
  <c r="HE87" i="8"/>
  <c r="HF87" i="8"/>
  <c r="HG87" i="8"/>
  <c r="HH87" i="8"/>
  <c r="HI87" i="8"/>
  <c r="HJ87" i="8"/>
  <c r="HK87" i="8"/>
  <c r="HL87" i="8"/>
  <c r="HM87" i="8"/>
  <c r="HN87" i="8"/>
  <c r="HO87" i="8"/>
  <c r="HP87" i="8"/>
  <c r="HQ87" i="8"/>
  <c r="HR87" i="8"/>
  <c r="HS87" i="8"/>
  <c r="HT87" i="8"/>
  <c r="HU87" i="8"/>
  <c r="HV87" i="8"/>
  <c r="HW87" i="8"/>
  <c r="HX87" i="8"/>
  <c r="HY87" i="8"/>
  <c r="HZ87" i="8"/>
  <c r="IA87" i="8"/>
  <c r="IB87" i="8"/>
  <c r="IC87" i="8"/>
  <c r="ID87" i="8"/>
  <c r="IE87" i="8"/>
  <c r="IF87" i="8"/>
  <c r="IG87" i="8"/>
  <c r="IH87" i="8"/>
  <c r="II87" i="8"/>
  <c r="IJ87" i="8"/>
  <c r="IK87" i="8"/>
  <c r="IL87" i="8"/>
  <c r="IM87" i="8"/>
  <c r="IN87" i="8"/>
  <c r="IO87" i="8"/>
  <c r="IP87" i="8"/>
  <c r="IQ87" i="8"/>
  <c r="IR87" i="8"/>
  <c r="IS87" i="8"/>
  <c r="IT87" i="8"/>
  <c r="IU87" i="8"/>
  <c r="IV87" i="8"/>
  <c r="A88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Z88" i="8"/>
  <c r="AA88" i="8"/>
  <c r="AB88" i="8"/>
  <c r="AC88" i="8"/>
  <c r="AD88" i="8"/>
  <c r="AE88" i="8"/>
  <c r="AF88" i="8"/>
  <c r="AG88" i="8"/>
  <c r="AH88" i="8"/>
  <c r="AI88" i="8"/>
  <c r="AJ88" i="8"/>
  <c r="AK88" i="8"/>
  <c r="AL88" i="8"/>
  <c r="AM88" i="8"/>
  <c r="AN88" i="8"/>
  <c r="AO88" i="8"/>
  <c r="AP88" i="8"/>
  <c r="AQ88" i="8"/>
  <c r="AR88" i="8"/>
  <c r="AS88" i="8"/>
  <c r="AT88" i="8"/>
  <c r="AU88" i="8"/>
  <c r="AV88" i="8"/>
  <c r="AW88" i="8"/>
  <c r="AX88" i="8"/>
  <c r="AY88" i="8"/>
  <c r="AZ88" i="8"/>
  <c r="BA88" i="8"/>
  <c r="BB88" i="8"/>
  <c r="BC88" i="8"/>
  <c r="BD88" i="8"/>
  <c r="BE88" i="8"/>
  <c r="BF88" i="8"/>
  <c r="BG88" i="8"/>
  <c r="BH88" i="8"/>
  <c r="BI88" i="8"/>
  <c r="BJ88" i="8"/>
  <c r="BK88" i="8"/>
  <c r="BL88" i="8"/>
  <c r="BM88" i="8"/>
  <c r="BN88" i="8"/>
  <c r="BO88" i="8"/>
  <c r="BP88" i="8"/>
  <c r="BQ88" i="8"/>
  <c r="BR88" i="8"/>
  <c r="BS88" i="8"/>
  <c r="BT88" i="8"/>
  <c r="BU88" i="8"/>
  <c r="BV88" i="8"/>
  <c r="BW88" i="8"/>
  <c r="BX88" i="8"/>
  <c r="BY88" i="8"/>
  <c r="BZ88" i="8"/>
  <c r="CA88" i="8"/>
  <c r="CB88" i="8"/>
  <c r="CC88" i="8"/>
  <c r="CD88" i="8"/>
  <c r="CE88" i="8"/>
  <c r="CF88" i="8"/>
  <c r="CG88" i="8"/>
  <c r="CH88" i="8"/>
  <c r="CI88" i="8"/>
  <c r="CJ88" i="8"/>
  <c r="CK88" i="8"/>
  <c r="CL88" i="8"/>
  <c r="CM88" i="8"/>
  <c r="CN88" i="8"/>
  <c r="CO88" i="8"/>
  <c r="CP88" i="8"/>
  <c r="CQ88" i="8"/>
  <c r="CR88" i="8"/>
  <c r="CS88" i="8"/>
  <c r="CT88" i="8"/>
  <c r="CU88" i="8"/>
  <c r="CV88" i="8"/>
  <c r="CW88" i="8"/>
  <c r="CX88" i="8"/>
  <c r="CY88" i="8"/>
  <c r="CZ88" i="8"/>
  <c r="DA88" i="8"/>
  <c r="DB88" i="8"/>
  <c r="DC88" i="8"/>
  <c r="DD88" i="8"/>
  <c r="DE88" i="8"/>
  <c r="DF88" i="8"/>
  <c r="DG88" i="8"/>
  <c r="DH88" i="8"/>
  <c r="DI88" i="8"/>
  <c r="DJ88" i="8"/>
  <c r="DK88" i="8"/>
  <c r="DL88" i="8"/>
  <c r="DM88" i="8"/>
  <c r="DN88" i="8"/>
  <c r="DO88" i="8"/>
  <c r="DP88" i="8"/>
  <c r="DQ88" i="8"/>
  <c r="DR88" i="8"/>
  <c r="DS88" i="8"/>
  <c r="DT88" i="8"/>
  <c r="DU88" i="8"/>
  <c r="DV88" i="8"/>
  <c r="DW88" i="8"/>
  <c r="DX88" i="8"/>
  <c r="DY88" i="8"/>
  <c r="DZ88" i="8"/>
  <c r="EA88" i="8"/>
  <c r="EB88" i="8"/>
  <c r="EC88" i="8"/>
  <c r="ED88" i="8"/>
  <c r="EE88" i="8"/>
  <c r="EF88" i="8"/>
  <c r="EG88" i="8"/>
  <c r="EH88" i="8"/>
  <c r="EI88" i="8"/>
  <c r="EJ88" i="8"/>
  <c r="EK88" i="8"/>
  <c r="EL88" i="8"/>
  <c r="EM88" i="8"/>
  <c r="EN88" i="8"/>
  <c r="EO88" i="8"/>
  <c r="EP88" i="8"/>
  <c r="EQ88" i="8"/>
  <c r="ER88" i="8"/>
  <c r="ES88" i="8"/>
  <c r="ET88" i="8"/>
  <c r="EU88" i="8"/>
  <c r="EV88" i="8"/>
  <c r="EW88" i="8"/>
  <c r="EX88" i="8"/>
  <c r="EY88" i="8"/>
  <c r="EZ88" i="8"/>
  <c r="FA88" i="8"/>
  <c r="FB88" i="8"/>
  <c r="FC88" i="8"/>
  <c r="FD88" i="8"/>
  <c r="FE88" i="8"/>
  <c r="FF88" i="8"/>
  <c r="FG88" i="8"/>
  <c r="FH88" i="8"/>
  <c r="FI88" i="8"/>
  <c r="FJ88" i="8"/>
  <c r="FK88" i="8"/>
  <c r="FL88" i="8"/>
  <c r="FM88" i="8"/>
  <c r="FN88" i="8"/>
  <c r="FO88" i="8"/>
  <c r="FP88" i="8"/>
  <c r="FQ88" i="8"/>
  <c r="FR88" i="8"/>
  <c r="FS88" i="8"/>
  <c r="FT88" i="8"/>
  <c r="FU88" i="8"/>
  <c r="FV88" i="8"/>
  <c r="FW88" i="8"/>
  <c r="FX88" i="8"/>
  <c r="FY88" i="8"/>
  <c r="FZ88" i="8"/>
  <c r="GA88" i="8"/>
  <c r="GB88" i="8"/>
  <c r="GC88" i="8"/>
  <c r="GD88" i="8"/>
  <c r="GE88" i="8"/>
  <c r="GF88" i="8"/>
  <c r="GG88" i="8"/>
  <c r="GH88" i="8"/>
  <c r="GI88" i="8"/>
  <c r="GJ88" i="8"/>
  <c r="GK88" i="8"/>
  <c r="GL88" i="8"/>
  <c r="GM88" i="8"/>
  <c r="GN88" i="8"/>
  <c r="GO88" i="8"/>
  <c r="GP88" i="8"/>
  <c r="GQ88" i="8"/>
  <c r="GR88" i="8"/>
  <c r="GS88" i="8"/>
  <c r="GT88" i="8"/>
  <c r="GU88" i="8"/>
  <c r="GV88" i="8"/>
  <c r="GW88" i="8"/>
  <c r="GX88" i="8"/>
  <c r="GY88" i="8"/>
  <c r="GZ88" i="8"/>
  <c r="HA88" i="8"/>
  <c r="HB88" i="8"/>
  <c r="HC88" i="8"/>
  <c r="HD88" i="8"/>
  <c r="HE88" i="8"/>
  <c r="HF88" i="8"/>
  <c r="HG88" i="8"/>
  <c r="HH88" i="8"/>
  <c r="HI88" i="8"/>
  <c r="HJ88" i="8"/>
  <c r="HK88" i="8"/>
  <c r="HL88" i="8"/>
  <c r="HM88" i="8"/>
  <c r="HN88" i="8"/>
  <c r="HO88" i="8"/>
  <c r="HP88" i="8"/>
  <c r="HQ88" i="8"/>
  <c r="HR88" i="8"/>
  <c r="HS88" i="8"/>
  <c r="HT88" i="8"/>
  <c r="HU88" i="8"/>
  <c r="HV88" i="8"/>
  <c r="HW88" i="8"/>
  <c r="HX88" i="8"/>
  <c r="HY88" i="8"/>
  <c r="HZ88" i="8"/>
  <c r="IA88" i="8"/>
  <c r="IB88" i="8"/>
  <c r="IC88" i="8"/>
  <c r="ID88" i="8"/>
  <c r="IE88" i="8"/>
  <c r="IF88" i="8"/>
  <c r="IG88" i="8"/>
  <c r="IH88" i="8"/>
  <c r="II88" i="8"/>
  <c r="IJ88" i="8"/>
  <c r="IK88" i="8"/>
  <c r="IL88" i="8"/>
  <c r="IM88" i="8"/>
  <c r="IN88" i="8"/>
  <c r="IO88" i="8"/>
  <c r="IP88" i="8"/>
  <c r="IQ88" i="8"/>
  <c r="IR88" i="8"/>
  <c r="IS88" i="8"/>
  <c r="IT88" i="8"/>
  <c r="IU88" i="8"/>
  <c r="IV88" i="8"/>
  <c r="A89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AM89" i="8"/>
  <c r="AN89" i="8"/>
  <c r="AO89" i="8"/>
  <c r="AP89" i="8"/>
  <c r="AQ89" i="8"/>
  <c r="AR89" i="8"/>
  <c r="AS89" i="8"/>
  <c r="AT89" i="8"/>
  <c r="AU89" i="8"/>
  <c r="AV89" i="8"/>
  <c r="AW89" i="8"/>
  <c r="AX89" i="8"/>
  <c r="AY89" i="8"/>
  <c r="AZ89" i="8"/>
  <c r="BA89" i="8"/>
  <c r="BB89" i="8"/>
  <c r="BC89" i="8"/>
  <c r="BD89" i="8"/>
  <c r="BE89" i="8"/>
  <c r="BF89" i="8"/>
  <c r="BG89" i="8"/>
  <c r="BH89" i="8"/>
  <c r="BI89" i="8"/>
  <c r="BJ89" i="8"/>
  <c r="BK89" i="8"/>
  <c r="BL89" i="8"/>
  <c r="BM89" i="8"/>
  <c r="BN89" i="8"/>
  <c r="BO89" i="8"/>
  <c r="BP89" i="8"/>
  <c r="BQ89" i="8"/>
  <c r="BR89" i="8"/>
  <c r="BS89" i="8"/>
  <c r="BT89" i="8"/>
  <c r="BU89" i="8"/>
  <c r="BV89" i="8"/>
  <c r="BW89" i="8"/>
  <c r="BX89" i="8"/>
  <c r="BY89" i="8"/>
  <c r="BZ89" i="8"/>
  <c r="CA89" i="8"/>
  <c r="CB89" i="8"/>
  <c r="CC89" i="8"/>
  <c r="CD89" i="8"/>
  <c r="CE89" i="8"/>
  <c r="CF89" i="8"/>
  <c r="CG89" i="8"/>
  <c r="CH89" i="8"/>
  <c r="CI89" i="8"/>
  <c r="CJ89" i="8"/>
  <c r="CK89" i="8"/>
  <c r="CL89" i="8"/>
  <c r="CM89" i="8"/>
  <c r="CN89" i="8"/>
  <c r="CO89" i="8"/>
  <c r="CP89" i="8"/>
  <c r="CQ89" i="8"/>
  <c r="CR89" i="8"/>
  <c r="CS89" i="8"/>
  <c r="CT89" i="8"/>
  <c r="CU89" i="8"/>
  <c r="CV89" i="8"/>
  <c r="CW89" i="8"/>
  <c r="CX89" i="8"/>
  <c r="CY89" i="8"/>
  <c r="CZ89" i="8"/>
  <c r="DA89" i="8"/>
  <c r="DB89" i="8"/>
  <c r="DC89" i="8"/>
  <c r="DD89" i="8"/>
  <c r="DE89" i="8"/>
  <c r="DF89" i="8"/>
  <c r="DG89" i="8"/>
  <c r="DH89" i="8"/>
  <c r="DI89" i="8"/>
  <c r="DJ89" i="8"/>
  <c r="DK89" i="8"/>
  <c r="DL89" i="8"/>
  <c r="DM89" i="8"/>
  <c r="DN89" i="8"/>
  <c r="DO89" i="8"/>
  <c r="DP89" i="8"/>
  <c r="DQ89" i="8"/>
  <c r="DR89" i="8"/>
  <c r="DS89" i="8"/>
  <c r="DT89" i="8"/>
  <c r="DU89" i="8"/>
  <c r="DV89" i="8"/>
  <c r="DW89" i="8"/>
  <c r="DX89" i="8"/>
  <c r="DY89" i="8"/>
  <c r="DZ89" i="8"/>
  <c r="EA89" i="8"/>
  <c r="EB89" i="8"/>
  <c r="EC89" i="8"/>
  <c r="ED89" i="8"/>
  <c r="EE89" i="8"/>
  <c r="EF89" i="8"/>
  <c r="EG89" i="8"/>
  <c r="EH89" i="8"/>
  <c r="EI89" i="8"/>
  <c r="EJ89" i="8"/>
  <c r="EK89" i="8"/>
  <c r="EL89" i="8"/>
  <c r="EM89" i="8"/>
  <c r="EN89" i="8"/>
  <c r="EO89" i="8"/>
  <c r="EP89" i="8"/>
  <c r="EQ89" i="8"/>
  <c r="ER89" i="8"/>
  <c r="ES89" i="8"/>
  <c r="ET89" i="8"/>
  <c r="EU89" i="8"/>
  <c r="EV89" i="8"/>
  <c r="EW89" i="8"/>
  <c r="EX89" i="8"/>
  <c r="EY89" i="8"/>
  <c r="EZ89" i="8"/>
  <c r="FA89" i="8"/>
  <c r="FB89" i="8"/>
  <c r="FC89" i="8"/>
  <c r="FD89" i="8"/>
  <c r="FE89" i="8"/>
  <c r="FF89" i="8"/>
  <c r="FG89" i="8"/>
  <c r="FH89" i="8"/>
  <c r="FI89" i="8"/>
  <c r="FJ89" i="8"/>
  <c r="FK89" i="8"/>
  <c r="FL89" i="8"/>
  <c r="FM89" i="8"/>
  <c r="FN89" i="8"/>
  <c r="FO89" i="8"/>
  <c r="FP89" i="8"/>
  <c r="FQ89" i="8"/>
  <c r="FR89" i="8"/>
  <c r="FS89" i="8"/>
  <c r="FT89" i="8"/>
  <c r="FU89" i="8"/>
  <c r="FV89" i="8"/>
  <c r="FW89" i="8"/>
  <c r="FX89" i="8"/>
  <c r="FY89" i="8"/>
  <c r="FZ89" i="8"/>
  <c r="GA89" i="8"/>
  <c r="GB89" i="8"/>
  <c r="GC89" i="8"/>
  <c r="GD89" i="8"/>
  <c r="GE89" i="8"/>
  <c r="GF89" i="8"/>
  <c r="GG89" i="8"/>
  <c r="GH89" i="8"/>
  <c r="GI89" i="8"/>
  <c r="GJ89" i="8"/>
  <c r="GK89" i="8"/>
  <c r="GL89" i="8"/>
  <c r="GM89" i="8"/>
  <c r="GN89" i="8"/>
  <c r="GO89" i="8"/>
  <c r="GP89" i="8"/>
  <c r="GQ89" i="8"/>
  <c r="GR89" i="8"/>
  <c r="GS89" i="8"/>
  <c r="GT89" i="8"/>
  <c r="GU89" i="8"/>
  <c r="GV89" i="8"/>
  <c r="GW89" i="8"/>
  <c r="GX89" i="8"/>
  <c r="GY89" i="8"/>
  <c r="GZ89" i="8"/>
  <c r="HA89" i="8"/>
  <c r="HB89" i="8"/>
  <c r="HC89" i="8"/>
  <c r="HD89" i="8"/>
  <c r="HE89" i="8"/>
  <c r="HF89" i="8"/>
  <c r="HG89" i="8"/>
  <c r="HH89" i="8"/>
  <c r="HI89" i="8"/>
  <c r="HJ89" i="8"/>
  <c r="HK89" i="8"/>
  <c r="HL89" i="8"/>
  <c r="HM89" i="8"/>
  <c r="HN89" i="8"/>
  <c r="HO89" i="8"/>
  <c r="HP89" i="8"/>
  <c r="HQ89" i="8"/>
  <c r="HR89" i="8"/>
  <c r="HS89" i="8"/>
  <c r="HT89" i="8"/>
  <c r="HU89" i="8"/>
  <c r="HV89" i="8"/>
  <c r="HW89" i="8"/>
  <c r="HX89" i="8"/>
  <c r="HY89" i="8"/>
  <c r="HZ89" i="8"/>
  <c r="IA89" i="8"/>
  <c r="IB89" i="8"/>
  <c r="IC89" i="8"/>
  <c r="ID89" i="8"/>
  <c r="IE89" i="8"/>
  <c r="IF89" i="8"/>
  <c r="IG89" i="8"/>
  <c r="IH89" i="8"/>
  <c r="II89" i="8"/>
  <c r="IJ89" i="8"/>
  <c r="IK89" i="8"/>
  <c r="IL89" i="8"/>
  <c r="IM89" i="8"/>
  <c r="IN89" i="8"/>
  <c r="IO89" i="8"/>
  <c r="IP89" i="8"/>
  <c r="IQ89" i="8"/>
  <c r="IR89" i="8"/>
  <c r="IS89" i="8"/>
  <c r="IT89" i="8"/>
  <c r="IU89" i="8"/>
  <c r="IV89" i="8"/>
  <c r="A90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AM90" i="8"/>
  <c r="AN90" i="8"/>
  <c r="AO90" i="8"/>
  <c r="AP90" i="8"/>
  <c r="AQ90" i="8"/>
  <c r="AR90" i="8"/>
  <c r="AS90" i="8"/>
  <c r="AT90" i="8"/>
  <c r="AU90" i="8"/>
  <c r="AV90" i="8"/>
  <c r="AW90" i="8"/>
  <c r="AX90" i="8"/>
  <c r="AY90" i="8"/>
  <c r="AZ90" i="8"/>
  <c r="BA90" i="8"/>
  <c r="BB90" i="8"/>
  <c r="BC90" i="8"/>
  <c r="BD90" i="8"/>
  <c r="BE90" i="8"/>
  <c r="BF90" i="8"/>
  <c r="BG90" i="8"/>
  <c r="BH90" i="8"/>
  <c r="BI90" i="8"/>
  <c r="BJ90" i="8"/>
  <c r="BK90" i="8"/>
  <c r="BL90" i="8"/>
  <c r="BM90" i="8"/>
  <c r="BN90" i="8"/>
  <c r="BO90" i="8"/>
  <c r="BP90" i="8"/>
  <c r="BQ90" i="8"/>
  <c r="BR90" i="8"/>
  <c r="BS90" i="8"/>
  <c r="BT90" i="8"/>
  <c r="BU90" i="8"/>
  <c r="BV90" i="8"/>
  <c r="BW90" i="8"/>
  <c r="BX90" i="8"/>
  <c r="BY90" i="8"/>
  <c r="BZ90" i="8"/>
  <c r="CA90" i="8"/>
  <c r="CB90" i="8"/>
  <c r="CC90" i="8"/>
  <c r="CD90" i="8"/>
  <c r="CE90" i="8"/>
  <c r="CF90" i="8"/>
  <c r="CG90" i="8"/>
  <c r="CH90" i="8"/>
  <c r="CI90" i="8"/>
  <c r="CJ90" i="8"/>
  <c r="CK90" i="8"/>
  <c r="CL90" i="8"/>
  <c r="CM90" i="8"/>
  <c r="CN90" i="8"/>
  <c r="CO90" i="8"/>
  <c r="CP90" i="8"/>
  <c r="CQ90" i="8"/>
  <c r="CR90" i="8"/>
  <c r="CS90" i="8"/>
  <c r="CT90" i="8"/>
  <c r="CU90" i="8"/>
  <c r="CV90" i="8"/>
  <c r="CW90" i="8"/>
  <c r="CX90" i="8"/>
  <c r="CY90" i="8"/>
  <c r="CZ90" i="8"/>
  <c r="DA90" i="8"/>
  <c r="DB90" i="8"/>
  <c r="DC90" i="8"/>
  <c r="DD90" i="8"/>
  <c r="DE90" i="8"/>
  <c r="DF90" i="8"/>
  <c r="DG90" i="8"/>
  <c r="DH90" i="8"/>
  <c r="DI90" i="8"/>
  <c r="DJ90" i="8"/>
  <c r="DK90" i="8"/>
  <c r="DL90" i="8"/>
  <c r="DM90" i="8"/>
  <c r="DN90" i="8"/>
  <c r="DO90" i="8"/>
  <c r="DP90" i="8"/>
  <c r="DQ90" i="8"/>
  <c r="DR90" i="8"/>
  <c r="DS90" i="8"/>
  <c r="DT90" i="8"/>
  <c r="DU90" i="8"/>
  <c r="DV90" i="8"/>
  <c r="DW90" i="8"/>
  <c r="DX90" i="8"/>
  <c r="DY90" i="8"/>
  <c r="DZ90" i="8"/>
  <c r="EA90" i="8"/>
  <c r="EB90" i="8"/>
  <c r="EC90" i="8"/>
  <c r="ED90" i="8"/>
  <c r="EE90" i="8"/>
  <c r="EF90" i="8"/>
  <c r="EG90" i="8"/>
  <c r="EH90" i="8"/>
  <c r="EI90" i="8"/>
  <c r="EJ90" i="8"/>
  <c r="EK90" i="8"/>
  <c r="EL90" i="8"/>
  <c r="EM90" i="8"/>
  <c r="EN90" i="8"/>
  <c r="EO90" i="8"/>
  <c r="EP90" i="8"/>
  <c r="EQ90" i="8"/>
  <c r="ER90" i="8"/>
  <c r="ES90" i="8"/>
  <c r="ET90" i="8"/>
  <c r="EU90" i="8"/>
  <c r="EV90" i="8"/>
  <c r="EW90" i="8"/>
  <c r="EX90" i="8"/>
  <c r="EY90" i="8"/>
  <c r="EZ90" i="8"/>
  <c r="FA90" i="8"/>
  <c r="FB90" i="8"/>
  <c r="FC90" i="8"/>
  <c r="FD90" i="8"/>
  <c r="FE90" i="8"/>
  <c r="FF90" i="8"/>
  <c r="FG90" i="8"/>
  <c r="FH90" i="8"/>
  <c r="FI90" i="8"/>
  <c r="FJ90" i="8"/>
  <c r="FK90" i="8"/>
  <c r="FL90" i="8"/>
  <c r="FM90" i="8"/>
  <c r="FN90" i="8"/>
  <c r="FO90" i="8"/>
  <c r="FP90" i="8"/>
  <c r="FQ90" i="8"/>
  <c r="FR90" i="8"/>
  <c r="FS90" i="8"/>
  <c r="FT90" i="8"/>
  <c r="FU90" i="8"/>
  <c r="FV90" i="8"/>
  <c r="FW90" i="8"/>
  <c r="FX90" i="8"/>
  <c r="FY90" i="8"/>
  <c r="FZ90" i="8"/>
  <c r="GA90" i="8"/>
  <c r="GB90" i="8"/>
  <c r="GC90" i="8"/>
  <c r="GD90" i="8"/>
  <c r="GE90" i="8"/>
  <c r="GF90" i="8"/>
  <c r="GG90" i="8"/>
  <c r="GH90" i="8"/>
  <c r="GI90" i="8"/>
  <c r="GJ90" i="8"/>
  <c r="GK90" i="8"/>
  <c r="GL90" i="8"/>
  <c r="GM90" i="8"/>
  <c r="GN90" i="8"/>
  <c r="GO90" i="8"/>
  <c r="GP90" i="8"/>
  <c r="GQ90" i="8"/>
  <c r="GR90" i="8"/>
  <c r="GS90" i="8"/>
  <c r="GT90" i="8"/>
  <c r="GU90" i="8"/>
  <c r="GV90" i="8"/>
  <c r="GW90" i="8"/>
  <c r="GX90" i="8"/>
  <c r="GY90" i="8"/>
  <c r="GZ90" i="8"/>
  <c r="HA90" i="8"/>
  <c r="HB90" i="8"/>
  <c r="HC90" i="8"/>
  <c r="HD90" i="8"/>
  <c r="HE90" i="8"/>
  <c r="HF90" i="8"/>
  <c r="HG90" i="8"/>
  <c r="HH90" i="8"/>
  <c r="HI90" i="8"/>
  <c r="HJ90" i="8"/>
  <c r="HK90" i="8"/>
  <c r="HL90" i="8"/>
  <c r="HM90" i="8"/>
  <c r="HN90" i="8"/>
  <c r="HO90" i="8"/>
  <c r="HP90" i="8"/>
  <c r="HQ90" i="8"/>
  <c r="HR90" i="8"/>
  <c r="HS90" i="8"/>
  <c r="HT90" i="8"/>
  <c r="HU90" i="8"/>
  <c r="HV90" i="8"/>
  <c r="HW90" i="8"/>
  <c r="HX90" i="8"/>
  <c r="HY90" i="8"/>
  <c r="HZ90" i="8"/>
  <c r="IA90" i="8"/>
  <c r="IB90" i="8"/>
  <c r="IC90" i="8"/>
  <c r="ID90" i="8"/>
  <c r="IE90" i="8"/>
  <c r="IF90" i="8"/>
  <c r="IG90" i="8"/>
  <c r="IH90" i="8"/>
  <c r="II90" i="8"/>
  <c r="IJ90" i="8"/>
  <c r="IK90" i="8"/>
  <c r="IL90" i="8"/>
  <c r="IM90" i="8"/>
  <c r="IN90" i="8"/>
  <c r="IO90" i="8"/>
  <c r="IP90" i="8"/>
  <c r="IQ90" i="8"/>
  <c r="IR90" i="8"/>
  <c r="IS90" i="8"/>
  <c r="IT90" i="8"/>
  <c r="IU90" i="8"/>
  <c r="IV90" i="8"/>
  <c r="A91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AJ91" i="8"/>
  <c r="AK91" i="8"/>
  <c r="AL91" i="8"/>
  <c r="AM91" i="8"/>
  <c r="AN91" i="8"/>
  <c r="AO91" i="8"/>
  <c r="AP91" i="8"/>
  <c r="AQ91" i="8"/>
  <c r="AR91" i="8"/>
  <c r="AS91" i="8"/>
  <c r="AT91" i="8"/>
  <c r="AU91" i="8"/>
  <c r="AV91" i="8"/>
  <c r="AW91" i="8"/>
  <c r="AX91" i="8"/>
  <c r="AY91" i="8"/>
  <c r="AZ91" i="8"/>
  <c r="BA91" i="8"/>
  <c r="BB91" i="8"/>
  <c r="BC91" i="8"/>
  <c r="BD91" i="8"/>
  <c r="BE91" i="8"/>
  <c r="BF91" i="8"/>
  <c r="BG91" i="8"/>
  <c r="BH91" i="8"/>
  <c r="BI91" i="8"/>
  <c r="BJ91" i="8"/>
  <c r="BK91" i="8"/>
  <c r="BL91" i="8"/>
  <c r="BM91" i="8"/>
  <c r="BN91" i="8"/>
  <c r="BO91" i="8"/>
  <c r="BP91" i="8"/>
  <c r="BQ91" i="8"/>
  <c r="BR91" i="8"/>
  <c r="BS91" i="8"/>
  <c r="BT91" i="8"/>
  <c r="BU91" i="8"/>
  <c r="BV91" i="8"/>
  <c r="BW91" i="8"/>
  <c r="BX91" i="8"/>
  <c r="BY91" i="8"/>
  <c r="BZ91" i="8"/>
  <c r="CA91" i="8"/>
  <c r="CB91" i="8"/>
  <c r="CC91" i="8"/>
  <c r="CD91" i="8"/>
  <c r="CE91" i="8"/>
  <c r="CF91" i="8"/>
  <c r="CG91" i="8"/>
  <c r="CH91" i="8"/>
  <c r="CI91" i="8"/>
  <c r="CJ91" i="8"/>
  <c r="CK91" i="8"/>
  <c r="CL91" i="8"/>
  <c r="CM91" i="8"/>
  <c r="CN91" i="8"/>
  <c r="CO91" i="8"/>
  <c r="CP91" i="8"/>
  <c r="CQ91" i="8"/>
  <c r="CR91" i="8"/>
  <c r="CS91" i="8"/>
  <c r="CT91" i="8"/>
  <c r="CU91" i="8"/>
  <c r="CV91" i="8"/>
  <c r="CW91" i="8"/>
  <c r="CX91" i="8"/>
  <c r="CY91" i="8"/>
  <c r="CZ91" i="8"/>
  <c r="DA91" i="8"/>
  <c r="DB91" i="8"/>
  <c r="DC91" i="8"/>
  <c r="DD91" i="8"/>
  <c r="DE91" i="8"/>
  <c r="DF91" i="8"/>
  <c r="DG91" i="8"/>
  <c r="DH91" i="8"/>
  <c r="DI91" i="8"/>
  <c r="DJ91" i="8"/>
  <c r="DK91" i="8"/>
  <c r="DL91" i="8"/>
  <c r="DM91" i="8"/>
  <c r="DN91" i="8"/>
  <c r="DO91" i="8"/>
  <c r="DP91" i="8"/>
  <c r="DQ91" i="8"/>
  <c r="DR91" i="8"/>
  <c r="DS91" i="8"/>
  <c r="DT91" i="8"/>
  <c r="DU91" i="8"/>
  <c r="DV91" i="8"/>
  <c r="DW91" i="8"/>
  <c r="DX91" i="8"/>
  <c r="DY91" i="8"/>
  <c r="DZ91" i="8"/>
  <c r="EA91" i="8"/>
  <c r="EB91" i="8"/>
  <c r="EC91" i="8"/>
  <c r="ED91" i="8"/>
  <c r="EE91" i="8"/>
  <c r="EF91" i="8"/>
  <c r="EG91" i="8"/>
  <c r="EH91" i="8"/>
  <c r="EI91" i="8"/>
  <c r="EJ91" i="8"/>
  <c r="EK91" i="8"/>
  <c r="EL91" i="8"/>
  <c r="EM91" i="8"/>
  <c r="EN91" i="8"/>
  <c r="EO91" i="8"/>
  <c r="EP91" i="8"/>
  <c r="EQ91" i="8"/>
  <c r="ER91" i="8"/>
  <c r="ES91" i="8"/>
  <c r="ET91" i="8"/>
  <c r="EU91" i="8"/>
  <c r="EV91" i="8"/>
  <c r="EW91" i="8"/>
  <c r="EX91" i="8"/>
  <c r="EY91" i="8"/>
  <c r="EZ91" i="8"/>
  <c r="FA91" i="8"/>
  <c r="FB91" i="8"/>
  <c r="FC91" i="8"/>
  <c r="FD91" i="8"/>
  <c r="FE91" i="8"/>
  <c r="FF91" i="8"/>
  <c r="FG91" i="8"/>
  <c r="FH91" i="8"/>
  <c r="FI91" i="8"/>
  <c r="FJ91" i="8"/>
  <c r="FK91" i="8"/>
  <c r="FL91" i="8"/>
  <c r="FM91" i="8"/>
  <c r="FN91" i="8"/>
  <c r="FO91" i="8"/>
  <c r="FP91" i="8"/>
  <c r="FQ91" i="8"/>
  <c r="FR91" i="8"/>
  <c r="FS91" i="8"/>
  <c r="FT91" i="8"/>
  <c r="FU91" i="8"/>
  <c r="FV91" i="8"/>
  <c r="FW91" i="8"/>
  <c r="FX91" i="8"/>
  <c r="FY91" i="8"/>
  <c r="FZ91" i="8"/>
  <c r="GA91" i="8"/>
  <c r="GB91" i="8"/>
  <c r="GC91" i="8"/>
  <c r="GD91" i="8"/>
  <c r="GE91" i="8"/>
  <c r="GF91" i="8"/>
  <c r="GG91" i="8"/>
  <c r="GH91" i="8"/>
  <c r="GI91" i="8"/>
  <c r="GJ91" i="8"/>
  <c r="GK91" i="8"/>
  <c r="GL91" i="8"/>
  <c r="GM91" i="8"/>
  <c r="GN91" i="8"/>
  <c r="GO91" i="8"/>
  <c r="GP91" i="8"/>
  <c r="GQ91" i="8"/>
  <c r="GR91" i="8"/>
  <c r="GS91" i="8"/>
  <c r="GT91" i="8"/>
  <c r="GU91" i="8"/>
  <c r="GV91" i="8"/>
  <c r="GW91" i="8"/>
  <c r="GX91" i="8"/>
  <c r="GY91" i="8"/>
  <c r="GZ91" i="8"/>
  <c r="HA91" i="8"/>
  <c r="HB91" i="8"/>
  <c r="HC91" i="8"/>
  <c r="HD91" i="8"/>
  <c r="HE91" i="8"/>
  <c r="HF91" i="8"/>
  <c r="HG91" i="8"/>
  <c r="HH91" i="8"/>
  <c r="HI91" i="8"/>
  <c r="HJ91" i="8"/>
  <c r="HK91" i="8"/>
  <c r="HL91" i="8"/>
  <c r="HM91" i="8"/>
  <c r="HN91" i="8"/>
  <c r="HO91" i="8"/>
  <c r="HP91" i="8"/>
  <c r="HQ91" i="8"/>
  <c r="HR91" i="8"/>
  <c r="HS91" i="8"/>
  <c r="HT91" i="8"/>
  <c r="HU91" i="8"/>
  <c r="HV91" i="8"/>
  <c r="HW91" i="8"/>
  <c r="HX91" i="8"/>
  <c r="HY91" i="8"/>
  <c r="HZ91" i="8"/>
  <c r="IA91" i="8"/>
  <c r="IB91" i="8"/>
  <c r="IC91" i="8"/>
  <c r="ID91" i="8"/>
  <c r="IE91" i="8"/>
  <c r="IF91" i="8"/>
  <c r="IG91" i="8"/>
  <c r="IH91" i="8"/>
  <c r="II91" i="8"/>
  <c r="IJ91" i="8"/>
  <c r="IK91" i="8"/>
  <c r="IL91" i="8"/>
  <c r="IM91" i="8"/>
  <c r="IN91" i="8"/>
  <c r="IO91" i="8"/>
  <c r="IP91" i="8"/>
  <c r="IQ91" i="8"/>
  <c r="IR91" i="8"/>
  <c r="IS91" i="8"/>
  <c r="IT91" i="8"/>
  <c r="IU91" i="8"/>
  <c r="IV91" i="8"/>
  <c r="A92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Z92" i="8"/>
  <c r="AA92" i="8"/>
  <c r="AB92" i="8"/>
  <c r="AC92" i="8"/>
  <c r="AD92" i="8"/>
  <c r="AE92" i="8"/>
  <c r="AF92" i="8"/>
  <c r="AG92" i="8"/>
  <c r="AH92" i="8"/>
  <c r="AI92" i="8"/>
  <c r="AJ92" i="8"/>
  <c r="AK92" i="8"/>
  <c r="AL92" i="8"/>
  <c r="AM92" i="8"/>
  <c r="AN92" i="8"/>
  <c r="AO92" i="8"/>
  <c r="AP92" i="8"/>
  <c r="AQ92" i="8"/>
  <c r="AR92" i="8"/>
  <c r="AS92" i="8"/>
  <c r="AT92" i="8"/>
  <c r="AU92" i="8"/>
  <c r="AV92" i="8"/>
  <c r="AW92" i="8"/>
  <c r="AX92" i="8"/>
  <c r="AY92" i="8"/>
  <c r="AZ92" i="8"/>
  <c r="BA92" i="8"/>
  <c r="BB92" i="8"/>
  <c r="BC92" i="8"/>
  <c r="BD92" i="8"/>
  <c r="BE92" i="8"/>
  <c r="BF92" i="8"/>
  <c r="BG92" i="8"/>
  <c r="BH92" i="8"/>
  <c r="BI92" i="8"/>
  <c r="BJ92" i="8"/>
  <c r="BK92" i="8"/>
  <c r="BL92" i="8"/>
  <c r="BM92" i="8"/>
  <c r="BN92" i="8"/>
  <c r="BO92" i="8"/>
  <c r="BP92" i="8"/>
  <c r="BQ92" i="8"/>
  <c r="BR92" i="8"/>
  <c r="BS92" i="8"/>
  <c r="BT92" i="8"/>
  <c r="BU92" i="8"/>
  <c r="BV92" i="8"/>
  <c r="BW92" i="8"/>
  <c r="BX92" i="8"/>
  <c r="BY92" i="8"/>
  <c r="BZ92" i="8"/>
  <c r="CA92" i="8"/>
  <c r="CB92" i="8"/>
  <c r="CC92" i="8"/>
  <c r="CD92" i="8"/>
  <c r="CE92" i="8"/>
  <c r="CF92" i="8"/>
  <c r="CG92" i="8"/>
  <c r="CH92" i="8"/>
  <c r="CI92" i="8"/>
  <c r="CJ92" i="8"/>
  <c r="CK92" i="8"/>
  <c r="CL92" i="8"/>
  <c r="CM92" i="8"/>
  <c r="CN92" i="8"/>
  <c r="CO92" i="8"/>
  <c r="CP92" i="8"/>
  <c r="CQ92" i="8"/>
  <c r="CR92" i="8"/>
  <c r="CS92" i="8"/>
  <c r="CT92" i="8"/>
  <c r="CU92" i="8"/>
  <c r="CV92" i="8"/>
  <c r="CW92" i="8"/>
  <c r="CX92" i="8"/>
  <c r="CY92" i="8"/>
  <c r="CZ92" i="8"/>
  <c r="DA92" i="8"/>
  <c r="DB92" i="8"/>
  <c r="DC92" i="8"/>
  <c r="DD92" i="8"/>
  <c r="DE92" i="8"/>
  <c r="DF92" i="8"/>
  <c r="DG92" i="8"/>
  <c r="DH92" i="8"/>
  <c r="DI92" i="8"/>
  <c r="DJ92" i="8"/>
  <c r="DK92" i="8"/>
  <c r="DL92" i="8"/>
  <c r="DM92" i="8"/>
  <c r="DN92" i="8"/>
  <c r="DO92" i="8"/>
  <c r="DP92" i="8"/>
  <c r="DQ92" i="8"/>
  <c r="DR92" i="8"/>
  <c r="DS92" i="8"/>
  <c r="DT92" i="8"/>
  <c r="DU92" i="8"/>
  <c r="DV92" i="8"/>
  <c r="DW92" i="8"/>
  <c r="DX92" i="8"/>
  <c r="DY92" i="8"/>
  <c r="DZ92" i="8"/>
  <c r="EA92" i="8"/>
  <c r="EB92" i="8"/>
  <c r="EC92" i="8"/>
  <c r="ED92" i="8"/>
  <c r="EE92" i="8"/>
  <c r="EF92" i="8"/>
  <c r="EG92" i="8"/>
  <c r="EH92" i="8"/>
  <c r="EI92" i="8"/>
  <c r="EJ92" i="8"/>
  <c r="EK92" i="8"/>
  <c r="EL92" i="8"/>
  <c r="EM92" i="8"/>
  <c r="EN92" i="8"/>
  <c r="EO92" i="8"/>
  <c r="EP92" i="8"/>
  <c r="EQ92" i="8"/>
  <c r="ER92" i="8"/>
  <c r="ES92" i="8"/>
  <c r="ET92" i="8"/>
  <c r="EU92" i="8"/>
  <c r="EV92" i="8"/>
  <c r="EW92" i="8"/>
  <c r="EX92" i="8"/>
  <c r="EY92" i="8"/>
  <c r="EZ92" i="8"/>
  <c r="FA92" i="8"/>
  <c r="FB92" i="8"/>
  <c r="FC92" i="8"/>
  <c r="FD92" i="8"/>
  <c r="FE92" i="8"/>
  <c r="FF92" i="8"/>
  <c r="FG92" i="8"/>
  <c r="FH92" i="8"/>
  <c r="FI92" i="8"/>
  <c r="FJ92" i="8"/>
  <c r="FK92" i="8"/>
  <c r="FL92" i="8"/>
  <c r="FM92" i="8"/>
  <c r="FN92" i="8"/>
  <c r="FO92" i="8"/>
  <c r="FP92" i="8"/>
  <c r="FQ92" i="8"/>
  <c r="FR92" i="8"/>
  <c r="FS92" i="8"/>
  <c r="FT92" i="8"/>
  <c r="FU92" i="8"/>
  <c r="FV92" i="8"/>
  <c r="FW92" i="8"/>
  <c r="FX92" i="8"/>
  <c r="FY92" i="8"/>
  <c r="FZ92" i="8"/>
  <c r="GA92" i="8"/>
  <c r="GB92" i="8"/>
  <c r="GC92" i="8"/>
  <c r="GD92" i="8"/>
  <c r="GE92" i="8"/>
  <c r="GF92" i="8"/>
  <c r="GG92" i="8"/>
  <c r="GH92" i="8"/>
  <c r="GI92" i="8"/>
  <c r="GJ92" i="8"/>
  <c r="GK92" i="8"/>
  <c r="GL92" i="8"/>
  <c r="GM92" i="8"/>
  <c r="GN92" i="8"/>
  <c r="GO92" i="8"/>
  <c r="GP92" i="8"/>
  <c r="GQ92" i="8"/>
  <c r="GR92" i="8"/>
  <c r="GS92" i="8"/>
  <c r="GT92" i="8"/>
  <c r="GU92" i="8"/>
  <c r="GV92" i="8"/>
  <c r="GW92" i="8"/>
  <c r="GX92" i="8"/>
  <c r="GY92" i="8"/>
  <c r="GZ92" i="8"/>
  <c r="HA92" i="8"/>
  <c r="HB92" i="8"/>
  <c r="HC92" i="8"/>
  <c r="HD92" i="8"/>
  <c r="HE92" i="8"/>
  <c r="HF92" i="8"/>
  <c r="HG92" i="8"/>
  <c r="HH92" i="8"/>
  <c r="HI92" i="8"/>
  <c r="HJ92" i="8"/>
  <c r="HK92" i="8"/>
  <c r="HL92" i="8"/>
  <c r="HM92" i="8"/>
  <c r="HN92" i="8"/>
  <c r="HO92" i="8"/>
  <c r="HP92" i="8"/>
  <c r="HQ92" i="8"/>
  <c r="HR92" i="8"/>
  <c r="HS92" i="8"/>
  <c r="HT92" i="8"/>
  <c r="HU92" i="8"/>
  <c r="HV92" i="8"/>
  <c r="HW92" i="8"/>
  <c r="HX92" i="8"/>
  <c r="HY92" i="8"/>
  <c r="HZ92" i="8"/>
  <c r="IA92" i="8"/>
  <c r="IB92" i="8"/>
  <c r="IC92" i="8"/>
  <c r="ID92" i="8"/>
  <c r="IE92" i="8"/>
  <c r="IF92" i="8"/>
  <c r="IG92" i="8"/>
  <c r="IH92" i="8"/>
  <c r="II92" i="8"/>
  <c r="IJ92" i="8"/>
  <c r="IK92" i="8"/>
  <c r="IL92" i="8"/>
  <c r="IM92" i="8"/>
  <c r="IN92" i="8"/>
  <c r="IO92" i="8"/>
  <c r="IP92" i="8"/>
  <c r="IQ92" i="8"/>
  <c r="IR92" i="8"/>
  <c r="IS92" i="8"/>
  <c r="IT92" i="8"/>
  <c r="IU92" i="8"/>
  <c r="IV92" i="8"/>
  <c r="A93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AJ93" i="8"/>
  <c r="AK93" i="8"/>
  <c r="AL93" i="8"/>
  <c r="AM93" i="8"/>
  <c r="AN93" i="8"/>
  <c r="AO93" i="8"/>
  <c r="AP93" i="8"/>
  <c r="AQ93" i="8"/>
  <c r="AR93" i="8"/>
  <c r="AS93" i="8"/>
  <c r="AT93" i="8"/>
  <c r="AU93" i="8"/>
  <c r="AV93" i="8"/>
  <c r="AW93" i="8"/>
  <c r="AX93" i="8"/>
  <c r="AY93" i="8"/>
  <c r="AZ93" i="8"/>
  <c r="BA93" i="8"/>
  <c r="BB93" i="8"/>
  <c r="BC93" i="8"/>
  <c r="BD93" i="8"/>
  <c r="BE93" i="8"/>
  <c r="BF93" i="8"/>
  <c r="BG93" i="8"/>
  <c r="BH93" i="8"/>
  <c r="BI93" i="8"/>
  <c r="BJ93" i="8"/>
  <c r="BK93" i="8"/>
  <c r="BL93" i="8"/>
  <c r="BM93" i="8"/>
  <c r="BN93" i="8"/>
  <c r="BO93" i="8"/>
  <c r="BP93" i="8"/>
  <c r="BQ93" i="8"/>
  <c r="BR93" i="8"/>
  <c r="BS93" i="8"/>
  <c r="BT93" i="8"/>
  <c r="BU93" i="8"/>
  <c r="BV93" i="8"/>
  <c r="BW93" i="8"/>
  <c r="BX93" i="8"/>
  <c r="BY93" i="8"/>
  <c r="BZ93" i="8"/>
  <c r="CA93" i="8"/>
  <c r="CB93" i="8"/>
  <c r="CC93" i="8"/>
  <c r="CD93" i="8"/>
  <c r="CE93" i="8"/>
  <c r="CF93" i="8"/>
  <c r="CG93" i="8"/>
  <c r="CH93" i="8"/>
  <c r="CI93" i="8"/>
  <c r="CJ93" i="8"/>
  <c r="CK93" i="8"/>
  <c r="CL93" i="8"/>
  <c r="CM93" i="8"/>
  <c r="CN93" i="8"/>
  <c r="CO93" i="8"/>
  <c r="CP93" i="8"/>
  <c r="CQ93" i="8"/>
  <c r="CR93" i="8"/>
  <c r="CS93" i="8"/>
  <c r="CT93" i="8"/>
  <c r="CU93" i="8"/>
  <c r="CV93" i="8"/>
  <c r="CW93" i="8"/>
  <c r="CX93" i="8"/>
  <c r="CY93" i="8"/>
  <c r="CZ93" i="8"/>
  <c r="DA93" i="8"/>
  <c r="DB93" i="8"/>
  <c r="DC93" i="8"/>
  <c r="DD93" i="8"/>
  <c r="DE93" i="8"/>
  <c r="DF93" i="8"/>
  <c r="DG93" i="8"/>
  <c r="DH93" i="8"/>
  <c r="DI93" i="8"/>
  <c r="DJ93" i="8"/>
  <c r="DK93" i="8"/>
  <c r="DL93" i="8"/>
  <c r="DM93" i="8"/>
  <c r="DN93" i="8"/>
  <c r="DO93" i="8"/>
  <c r="DP93" i="8"/>
  <c r="DQ93" i="8"/>
  <c r="DR93" i="8"/>
  <c r="DS93" i="8"/>
  <c r="DT93" i="8"/>
  <c r="DU93" i="8"/>
  <c r="DV93" i="8"/>
  <c r="DW93" i="8"/>
  <c r="DX93" i="8"/>
  <c r="DY93" i="8"/>
  <c r="DZ93" i="8"/>
  <c r="EA93" i="8"/>
  <c r="EB93" i="8"/>
  <c r="EC93" i="8"/>
  <c r="ED93" i="8"/>
  <c r="EE93" i="8"/>
  <c r="EF93" i="8"/>
  <c r="EG93" i="8"/>
  <c r="EH93" i="8"/>
  <c r="EI93" i="8"/>
  <c r="EJ93" i="8"/>
  <c r="EK93" i="8"/>
  <c r="EL93" i="8"/>
  <c r="EM93" i="8"/>
  <c r="EN93" i="8"/>
  <c r="EO93" i="8"/>
  <c r="EP93" i="8"/>
  <c r="EQ93" i="8"/>
  <c r="ER93" i="8"/>
  <c r="ES93" i="8"/>
  <c r="ET93" i="8"/>
  <c r="EU93" i="8"/>
  <c r="EV93" i="8"/>
  <c r="EW93" i="8"/>
  <c r="EX93" i="8"/>
  <c r="EY93" i="8"/>
  <c r="EZ93" i="8"/>
  <c r="FA93" i="8"/>
  <c r="FB93" i="8"/>
  <c r="FC93" i="8"/>
  <c r="FD93" i="8"/>
  <c r="FE93" i="8"/>
  <c r="FF93" i="8"/>
  <c r="FG93" i="8"/>
  <c r="FH93" i="8"/>
  <c r="FI93" i="8"/>
  <c r="FJ93" i="8"/>
  <c r="FK93" i="8"/>
  <c r="FL93" i="8"/>
  <c r="FM93" i="8"/>
  <c r="FN93" i="8"/>
  <c r="FO93" i="8"/>
  <c r="FP93" i="8"/>
  <c r="FQ93" i="8"/>
  <c r="FR93" i="8"/>
  <c r="FS93" i="8"/>
  <c r="FT93" i="8"/>
  <c r="FU93" i="8"/>
  <c r="FV93" i="8"/>
  <c r="FW93" i="8"/>
  <c r="FX93" i="8"/>
  <c r="FY93" i="8"/>
  <c r="FZ93" i="8"/>
  <c r="GA93" i="8"/>
  <c r="GB93" i="8"/>
  <c r="GC93" i="8"/>
  <c r="GD93" i="8"/>
  <c r="GE93" i="8"/>
  <c r="GF93" i="8"/>
  <c r="GG93" i="8"/>
  <c r="GH93" i="8"/>
  <c r="GI93" i="8"/>
  <c r="GJ93" i="8"/>
  <c r="GK93" i="8"/>
  <c r="GL93" i="8"/>
  <c r="GM93" i="8"/>
  <c r="GN93" i="8"/>
  <c r="GO93" i="8"/>
  <c r="GP93" i="8"/>
  <c r="GQ93" i="8"/>
  <c r="GR93" i="8"/>
  <c r="GS93" i="8"/>
  <c r="GT93" i="8"/>
  <c r="GU93" i="8"/>
  <c r="GV93" i="8"/>
  <c r="GW93" i="8"/>
  <c r="GX93" i="8"/>
  <c r="GY93" i="8"/>
  <c r="GZ93" i="8"/>
  <c r="HA93" i="8"/>
  <c r="HB93" i="8"/>
  <c r="HC93" i="8"/>
  <c r="HD93" i="8"/>
  <c r="HE93" i="8"/>
  <c r="HF93" i="8"/>
  <c r="HG93" i="8"/>
  <c r="HH93" i="8"/>
  <c r="HI93" i="8"/>
  <c r="HJ93" i="8"/>
  <c r="HK93" i="8"/>
  <c r="HL93" i="8"/>
  <c r="HM93" i="8"/>
  <c r="HN93" i="8"/>
  <c r="HO93" i="8"/>
  <c r="HP93" i="8"/>
  <c r="HQ93" i="8"/>
  <c r="HR93" i="8"/>
  <c r="HS93" i="8"/>
  <c r="HT93" i="8"/>
  <c r="HU93" i="8"/>
  <c r="HV93" i="8"/>
  <c r="HW93" i="8"/>
  <c r="HX93" i="8"/>
  <c r="HY93" i="8"/>
  <c r="HZ93" i="8"/>
  <c r="IA93" i="8"/>
  <c r="IB93" i="8"/>
  <c r="IC93" i="8"/>
  <c r="ID93" i="8"/>
  <c r="IE93" i="8"/>
  <c r="IF93" i="8"/>
  <c r="IG93" i="8"/>
  <c r="IH93" i="8"/>
  <c r="II93" i="8"/>
  <c r="IJ93" i="8"/>
  <c r="IK93" i="8"/>
  <c r="IL93" i="8"/>
  <c r="IM93" i="8"/>
  <c r="IN93" i="8"/>
  <c r="IO93" i="8"/>
  <c r="IP93" i="8"/>
  <c r="IQ93" i="8"/>
  <c r="IR93" i="8"/>
  <c r="IS93" i="8"/>
  <c r="IT93" i="8"/>
  <c r="IU93" i="8"/>
  <c r="IV93" i="8"/>
  <c r="A94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AJ94" i="8"/>
  <c r="AK94" i="8"/>
  <c r="AL94" i="8"/>
  <c r="AM94" i="8"/>
  <c r="AN94" i="8"/>
  <c r="AO94" i="8"/>
  <c r="AP94" i="8"/>
  <c r="AQ94" i="8"/>
  <c r="AR94" i="8"/>
  <c r="AS94" i="8"/>
  <c r="AT94" i="8"/>
  <c r="AU94" i="8"/>
  <c r="AV94" i="8"/>
  <c r="AW94" i="8"/>
  <c r="AX94" i="8"/>
  <c r="AY94" i="8"/>
  <c r="AZ94" i="8"/>
  <c r="BA94" i="8"/>
  <c r="BB94" i="8"/>
  <c r="BC94" i="8"/>
  <c r="BD94" i="8"/>
  <c r="BE94" i="8"/>
  <c r="BF94" i="8"/>
  <c r="BG94" i="8"/>
  <c r="BH94" i="8"/>
  <c r="BI94" i="8"/>
  <c r="BJ94" i="8"/>
  <c r="BK94" i="8"/>
  <c r="BL94" i="8"/>
  <c r="BM94" i="8"/>
  <c r="BN94" i="8"/>
  <c r="BO94" i="8"/>
  <c r="BP94" i="8"/>
  <c r="BQ94" i="8"/>
  <c r="BR94" i="8"/>
  <c r="BS94" i="8"/>
  <c r="BT94" i="8"/>
  <c r="BU94" i="8"/>
  <c r="BV94" i="8"/>
  <c r="BW94" i="8"/>
  <c r="BX94" i="8"/>
  <c r="BY94" i="8"/>
  <c r="BZ94" i="8"/>
  <c r="CA94" i="8"/>
  <c r="CB94" i="8"/>
  <c r="CC94" i="8"/>
  <c r="CD94" i="8"/>
  <c r="CE94" i="8"/>
  <c r="CF94" i="8"/>
  <c r="CG94" i="8"/>
  <c r="CH94" i="8"/>
  <c r="CI94" i="8"/>
  <c r="CJ94" i="8"/>
  <c r="CK94" i="8"/>
  <c r="CL94" i="8"/>
  <c r="CM94" i="8"/>
  <c r="CN94" i="8"/>
  <c r="CO94" i="8"/>
  <c r="CP94" i="8"/>
  <c r="CQ94" i="8"/>
  <c r="CR94" i="8"/>
  <c r="CS94" i="8"/>
  <c r="CT94" i="8"/>
  <c r="CU94" i="8"/>
  <c r="CV94" i="8"/>
  <c r="CW94" i="8"/>
  <c r="CX94" i="8"/>
  <c r="CY94" i="8"/>
  <c r="CZ94" i="8"/>
  <c r="DA94" i="8"/>
  <c r="DB94" i="8"/>
  <c r="DC94" i="8"/>
  <c r="DD94" i="8"/>
  <c r="DE94" i="8"/>
  <c r="DF94" i="8"/>
  <c r="DG94" i="8"/>
  <c r="DH94" i="8"/>
  <c r="DI94" i="8"/>
  <c r="DJ94" i="8"/>
  <c r="DK94" i="8"/>
  <c r="DL94" i="8"/>
  <c r="DM94" i="8"/>
  <c r="DN94" i="8"/>
  <c r="DO94" i="8"/>
  <c r="DP94" i="8"/>
  <c r="DQ94" i="8"/>
  <c r="DR94" i="8"/>
  <c r="DS94" i="8"/>
  <c r="DT94" i="8"/>
  <c r="DU94" i="8"/>
  <c r="DV94" i="8"/>
  <c r="DW94" i="8"/>
  <c r="DX94" i="8"/>
  <c r="DY94" i="8"/>
  <c r="DZ94" i="8"/>
  <c r="EA94" i="8"/>
  <c r="EB94" i="8"/>
  <c r="EC94" i="8"/>
  <c r="ED94" i="8"/>
  <c r="EE94" i="8"/>
  <c r="EF94" i="8"/>
  <c r="EG94" i="8"/>
  <c r="EH94" i="8"/>
  <c r="EI94" i="8"/>
  <c r="EJ94" i="8"/>
  <c r="EK94" i="8"/>
  <c r="EL94" i="8"/>
  <c r="EM94" i="8"/>
  <c r="EN94" i="8"/>
  <c r="EO94" i="8"/>
  <c r="EP94" i="8"/>
  <c r="EQ94" i="8"/>
  <c r="ER94" i="8"/>
  <c r="ES94" i="8"/>
  <c r="ET94" i="8"/>
  <c r="EU94" i="8"/>
  <c r="EV94" i="8"/>
  <c r="EW94" i="8"/>
  <c r="EX94" i="8"/>
  <c r="EY94" i="8"/>
  <c r="EZ94" i="8"/>
  <c r="FA94" i="8"/>
  <c r="FB94" i="8"/>
  <c r="FC94" i="8"/>
  <c r="FD94" i="8"/>
  <c r="FE94" i="8"/>
  <c r="FF94" i="8"/>
  <c r="FG94" i="8"/>
  <c r="FH94" i="8"/>
  <c r="FI94" i="8"/>
  <c r="FJ94" i="8"/>
  <c r="FK94" i="8"/>
  <c r="FL94" i="8"/>
  <c r="FM94" i="8"/>
  <c r="FN94" i="8"/>
  <c r="FO94" i="8"/>
  <c r="FP94" i="8"/>
  <c r="FQ94" i="8"/>
  <c r="FR94" i="8"/>
  <c r="FS94" i="8"/>
  <c r="FT94" i="8"/>
  <c r="FU94" i="8"/>
  <c r="FV94" i="8"/>
  <c r="FW94" i="8"/>
  <c r="FX94" i="8"/>
  <c r="FY94" i="8"/>
  <c r="FZ94" i="8"/>
  <c r="GA94" i="8"/>
  <c r="GB94" i="8"/>
  <c r="GC94" i="8"/>
  <c r="GD94" i="8"/>
  <c r="GE94" i="8"/>
  <c r="GF94" i="8"/>
  <c r="GG94" i="8"/>
  <c r="GH94" i="8"/>
  <c r="GI94" i="8"/>
  <c r="GJ94" i="8"/>
  <c r="GK94" i="8"/>
  <c r="GL94" i="8"/>
  <c r="GM94" i="8"/>
  <c r="GN94" i="8"/>
  <c r="GO94" i="8"/>
  <c r="GP94" i="8"/>
  <c r="GQ94" i="8"/>
  <c r="GR94" i="8"/>
  <c r="GS94" i="8"/>
  <c r="GT94" i="8"/>
  <c r="GU94" i="8"/>
  <c r="GV94" i="8"/>
  <c r="GW94" i="8"/>
  <c r="GX94" i="8"/>
  <c r="GY94" i="8"/>
  <c r="GZ94" i="8"/>
  <c r="HA94" i="8"/>
  <c r="HB94" i="8"/>
  <c r="HC94" i="8"/>
  <c r="HD94" i="8"/>
  <c r="HE94" i="8"/>
  <c r="HF94" i="8"/>
  <c r="HG94" i="8"/>
  <c r="HH94" i="8"/>
  <c r="HI94" i="8"/>
  <c r="HJ94" i="8"/>
  <c r="HK94" i="8"/>
  <c r="HL94" i="8"/>
  <c r="HM94" i="8"/>
  <c r="HN94" i="8"/>
  <c r="HO94" i="8"/>
  <c r="HP94" i="8"/>
  <c r="HQ94" i="8"/>
  <c r="HR94" i="8"/>
  <c r="HS94" i="8"/>
  <c r="HT94" i="8"/>
  <c r="HU94" i="8"/>
  <c r="HV94" i="8"/>
  <c r="HW94" i="8"/>
  <c r="HX94" i="8"/>
  <c r="HY94" i="8"/>
  <c r="HZ94" i="8"/>
  <c r="IA94" i="8"/>
  <c r="IB94" i="8"/>
  <c r="IC94" i="8"/>
  <c r="ID94" i="8"/>
  <c r="IE94" i="8"/>
  <c r="IF94" i="8"/>
  <c r="IG94" i="8"/>
  <c r="IH94" i="8"/>
  <c r="II94" i="8"/>
  <c r="IJ94" i="8"/>
  <c r="IK94" i="8"/>
  <c r="IL94" i="8"/>
  <c r="IM94" i="8"/>
  <c r="IN94" i="8"/>
  <c r="IO94" i="8"/>
  <c r="IP94" i="8"/>
  <c r="IQ94" i="8"/>
  <c r="IR94" i="8"/>
  <c r="IS94" i="8"/>
  <c r="IT94" i="8"/>
  <c r="IU94" i="8"/>
  <c r="IV94" i="8"/>
  <c r="A95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Z95" i="8"/>
  <c r="AA95" i="8"/>
  <c r="AB95" i="8"/>
  <c r="AC95" i="8"/>
  <c r="AD95" i="8"/>
  <c r="AE95" i="8"/>
  <c r="AF95" i="8"/>
  <c r="AG95" i="8"/>
  <c r="AH95" i="8"/>
  <c r="AI95" i="8"/>
  <c r="AJ95" i="8"/>
  <c r="AK95" i="8"/>
  <c r="AL95" i="8"/>
  <c r="AM95" i="8"/>
  <c r="AN95" i="8"/>
  <c r="AO95" i="8"/>
  <c r="AP95" i="8"/>
  <c r="AQ95" i="8"/>
  <c r="AR95" i="8"/>
  <c r="AS95" i="8"/>
  <c r="AT95" i="8"/>
  <c r="AU95" i="8"/>
  <c r="AV95" i="8"/>
  <c r="AW95" i="8"/>
  <c r="AX95" i="8"/>
  <c r="AY95" i="8"/>
  <c r="AZ95" i="8"/>
  <c r="BA95" i="8"/>
  <c r="BB95" i="8"/>
  <c r="BC95" i="8"/>
  <c r="BD95" i="8"/>
  <c r="BE95" i="8"/>
  <c r="BF95" i="8"/>
  <c r="BG95" i="8"/>
  <c r="BH95" i="8"/>
  <c r="BI95" i="8"/>
  <c r="BJ95" i="8"/>
  <c r="BK95" i="8"/>
  <c r="BL95" i="8"/>
  <c r="BM95" i="8"/>
  <c r="BN95" i="8"/>
  <c r="BO95" i="8"/>
  <c r="BP95" i="8"/>
  <c r="BQ95" i="8"/>
  <c r="BR95" i="8"/>
  <c r="BS95" i="8"/>
  <c r="BT95" i="8"/>
  <c r="BU95" i="8"/>
  <c r="BV95" i="8"/>
  <c r="BW95" i="8"/>
  <c r="BX95" i="8"/>
  <c r="BY95" i="8"/>
  <c r="BZ95" i="8"/>
  <c r="CA95" i="8"/>
  <c r="CB95" i="8"/>
  <c r="CC95" i="8"/>
  <c r="CD95" i="8"/>
  <c r="CE95" i="8"/>
  <c r="CF95" i="8"/>
  <c r="CG95" i="8"/>
  <c r="CH95" i="8"/>
  <c r="CI95" i="8"/>
  <c r="CJ95" i="8"/>
  <c r="CK95" i="8"/>
  <c r="CL95" i="8"/>
  <c r="CM95" i="8"/>
  <c r="CN95" i="8"/>
  <c r="CO95" i="8"/>
  <c r="CP95" i="8"/>
  <c r="CQ95" i="8"/>
  <c r="CR95" i="8"/>
  <c r="CS95" i="8"/>
  <c r="CT95" i="8"/>
  <c r="CU95" i="8"/>
  <c r="CV95" i="8"/>
  <c r="CW95" i="8"/>
  <c r="CX95" i="8"/>
  <c r="CY95" i="8"/>
  <c r="CZ95" i="8"/>
  <c r="DA95" i="8"/>
  <c r="DB95" i="8"/>
  <c r="DC95" i="8"/>
  <c r="DD95" i="8"/>
  <c r="DE95" i="8"/>
  <c r="DF95" i="8"/>
  <c r="DG95" i="8"/>
  <c r="DH95" i="8"/>
  <c r="DI95" i="8"/>
  <c r="DJ95" i="8"/>
  <c r="DK95" i="8"/>
  <c r="DL95" i="8"/>
  <c r="DM95" i="8"/>
  <c r="DN95" i="8"/>
  <c r="DO95" i="8"/>
  <c r="DP95" i="8"/>
  <c r="DQ95" i="8"/>
  <c r="DR95" i="8"/>
  <c r="DS95" i="8"/>
  <c r="DT95" i="8"/>
  <c r="DU95" i="8"/>
  <c r="DV95" i="8"/>
  <c r="DW95" i="8"/>
  <c r="DX95" i="8"/>
  <c r="DY95" i="8"/>
  <c r="DZ95" i="8"/>
  <c r="EA95" i="8"/>
  <c r="EB95" i="8"/>
  <c r="EC95" i="8"/>
  <c r="ED95" i="8"/>
  <c r="EE95" i="8"/>
  <c r="EF95" i="8"/>
  <c r="EG95" i="8"/>
  <c r="EH95" i="8"/>
  <c r="EI95" i="8"/>
  <c r="EJ95" i="8"/>
  <c r="EK95" i="8"/>
  <c r="EL95" i="8"/>
  <c r="EM95" i="8"/>
  <c r="EN95" i="8"/>
  <c r="EO95" i="8"/>
  <c r="EP95" i="8"/>
  <c r="EQ95" i="8"/>
  <c r="ER95" i="8"/>
  <c r="ES95" i="8"/>
  <c r="ET95" i="8"/>
  <c r="EU95" i="8"/>
  <c r="EV95" i="8"/>
  <c r="EW95" i="8"/>
  <c r="EX95" i="8"/>
  <c r="EY95" i="8"/>
  <c r="EZ95" i="8"/>
  <c r="FA95" i="8"/>
  <c r="FB95" i="8"/>
  <c r="FC95" i="8"/>
  <c r="FD95" i="8"/>
  <c r="FE95" i="8"/>
  <c r="FF95" i="8"/>
  <c r="FG95" i="8"/>
  <c r="FH95" i="8"/>
  <c r="FI95" i="8"/>
  <c r="FJ95" i="8"/>
  <c r="FK95" i="8"/>
  <c r="FL95" i="8"/>
  <c r="FM95" i="8"/>
  <c r="FN95" i="8"/>
  <c r="FO95" i="8"/>
  <c r="FP95" i="8"/>
  <c r="FQ95" i="8"/>
  <c r="FR95" i="8"/>
  <c r="FS95" i="8"/>
  <c r="FT95" i="8"/>
  <c r="FU95" i="8"/>
  <c r="FV95" i="8"/>
  <c r="FW95" i="8"/>
  <c r="FX95" i="8"/>
  <c r="FY95" i="8"/>
  <c r="FZ95" i="8"/>
  <c r="GA95" i="8"/>
  <c r="GB95" i="8"/>
  <c r="GC95" i="8"/>
  <c r="GD95" i="8"/>
  <c r="GE95" i="8"/>
  <c r="GF95" i="8"/>
  <c r="GG95" i="8"/>
  <c r="GH95" i="8"/>
  <c r="GI95" i="8"/>
  <c r="GJ95" i="8"/>
  <c r="GK95" i="8"/>
  <c r="GL95" i="8"/>
  <c r="GM95" i="8"/>
  <c r="GN95" i="8"/>
  <c r="GO95" i="8"/>
  <c r="GP95" i="8"/>
  <c r="GQ95" i="8"/>
  <c r="GR95" i="8"/>
  <c r="GS95" i="8"/>
  <c r="GT95" i="8"/>
  <c r="GU95" i="8"/>
  <c r="GV95" i="8"/>
  <c r="GW95" i="8"/>
  <c r="GX95" i="8"/>
  <c r="GY95" i="8"/>
  <c r="GZ95" i="8"/>
  <c r="HA95" i="8"/>
  <c r="HB95" i="8"/>
  <c r="HC95" i="8"/>
  <c r="HD95" i="8"/>
  <c r="HE95" i="8"/>
  <c r="HF95" i="8"/>
  <c r="HG95" i="8"/>
  <c r="HH95" i="8"/>
  <c r="HI95" i="8"/>
  <c r="HJ95" i="8"/>
  <c r="HK95" i="8"/>
  <c r="HL95" i="8"/>
  <c r="HM95" i="8"/>
  <c r="HN95" i="8"/>
  <c r="HO95" i="8"/>
  <c r="HP95" i="8"/>
  <c r="HQ95" i="8"/>
  <c r="HR95" i="8"/>
  <c r="HS95" i="8"/>
  <c r="HT95" i="8"/>
  <c r="HU95" i="8"/>
  <c r="HV95" i="8"/>
  <c r="HW95" i="8"/>
  <c r="HX95" i="8"/>
  <c r="HY95" i="8"/>
  <c r="HZ95" i="8"/>
  <c r="IA95" i="8"/>
  <c r="IB95" i="8"/>
  <c r="IC95" i="8"/>
  <c r="ID95" i="8"/>
  <c r="IE95" i="8"/>
  <c r="IF95" i="8"/>
  <c r="IG95" i="8"/>
  <c r="IH95" i="8"/>
  <c r="II95" i="8"/>
  <c r="IJ95" i="8"/>
  <c r="IK95" i="8"/>
  <c r="IL95" i="8"/>
  <c r="IM95" i="8"/>
  <c r="IN95" i="8"/>
  <c r="IO95" i="8"/>
  <c r="IP95" i="8"/>
  <c r="IQ95" i="8"/>
  <c r="IR95" i="8"/>
  <c r="IS95" i="8"/>
  <c r="IT95" i="8"/>
  <c r="IU95" i="8"/>
  <c r="IV95" i="8"/>
  <c r="A96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Z96" i="8"/>
  <c r="AA96" i="8"/>
  <c r="AB96" i="8"/>
  <c r="AC96" i="8"/>
  <c r="AD96" i="8"/>
  <c r="AE96" i="8"/>
  <c r="AF96" i="8"/>
  <c r="AG96" i="8"/>
  <c r="AH96" i="8"/>
  <c r="AI96" i="8"/>
  <c r="AJ96" i="8"/>
  <c r="AK96" i="8"/>
  <c r="AL96" i="8"/>
  <c r="AM96" i="8"/>
  <c r="AN96" i="8"/>
  <c r="AO96" i="8"/>
  <c r="AP96" i="8"/>
  <c r="AQ96" i="8"/>
  <c r="AR96" i="8"/>
  <c r="AS96" i="8"/>
  <c r="AT96" i="8"/>
  <c r="AU96" i="8"/>
  <c r="AV96" i="8"/>
  <c r="AW96" i="8"/>
  <c r="AX96" i="8"/>
  <c r="AY96" i="8"/>
  <c r="AZ96" i="8"/>
  <c r="BA96" i="8"/>
  <c r="BB96" i="8"/>
  <c r="BC96" i="8"/>
  <c r="BD96" i="8"/>
  <c r="BE96" i="8"/>
  <c r="BF96" i="8"/>
  <c r="BG96" i="8"/>
  <c r="BH96" i="8"/>
  <c r="BI96" i="8"/>
  <c r="BJ96" i="8"/>
  <c r="BK96" i="8"/>
  <c r="BL96" i="8"/>
  <c r="BM96" i="8"/>
  <c r="BN96" i="8"/>
  <c r="BO96" i="8"/>
  <c r="BP96" i="8"/>
  <c r="BQ96" i="8"/>
  <c r="BR96" i="8"/>
  <c r="BS96" i="8"/>
  <c r="BT96" i="8"/>
  <c r="BU96" i="8"/>
  <c r="BV96" i="8"/>
  <c r="BW96" i="8"/>
  <c r="BX96" i="8"/>
  <c r="BY96" i="8"/>
  <c r="BZ96" i="8"/>
  <c r="CA96" i="8"/>
  <c r="CB96" i="8"/>
  <c r="CC96" i="8"/>
  <c r="CD96" i="8"/>
  <c r="CE96" i="8"/>
  <c r="CF96" i="8"/>
  <c r="CG96" i="8"/>
  <c r="CH96" i="8"/>
  <c r="CI96" i="8"/>
  <c r="CJ96" i="8"/>
  <c r="CK96" i="8"/>
  <c r="CL96" i="8"/>
  <c r="CM96" i="8"/>
  <c r="CN96" i="8"/>
  <c r="CO96" i="8"/>
  <c r="CP96" i="8"/>
  <c r="CQ96" i="8"/>
  <c r="CR96" i="8"/>
  <c r="CS96" i="8"/>
  <c r="CT96" i="8"/>
  <c r="CU96" i="8"/>
  <c r="CV96" i="8"/>
  <c r="CW96" i="8"/>
  <c r="CX96" i="8"/>
  <c r="CY96" i="8"/>
  <c r="CZ96" i="8"/>
  <c r="DA96" i="8"/>
  <c r="DB96" i="8"/>
  <c r="DC96" i="8"/>
  <c r="DD96" i="8"/>
  <c r="DE96" i="8"/>
  <c r="DF96" i="8"/>
  <c r="DG96" i="8"/>
  <c r="DH96" i="8"/>
  <c r="DI96" i="8"/>
  <c r="DJ96" i="8"/>
  <c r="DK96" i="8"/>
  <c r="DL96" i="8"/>
  <c r="DM96" i="8"/>
  <c r="DN96" i="8"/>
  <c r="DO96" i="8"/>
  <c r="DP96" i="8"/>
  <c r="DQ96" i="8"/>
  <c r="DR96" i="8"/>
  <c r="DS96" i="8"/>
  <c r="DT96" i="8"/>
  <c r="DU96" i="8"/>
  <c r="DV96" i="8"/>
  <c r="DW96" i="8"/>
  <c r="DX96" i="8"/>
  <c r="DY96" i="8"/>
  <c r="DZ96" i="8"/>
  <c r="EA96" i="8"/>
  <c r="EB96" i="8"/>
  <c r="EC96" i="8"/>
  <c r="ED96" i="8"/>
  <c r="EE96" i="8"/>
  <c r="EF96" i="8"/>
  <c r="EG96" i="8"/>
  <c r="EH96" i="8"/>
  <c r="EI96" i="8"/>
  <c r="EJ96" i="8"/>
  <c r="EK96" i="8"/>
  <c r="EL96" i="8"/>
  <c r="EM96" i="8"/>
  <c r="EN96" i="8"/>
  <c r="EO96" i="8"/>
  <c r="EP96" i="8"/>
  <c r="EQ96" i="8"/>
  <c r="ER96" i="8"/>
  <c r="ES96" i="8"/>
  <c r="ET96" i="8"/>
  <c r="EU96" i="8"/>
  <c r="EV96" i="8"/>
  <c r="EW96" i="8"/>
  <c r="EX96" i="8"/>
  <c r="EY96" i="8"/>
  <c r="EZ96" i="8"/>
  <c r="FA96" i="8"/>
  <c r="FB96" i="8"/>
  <c r="FC96" i="8"/>
  <c r="FD96" i="8"/>
  <c r="FE96" i="8"/>
  <c r="FF96" i="8"/>
  <c r="FG96" i="8"/>
  <c r="FH96" i="8"/>
  <c r="FI96" i="8"/>
  <c r="FJ96" i="8"/>
  <c r="FK96" i="8"/>
  <c r="FL96" i="8"/>
  <c r="FM96" i="8"/>
  <c r="FN96" i="8"/>
  <c r="FO96" i="8"/>
  <c r="FP96" i="8"/>
  <c r="FQ96" i="8"/>
  <c r="FR96" i="8"/>
  <c r="FS96" i="8"/>
  <c r="FT96" i="8"/>
  <c r="FU96" i="8"/>
  <c r="FV96" i="8"/>
  <c r="FW96" i="8"/>
  <c r="FX96" i="8"/>
  <c r="FY96" i="8"/>
  <c r="FZ96" i="8"/>
  <c r="GA96" i="8"/>
  <c r="GB96" i="8"/>
  <c r="GC96" i="8"/>
  <c r="GD96" i="8"/>
  <c r="GE96" i="8"/>
  <c r="GF96" i="8"/>
  <c r="GG96" i="8"/>
  <c r="GH96" i="8"/>
  <c r="GI96" i="8"/>
  <c r="GJ96" i="8"/>
  <c r="GK96" i="8"/>
  <c r="GL96" i="8"/>
  <c r="GM96" i="8"/>
  <c r="GN96" i="8"/>
  <c r="GO96" i="8"/>
  <c r="GP96" i="8"/>
  <c r="GQ96" i="8"/>
  <c r="GR96" i="8"/>
  <c r="GS96" i="8"/>
  <c r="GT96" i="8"/>
  <c r="GU96" i="8"/>
  <c r="GV96" i="8"/>
  <c r="GW96" i="8"/>
  <c r="GX96" i="8"/>
  <c r="GY96" i="8"/>
  <c r="GZ96" i="8"/>
  <c r="HA96" i="8"/>
  <c r="HB96" i="8"/>
  <c r="HC96" i="8"/>
  <c r="HD96" i="8"/>
  <c r="HE96" i="8"/>
  <c r="HF96" i="8"/>
  <c r="HG96" i="8"/>
  <c r="HH96" i="8"/>
  <c r="HI96" i="8"/>
  <c r="HJ96" i="8"/>
  <c r="HK96" i="8"/>
  <c r="HL96" i="8"/>
  <c r="HM96" i="8"/>
  <c r="HN96" i="8"/>
  <c r="HO96" i="8"/>
  <c r="HP96" i="8"/>
  <c r="HQ96" i="8"/>
  <c r="HR96" i="8"/>
  <c r="HS96" i="8"/>
  <c r="HT96" i="8"/>
  <c r="HU96" i="8"/>
  <c r="HV96" i="8"/>
  <c r="HW96" i="8"/>
  <c r="HX96" i="8"/>
  <c r="HY96" i="8"/>
  <c r="HZ96" i="8"/>
  <c r="IA96" i="8"/>
  <c r="IB96" i="8"/>
  <c r="IC96" i="8"/>
  <c r="ID96" i="8"/>
  <c r="IE96" i="8"/>
  <c r="IF96" i="8"/>
  <c r="IG96" i="8"/>
  <c r="IH96" i="8"/>
  <c r="II96" i="8"/>
  <c r="IJ96" i="8"/>
  <c r="IK96" i="8"/>
  <c r="IL96" i="8"/>
  <c r="IM96" i="8"/>
  <c r="IN96" i="8"/>
  <c r="IO96" i="8"/>
  <c r="IP96" i="8"/>
  <c r="IQ96" i="8"/>
  <c r="IR96" i="8"/>
  <c r="IS96" i="8"/>
  <c r="IT96" i="8"/>
  <c r="IU96" i="8"/>
  <c r="IV96" i="8"/>
  <c r="A97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Z97" i="8"/>
  <c r="AA97" i="8"/>
  <c r="AB97" i="8"/>
  <c r="AC97" i="8"/>
  <c r="AD97" i="8"/>
  <c r="AE97" i="8"/>
  <c r="AF97" i="8"/>
  <c r="AG97" i="8"/>
  <c r="AH97" i="8"/>
  <c r="AI97" i="8"/>
  <c r="AJ97" i="8"/>
  <c r="AK97" i="8"/>
  <c r="AL97" i="8"/>
  <c r="AM97" i="8"/>
  <c r="AN97" i="8"/>
  <c r="AO97" i="8"/>
  <c r="AP97" i="8"/>
  <c r="AQ97" i="8"/>
  <c r="AR97" i="8"/>
  <c r="AS97" i="8"/>
  <c r="AT97" i="8"/>
  <c r="AU97" i="8"/>
  <c r="AV97" i="8"/>
  <c r="AW97" i="8"/>
  <c r="AX97" i="8"/>
  <c r="AY97" i="8"/>
  <c r="AZ97" i="8"/>
  <c r="BA97" i="8"/>
  <c r="BB97" i="8"/>
  <c r="BC97" i="8"/>
  <c r="BD97" i="8"/>
  <c r="BE97" i="8"/>
  <c r="BF97" i="8"/>
  <c r="BG97" i="8"/>
  <c r="BH97" i="8"/>
  <c r="BI97" i="8"/>
  <c r="BJ97" i="8"/>
  <c r="BK97" i="8"/>
  <c r="BL97" i="8"/>
  <c r="BM97" i="8"/>
  <c r="BN97" i="8"/>
  <c r="BO97" i="8"/>
  <c r="BP97" i="8"/>
  <c r="BQ97" i="8"/>
  <c r="BR97" i="8"/>
  <c r="BS97" i="8"/>
  <c r="BT97" i="8"/>
  <c r="BU97" i="8"/>
  <c r="BV97" i="8"/>
  <c r="BW97" i="8"/>
  <c r="BX97" i="8"/>
  <c r="BY97" i="8"/>
  <c r="BZ97" i="8"/>
  <c r="CA97" i="8"/>
  <c r="CB97" i="8"/>
  <c r="CC97" i="8"/>
  <c r="CD97" i="8"/>
  <c r="CE97" i="8"/>
  <c r="CF97" i="8"/>
  <c r="CG97" i="8"/>
  <c r="CH97" i="8"/>
  <c r="CI97" i="8"/>
  <c r="CJ97" i="8"/>
  <c r="CK97" i="8"/>
  <c r="CL97" i="8"/>
  <c r="CM97" i="8"/>
  <c r="CN97" i="8"/>
  <c r="CO97" i="8"/>
  <c r="CP97" i="8"/>
  <c r="CQ97" i="8"/>
  <c r="CR97" i="8"/>
  <c r="CS97" i="8"/>
  <c r="CT97" i="8"/>
  <c r="CU97" i="8"/>
  <c r="CV97" i="8"/>
  <c r="CW97" i="8"/>
  <c r="CX97" i="8"/>
  <c r="CY97" i="8"/>
  <c r="CZ97" i="8"/>
  <c r="DA97" i="8"/>
  <c r="DB97" i="8"/>
  <c r="DC97" i="8"/>
  <c r="DD97" i="8"/>
  <c r="DE97" i="8"/>
  <c r="DF97" i="8"/>
  <c r="DG97" i="8"/>
  <c r="DH97" i="8"/>
  <c r="DI97" i="8"/>
  <c r="DJ97" i="8"/>
  <c r="DK97" i="8"/>
  <c r="DL97" i="8"/>
  <c r="DM97" i="8"/>
  <c r="DN97" i="8"/>
  <c r="DO97" i="8"/>
  <c r="DP97" i="8"/>
  <c r="DQ97" i="8"/>
  <c r="DR97" i="8"/>
  <c r="DS97" i="8"/>
  <c r="DT97" i="8"/>
  <c r="DU97" i="8"/>
  <c r="DV97" i="8"/>
  <c r="DW97" i="8"/>
  <c r="DX97" i="8"/>
  <c r="DY97" i="8"/>
  <c r="DZ97" i="8"/>
  <c r="EA97" i="8"/>
  <c r="EB97" i="8"/>
  <c r="EC97" i="8"/>
  <c r="ED97" i="8"/>
  <c r="EE97" i="8"/>
  <c r="EF97" i="8"/>
  <c r="EG97" i="8"/>
  <c r="EH97" i="8"/>
  <c r="EI97" i="8"/>
  <c r="EJ97" i="8"/>
  <c r="EK97" i="8"/>
  <c r="EL97" i="8"/>
  <c r="EM97" i="8"/>
  <c r="EN97" i="8"/>
  <c r="EO97" i="8"/>
  <c r="EP97" i="8"/>
  <c r="EQ97" i="8"/>
  <c r="ER97" i="8"/>
  <c r="ES97" i="8"/>
  <c r="ET97" i="8"/>
  <c r="EU97" i="8"/>
  <c r="EV97" i="8"/>
  <c r="EW97" i="8"/>
  <c r="EX97" i="8"/>
  <c r="EY97" i="8"/>
  <c r="EZ97" i="8"/>
  <c r="FA97" i="8"/>
  <c r="FB97" i="8"/>
  <c r="FC97" i="8"/>
  <c r="FD97" i="8"/>
  <c r="FE97" i="8"/>
  <c r="FF97" i="8"/>
  <c r="FG97" i="8"/>
  <c r="FH97" i="8"/>
  <c r="FI97" i="8"/>
  <c r="FJ97" i="8"/>
  <c r="FK97" i="8"/>
  <c r="FL97" i="8"/>
  <c r="FM97" i="8"/>
  <c r="FN97" i="8"/>
  <c r="FO97" i="8"/>
  <c r="FP97" i="8"/>
  <c r="FQ97" i="8"/>
  <c r="FR97" i="8"/>
  <c r="FS97" i="8"/>
  <c r="FT97" i="8"/>
  <c r="FU97" i="8"/>
  <c r="FV97" i="8"/>
  <c r="FW97" i="8"/>
  <c r="FX97" i="8"/>
  <c r="FY97" i="8"/>
  <c r="FZ97" i="8"/>
  <c r="GA97" i="8"/>
  <c r="GB97" i="8"/>
  <c r="GC97" i="8"/>
  <c r="GD97" i="8"/>
  <c r="GE97" i="8"/>
  <c r="GF97" i="8"/>
  <c r="GG97" i="8"/>
  <c r="GH97" i="8"/>
  <c r="GI97" i="8"/>
  <c r="GJ97" i="8"/>
  <c r="GK97" i="8"/>
  <c r="GL97" i="8"/>
  <c r="GM97" i="8"/>
  <c r="GN97" i="8"/>
  <c r="GO97" i="8"/>
  <c r="GP97" i="8"/>
  <c r="GQ97" i="8"/>
  <c r="GR97" i="8"/>
  <c r="GS97" i="8"/>
  <c r="GT97" i="8"/>
  <c r="GU97" i="8"/>
  <c r="GV97" i="8"/>
  <c r="GW97" i="8"/>
  <c r="GX97" i="8"/>
  <c r="GY97" i="8"/>
  <c r="GZ97" i="8"/>
  <c r="HA97" i="8"/>
  <c r="HB97" i="8"/>
  <c r="HC97" i="8"/>
  <c r="HD97" i="8"/>
  <c r="HE97" i="8"/>
  <c r="HF97" i="8"/>
  <c r="HG97" i="8"/>
  <c r="HH97" i="8"/>
  <c r="HI97" i="8"/>
  <c r="HJ97" i="8"/>
  <c r="HK97" i="8"/>
  <c r="HL97" i="8"/>
  <c r="HM97" i="8"/>
  <c r="HN97" i="8"/>
  <c r="HO97" i="8"/>
  <c r="HP97" i="8"/>
  <c r="HQ97" i="8"/>
  <c r="HR97" i="8"/>
  <c r="HS97" i="8"/>
  <c r="HT97" i="8"/>
  <c r="HU97" i="8"/>
  <c r="HV97" i="8"/>
  <c r="HW97" i="8"/>
  <c r="HX97" i="8"/>
  <c r="HY97" i="8"/>
  <c r="HZ97" i="8"/>
  <c r="IA97" i="8"/>
  <c r="IB97" i="8"/>
  <c r="IC97" i="8"/>
  <c r="ID97" i="8"/>
  <c r="IE97" i="8"/>
  <c r="IF97" i="8"/>
  <c r="IG97" i="8"/>
  <c r="IH97" i="8"/>
  <c r="II97" i="8"/>
  <c r="IJ97" i="8"/>
  <c r="IK97" i="8"/>
  <c r="IL97" i="8"/>
  <c r="IM97" i="8"/>
  <c r="IN97" i="8"/>
  <c r="IO97" i="8"/>
  <c r="IP97" i="8"/>
  <c r="IQ97" i="8"/>
  <c r="IR97" i="8"/>
  <c r="IS97" i="8"/>
  <c r="IT97" i="8"/>
  <c r="IU97" i="8"/>
  <c r="IV97" i="8"/>
  <c r="A98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Z98" i="8"/>
  <c r="AA98" i="8"/>
  <c r="AB98" i="8"/>
  <c r="AC98" i="8"/>
  <c r="AD98" i="8"/>
  <c r="AE98" i="8"/>
  <c r="AF98" i="8"/>
  <c r="AG98" i="8"/>
  <c r="AH98" i="8"/>
  <c r="AI98" i="8"/>
  <c r="AJ98" i="8"/>
  <c r="AK98" i="8"/>
  <c r="AL98" i="8"/>
  <c r="AM98" i="8"/>
  <c r="AN98" i="8"/>
  <c r="AO98" i="8"/>
  <c r="AP98" i="8"/>
  <c r="AQ98" i="8"/>
  <c r="AR98" i="8"/>
  <c r="AS98" i="8"/>
  <c r="AT98" i="8"/>
  <c r="AU98" i="8"/>
  <c r="AV98" i="8"/>
  <c r="AW98" i="8"/>
  <c r="AX98" i="8"/>
  <c r="AY98" i="8"/>
  <c r="AZ98" i="8"/>
  <c r="BA98" i="8"/>
  <c r="BB98" i="8"/>
  <c r="BC98" i="8"/>
  <c r="BD98" i="8"/>
  <c r="BE98" i="8"/>
  <c r="BF98" i="8"/>
  <c r="BG98" i="8"/>
  <c r="BH98" i="8"/>
  <c r="BI98" i="8"/>
  <c r="BJ98" i="8"/>
  <c r="BK98" i="8"/>
  <c r="BL98" i="8"/>
  <c r="BM98" i="8"/>
  <c r="BN98" i="8"/>
  <c r="BO98" i="8"/>
  <c r="BP98" i="8"/>
  <c r="BQ98" i="8"/>
  <c r="BR98" i="8"/>
  <c r="BS98" i="8"/>
  <c r="BT98" i="8"/>
  <c r="BU98" i="8"/>
  <c r="BV98" i="8"/>
  <c r="BW98" i="8"/>
  <c r="BX98" i="8"/>
  <c r="BY98" i="8"/>
  <c r="BZ98" i="8"/>
  <c r="CA98" i="8"/>
  <c r="CB98" i="8"/>
  <c r="CC98" i="8"/>
  <c r="CD98" i="8"/>
  <c r="CE98" i="8"/>
  <c r="CF98" i="8"/>
  <c r="CG98" i="8"/>
  <c r="CH98" i="8"/>
  <c r="CI98" i="8"/>
  <c r="CJ98" i="8"/>
  <c r="CK98" i="8"/>
  <c r="CL98" i="8"/>
  <c r="CM98" i="8"/>
  <c r="CN98" i="8"/>
  <c r="CO98" i="8"/>
  <c r="CP98" i="8"/>
  <c r="CQ98" i="8"/>
  <c r="CR98" i="8"/>
  <c r="CS98" i="8"/>
  <c r="CT98" i="8"/>
  <c r="CU98" i="8"/>
  <c r="CV98" i="8"/>
  <c r="CW98" i="8"/>
  <c r="CX98" i="8"/>
  <c r="CY98" i="8"/>
  <c r="CZ98" i="8"/>
  <c r="DA98" i="8"/>
  <c r="DB98" i="8"/>
  <c r="DC98" i="8"/>
  <c r="DD98" i="8"/>
  <c r="DE98" i="8"/>
  <c r="DF98" i="8"/>
  <c r="DG98" i="8"/>
  <c r="DH98" i="8"/>
  <c r="DI98" i="8"/>
  <c r="DJ98" i="8"/>
  <c r="DK98" i="8"/>
  <c r="DL98" i="8"/>
  <c r="DM98" i="8"/>
  <c r="DN98" i="8"/>
  <c r="DO98" i="8"/>
  <c r="DP98" i="8"/>
  <c r="DQ98" i="8"/>
  <c r="DR98" i="8"/>
  <c r="DS98" i="8"/>
  <c r="DT98" i="8"/>
  <c r="DU98" i="8"/>
  <c r="DV98" i="8"/>
  <c r="DW98" i="8"/>
  <c r="DX98" i="8"/>
  <c r="DY98" i="8"/>
  <c r="DZ98" i="8"/>
  <c r="EA98" i="8"/>
  <c r="EB98" i="8"/>
  <c r="EC98" i="8"/>
  <c r="ED98" i="8"/>
  <c r="EE98" i="8"/>
  <c r="EF98" i="8"/>
  <c r="EG98" i="8"/>
  <c r="EH98" i="8"/>
  <c r="EI98" i="8"/>
  <c r="EJ98" i="8"/>
  <c r="EK98" i="8"/>
  <c r="EL98" i="8"/>
  <c r="EM98" i="8"/>
  <c r="EN98" i="8"/>
  <c r="EO98" i="8"/>
  <c r="EP98" i="8"/>
  <c r="EQ98" i="8"/>
  <c r="ER98" i="8"/>
  <c r="ES98" i="8"/>
  <c r="ET98" i="8"/>
  <c r="EU98" i="8"/>
  <c r="EV98" i="8"/>
  <c r="EW98" i="8"/>
  <c r="EX98" i="8"/>
  <c r="EY98" i="8"/>
  <c r="EZ98" i="8"/>
  <c r="FA98" i="8"/>
  <c r="FB98" i="8"/>
  <c r="FC98" i="8"/>
  <c r="FD98" i="8"/>
  <c r="FE98" i="8"/>
  <c r="FF98" i="8"/>
  <c r="FG98" i="8"/>
  <c r="FH98" i="8"/>
  <c r="FI98" i="8"/>
  <c r="FJ98" i="8"/>
  <c r="FK98" i="8"/>
  <c r="FL98" i="8"/>
  <c r="FM98" i="8"/>
  <c r="FN98" i="8"/>
  <c r="FO98" i="8"/>
  <c r="FP98" i="8"/>
  <c r="FQ98" i="8"/>
  <c r="FR98" i="8"/>
  <c r="FS98" i="8"/>
  <c r="FT98" i="8"/>
  <c r="FU98" i="8"/>
  <c r="FV98" i="8"/>
  <c r="FW98" i="8"/>
  <c r="FX98" i="8"/>
  <c r="FY98" i="8"/>
  <c r="FZ98" i="8"/>
  <c r="GA98" i="8"/>
  <c r="GB98" i="8"/>
  <c r="GC98" i="8"/>
  <c r="GD98" i="8"/>
  <c r="GE98" i="8"/>
  <c r="GF98" i="8"/>
  <c r="GG98" i="8"/>
  <c r="GH98" i="8"/>
  <c r="GI98" i="8"/>
  <c r="GJ98" i="8"/>
  <c r="GK98" i="8"/>
  <c r="GL98" i="8"/>
  <c r="GM98" i="8"/>
  <c r="GN98" i="8"/>
  <c r="GO98" i="8"/>
  <c r="GP98" i="8"/>
  <c r="GQ98" i="8"/>
  <c r="GR98" i="8"/>
  <c r="GS98" i="8"/>
  <c r="GT98" i="8"/>
  <c r="GU98" i="8"/>
  <c r="GV98" i="8"/>
  <c r="GW98" i="8"/>
  <c r="GX98" i="8"/>
  <c r="GY98" i="8"/>
  <c r="GZ98" i="8"/>
  <c r="HA98" i="8"/>
  <c r="HB98" i="8"/>
  <c r="HC98" i="8"/>
  <c r="HD98" i="8"/>
  <c r="HE98" i="8"/>
  <c r="HF98" i="8"/>
  <c r="HG98" i="8"/>
  <c r="HH98" i="8"/>
  <c r="HI98" i="8"/>
  <c r="HJ98" i="8"/>
  <c r="HK98" i="8"/>
  <c r="HL98" i="8"/>
  <c r="HM98" i="8"/>
  <c r="HN98" i="8"/>
  <c r="HO98" i="8"/>
  <c r="HP98" i="8"/>
  <c r="HQ98" i="8"/>
  <c r="HR98" i="8"/>
  <c r="HS98" i="8"/>
  <c r="HT98" i="8"/>
  <c r="HU98" i="8"/>
  <c r="HV98" i="8"/>
  <c r="HW98" i="8"/>
  <c r="HX98" i="8"/>
  <c r="HY98" i="8"/>
  <c r="HZ98" i="8"/>
  <c r="IA98" i="8"/>
  <c r="IB98" i="8"/>
  <c r="IC98" i="8"/>
  <c r="ID98" i="8"/>
  <c r="IE98" i="8"/>
  <c r="IF98" i="8"/>
  <c r="IG98" i="8"/>
  <c r="IH98" i="8"/>
  <c r="II98" i="8"/>
  <c r="IJ98" i="8"/>
  <c r="IK98" i="8"/>
  <c r="IL98" i="8"/>
  <c r="IM98" i="8"/>
  <c r="IN98" i="8"/>
  <c r="IO98" i="8"/>
  <c r="IP98" i="8"/>
  <c r="IQ98" i="8"/>
  <c r="IR98" i="8"/>
  <c r="IS98" i="8"/>
  <c r="IT98" i="8"/>
  <c r="IU98" i="8"/>
  <c r="IV98" i="8"/>
  <c r="A99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Z99" i="8"/>
  <c r="AA99" i="8"/>
  <c r="AB99" i="8"/>
  <c r="AC99" i="8"/>
  <c r="AD99" i="8"/>
  <c r="AE99" i="8"/>
  <c r="AF99" i="8"/>
  <c r="AG99" i="8"/>
  <c r="AH99" i="8"/>
  <c r="AI99" i="8"/>
  <c r="AJ99" i="8"/>
  <c r="AK99" i="8"/>
  <c r="AL99" i="8"/>
  <c r="AM99" i="8"/>
  <c r="AN99" i="8"/>
  <c r="AO99" i="8"/>
  <c r="AP99" i="8"/>
  <c r="AQ99" i="8"/>
  <c r="AR99" i="8"/>
  <c r="AS99" i="8"/>
  <c r="AT99" i="8"/>
  <c r="AU99" i="8"/>
  <c r="AV99" i="8"/>
  <c r="AW99" i="8"/>
  <c r="AX99" i="8"/>
  <c r="AY99" i="8"/>
  <c r="AZ99" i="8"/>
  <c r="BA99" i="8"/>
  <c r="BB99" i="8"/>
  <c r="BC99" i="8"/>
  <c r="BD99" i="8"/>
  <c r="BE99" i="8"/>
  <c r="BF99" i="8"/>
  <c r="BG99" i="8"/>
  <c r="BH99" i="8"/>
  <c r="BI99" i="8"/>
  <c r="BJ99" i="8"/>
  <c r="BK99" i="8"/>
  <c r="BL99" i="8"/>
  <c r="BM99" i="8"/>
  <c r="BN99" i="8"/>
  <c r="BO99" i="8"/>
  <c r="BP99" i="8"/>
  <c r="BQ99" i="8"/>
  <c r="BR99" i="8"/>
  <c r="BS99" i="8"/>
  <c r="BT99" i="8"/>
  <c r="BU99" i="8"/>
  <c r="BV99" i="8"/>
  <c r="BW99" i="8"/>
  <c r="BX99" i="8"/>
  <c r="BY99" i="8"/>
  <c r="BZ99" i="8"/>
  <c r="CA99" i="8"/>
  <c r="CB99" i="8"/>
  <c r="CC99" i="8"/>
  <c r="CD99" i="8"/>
  <c r="CE99" i="8"/>
  <c r="CF99" i="8"/>
  <c r="CG99" i="8"/>
  <c r="CH99" i="8"/>
  <c r="CI99" i="8"/>
  <c r="CJ99" i="8"/>
  <c r="CK99" i="8"/>
  <c r="CL99" i="8"/>
  <c r="CM99" i="8"/>
  <c r="CN99" i="8"/>
  <c r="CO99" i="8"/>
  <c r="CP99" i="8"/>
  <c r="CQ99" i="8"/>
  <c r="CR99" i="8"/>
  <c r="CS99" i="8"/>
  <c r="CT99" i="8"/>
  <c r="CU99" i="8"/>
  <c r="CV99" i="8"/>
  <c r="CW99" i="8"/>
  <c r="CX99" i="8"/>
  <c r="CY99" i="8"/>
  <c r="CZ99" i="8"/>
  <c r="DA99" i="8"/>
  <c r="DB99" i="8"/>
  <c r="DC99" i="8"/>
  <c r="DD99" i="8"/>
  <c r="DE99" i="8"/>
  <c r="DF99" i="8"/>
  <c r="DG99" i="8"/>
  <c r="DH99" i="8"/>
  <c r="DI99" i="8"/>
  <c r="DJ99" i="8"/>
  <c r="DK99" i="8"/>
  <c r="DL99" i="8"/>
  <c r="DM99" i="8"/>
  <c r="DN99" i="8"/>
  <c r="DO99" i="8"/>
  <c r="DP99" i="8"/>
  <c r="DQ99" i="8"/>
  <c r="DR99" i="8"/>
  <c r="DS99" i="8"/>
  <c r="DT99" i="8"/>
  <c r="DU99" i="8"/>
  <c r="DV99" i="8"/>
  <c r="DW99" i="8"/>
  <c r="DX99" i="8"/>
  <c r="DY99" i="8"/>
  <c r="DZ99" i="8"/>
  <c r="EA99" i="8"/>
  <c r="EB99" i="8"/>
  <c r="EC99" i="8"/>
  <c r="ED99" i="8"/>
  <c r="EE99" i="8"/>
  <c r="EF99" i="8"/>
  <c r="EG99" i="8"/>
  <c r="EH99" i="8"/>
  <c r="EI99" i="8"/>
  <c r="EJ99" i="8"/>
  <c r="EK99" i="8"/>
  <c r="EL99" i="8"/>
  <c r="EM99" i="8"/>
  <c r="EN99" i="8"/>
  <c r="EO99" i="8"/>
  <c r="EP99" i="8"/>
  <c r="EQ99" i="8"/>
  <c r="ER99" i="8"/>
  <c r="ES99" i="8"/>
  <c r="ET99" i="8"/>
  <c r="EU99" i="8"/>
  <c r="EV99" i="8"/>
  <c r="EW99" i="8"/>
  <c r="EX99" i="8"/>
  <c r="EY99" i="8"/>
  <c r="EZ99" i="8"/>
  <c r="FA99" i="8"/>
  <c r="FB99" i="8"/>
  <c r="FC99" i="8"/>
  <c r="FD99" i="8"/>
  <c r="FE99" i="8"/>
  <c r="FF99" i="8"/>
  <c r="FG99" i="8"/>
  <c r="FH99" i="8"/>
  <c r="FI99" i="8"/>
  <c r="FJ99" i="8"/>
  <c r="FK99" i="8"/>
  <c r="FL99" i="8"/>
  <c r="FM99" i="8"/>
  <c r="FN99" i="8"/>
  <c r="FO99" i="8"/>
  <c r="FP99" i="8"/>
  <c r="FQ99" i="8"/>
  <c r="FR99" i="8"/>
  <c r="FS99" i="8"/>
  <c r="FT99" i="8"/>
  <c r="FU99" i="8"/>
  <c r="FV99" i="8"/>
  <c r="FW99" i="8"/>
  <c r="FX99" i="8"/>
  <c r="FY99" i="8"/>
  <c r="FZ99" i="8"/>
  <c r="GA99" i="8"/>
  <c r="GB99" i="8"/>
  <c r="GC99" i="8"/>
  <c r="GD99" i="8"/>
  <c r="GE99" i="8"/>
  <c r="GF99" i="8"/>
  <c r="GG99" i="8"/>
  <c r="GH99" i="8"/>
  <c r="GI99" i="8"/>
  <c r="GJ99" i="8"/>
  <c r="GK99" i="8"/>
  <c r="GL99" i="8"/>
  <c r="GM99" i="8"/>
  <c r="GN99" i="8"/>
  <c r="GO99" i="8"/>
  <c r="GP99" i="8"/>
  <c r="GQ99" i="8"/>
  <c r="GR99" i="8"/>
  <c r="GS99" i="8"/>
  <c r="GT99" i="8"/>
  <c r="GU99" i="8"/>
  <c r="GV99" i="8"/>
  <c r="GW99" i="8"/>
  <c r="GX99" i="8"/>
  <c r="GY99" i="8"/>
  <c r="GZ99" i="8"/>
  <c r="HA99" i="8"/>
  <c r="HB99" i="8"/>
  <c r="HC99" i="8"/>
  <c r="HD99" i="8"/>
  <c r="HE99" i="8"/>
  <c r="HF99" i="8"/>
  <c r="HG99" i="8"/>
  <c r="HH99" i="8"/>
  <c r="HI99" i="8"/>
  <c r="HJ99" i="8"/>
  <c r="HK99" i="8"/>
  <c r="HL99" i="8"/>
  <c r="HM99" i="8"/>
  <c r="HN99" i="8"/>
  <c r="HO99" i="8"/>
  <c r="HP99" i="8"/>
  <c r="HQ99" i="8"/>
  <c r="HR99" i="8"/>
  <c r="HS99" i="8"/>
  <c r="HT99" i="8"/>
  <c r="HU99" i="8"/>
  <c r="HV99" i="8"/>
  <c r="HW99" i="8"/>
  <c r="HX99" i="8"/>
  <c r="HY99" i="8"/>
  <c r="HZ99" i="8"/>
  <c r="IA99" i="8"/>
  <c r="IB99" i="8"/>
  <c r="IC99" i="8"/>
  <c r="ID99" i="8"/>
  <c r="IE99" i="8"/>
  <c r="IF99" i="8"/>
  <c r="IG99" i="8"/>
  <c r="IH99" i="8"/>
  <c r="II99" i="8"/>
  <c r="IJ99" i="8"/>
  <c r="IK99" i="8"/>
  <c r="IL99" i="8"/>
  <c r="IM99" i="8"/>
  <c r="IN99" i="8"/>
  <c r="IO99" i="8"/>
  <c r="IP99" i="8"/>
  <c r="IQ99" i="8"/>
  <c r="IR99" i="8"/>
  <c r="IS99" i="8"/>
  <c r="IT99" i="8"/>
  <c r="IU99" i="8"/>
  <c r="IV99" i="8"/>
  <c r="A100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Z100" i="8"/>
  <c r="AA100" i="8"/>
  <c r="AB100" i="8"/>
  <c r="AC100" i="8"/>
  <c r="AD100" i="8"/>
  <c r="AE100" i="8"/>
  <c r="AF100" i="8"/>
  <c r="AG100" i="8"/>
  <c r="AH100" i="8"/>
  <c r="AI100" i="8"/>
  <c r="AJ100" i="8"/>
  <c r="AK100" i="8"/>
  <c r="AL100" i="8"/>
  <c r="AM100" i="8"/>
  <c r="AN100" i="8"/>
  <c r="AO100" i="8"/>
  <c r="AP100" i="8"/>
  <c r="AQ100" i="8"/>
  <c r="AR100" i="8"/>
  <c r="AS100" i="8"/>
  <c r="AT100" i="8"/>
  <c r="AU100" i="8"/>
  <c r="AV100" i="8"/>
  <c r="AW100" i="8"/>
  <c r="AX100" i="8"/>
  <c r="AY100" i="8"/>
  <c r="AZ100" i="8"/>
  <c r="BA100" i="8"/>
  <c r="BB100" i="8"/>
  <c r="BC100" i="8"/>
  <c r="BD100" i="8"/>
  <c r="BE100" i="8"/>
  <c r="BF100" i="8"/>
  <c r="BG100" i="8"/>
  <c r="BH100" i="8"/>
  <c r="BI100" i="8"/>
  <c r="BJ100" i="8"/>
  <c r="BK100" i="8"/>
  <c r="BL100" i="8"/>
  <c r="BM100" i="8"/>
  <c r="BN100" i="8"/>
  <c r="BO100" i="8"/>
  <c r="BP100" i="8"/>
  <c r="BQ100" i="8"/>
  <c r="BR100" i="8"/>
  <c r="BS100" i="8"/>
  <c r="BT100" i="8"/>
  <c r="BU100" i="8"/>
  <c r="BV100" i="8"/>
  <c r="BW100" i="8"/>
  <c r="BX100" i="8"/>
  <c r="BY100" i="8"/>
  <c r="BZ100" i="8"/>
  <c r="CA100" i="8"/>
  <c r="CB100" i="8"/>
  <c r="CC100" i="8"/>
  <c r="CD100" i="8"/>
  <c r="CE100" i="8"/>
  <c r="CF100" i="8"/>
  <c r="CG100" i="8"/>
  <c r="CH100" i="8"/>
  <c r="CI100" i="8"/>
  <c r="CJ100" i="8"/>
  <c r="CK100" i="8"/>
  <c r="CL100" i="8"/>
  <c r="CM100" i="8"/>
  <c r="CN100" i="8"/>
  <c r="CO100" i="8"/>
  <c r="CP100" i="8"/>
  <c r="CQ100" i="8"/>
  <c r="CR100" i="8"/>
  <c r="CS100" i="8"/>
  <c r="CT100" i="8"/>
  <c r="CU100" i="8"/>
  <c r="CV100" i="8"/>
  <c r="CW100" i="8"/>
  <c r="CX100" i="8"/>
  <c r="CY100" i="8"/>
  <c r="CZ100" i="8"/>
  <c r="DA100" i="8"/>
  <c r="DB100" i="8"/>
  <c r="DC100" i="8"/>
  <c r="DD100" i="8"/>
  <c r="DE100" i="8"/>
  <c r="DF100" i="8"/>
  <c r="DG100" i="8"/>
  <c r="DH100" i="8"/>
  <c r="DI100" i="8"/>
  <c r="DJ100" i="8"/>
  <c r="DK100" i="8"/>
  <c r="DL100" i="8"/>
  <c r="DM100" i="8"/>
  <c r="DN100" i="8"/>
  <c r="DO100" i="8"/>
  <c r="DP100" i="8"/>
  <c r="DQ100" i="8"/>
  <c r="DR100" i="8"/>
  <c r="DS100" i="8"/>
  <c r="DT100" i="8"/>
  <c r="DU100" i="8"/>
  <c r="DV100" i="8"/>
  <c r="DW100" i="8"/>
  <c r="DX100" i="8"/>
  <c r="DY100" i="8"/>
  <c r="DZ100" i="8"/>
  <c r="EA100" i="8"/>
  <c r="EB100" i="8"/>
  <c r="EC100" i="8"/>
  <c r="ED100" i="8"/>
  <c r="EE100" i="8"/>
  <c r="EF100" i="8"/>
  <c r="EG100" i="8"/>
  <c r="EH100" i="8"/>
  <c r="EI100" i="8"/>
  <c r="EJ100" i="8"/>
  <c r="EK100" i="8"/>
  <c r="EL100" i="8"/>
  <c r="EM100" i="8"/>
  <c r="EN100" i="8"/>
  <c r="EO100" i="8"/>
  <c r="EP100" i="8"/>
  <c r="EQ100" i="8"/>
  <c r="ER100" i="8"/>
  <c r="ES100" i="8"/>
  <c r="ET100" i="8"/>
  <c r="EU100" i="8"/>
  <c r="EV100" i="8"/>
  <c r="EW100" i="8"/>
  <c r="EX100" i="8"/>
  <c r="EY100" i="8"/>
  <c r="EZ100" i="8"/>
  <c r="FA100" i="8"/>
  <c r="FB100" i="8"/>
  <c r="FC100" i="8"/>
  <c r="FD100" i="8"/>
  <c r="FE100" i="8"/>
  <c r="FF100" i="8"/>
  <c r="FG100" i="8"/>
  <c r="FH100" i="8"/>
  <c r="FI100" i="8"/>
  <c r="FJ100" i="8"/>
  <c r="FK100" i="8"/>
  <c r="FL100" i="8"/>
  <c r="FM100" i="8"/>
  <c r="FN100" i="8"/>
  <c r="FO100" i="8"/>
  <c r="FP100" i="8"/>
  <c r="FQ100" i="8"/>
  <c r="FR100" i="8"/>
  <c r="FS100" i="8"/>
  <c r="FT100" i="8"/>
  <c r="FU100" i="8"/>
  <c r="FV100" i="8"/>
  <c r="FW100" i="8"/>
  <c r="FX100" i="8"/>
  <c r="FY100" i="8"/>
  <c r="FZ100" i="8"/>
  <c r="GA100" i="8"/>
  <c r="GB100" i="8"/>
  <c r="GC100" i="8"/>
  <c r="GD100" i="8"/>
  <c r="GE100" i="8"/>
  <c r="GF100" i="8"/>
  <c r="GG100" i="8"/>
  <c r="GH100" i="8"/>
  <c r="GI100" i="8"/>
  <c r="GJ100" i="8"/>
  <c r="GK100" i="8"/>
  <c r="GL100" i="8"/>
  <c r="GM100" i="8"/>
  <c r="GN100" i="8"/>
  <c r="GO100" i="8"/>
  <c r="GP100" i="8"/>
  <c r="GQ100" i="8"/>
  <c r="GR100" i="8"/>
  <c r="GS100" i="8"/>
  <c r="GT100" i="8"/>
  <c r="GU100" i="8"/>
  <c r="GV100" i="8"/>
  <c r="GW100" i="8"/>
  <c r="GX100" i="8"/>
  <c r="GY100" i="8"/>
  <c r="GZ100" i="8"/>
  <c r="HA100" i="8"/>
  <c r="HB100" i="8"/>
  <c r="HC100" i="8"/>
  <c r="HD100" i="8"/>
  <c r="HE100" i="8"/>
  <c r="HF100" i="8"/>
  <c r="HG100" i="8"/>
  <c r="HH100" i="8"/>
  <c r="HI100" i="8"/>
  <c r="HJ100" i="8"/>
  <c r="HK100" i="8"/>
  <c r="HL100" i="8"/>
  <c r="HM100" i="8"/>
  <c r="HN100" i="8"/>
  <c r="HO100" i="8"/>
  <c r="HP100" i="8"/>
  <c r="HQ100" i="8"/>
  <c r="HR100" i="8"/>
  <c r="HS100" i="8"/>
  <c r="HT100" i="8"/>
  <c r="HU100" i="8"/>
  <c r="HV100" i="8"/>
  <c r="HW100" i="8"/>
  <c r="HX100" i="8"/>
  <c r="HY100" i="8"/>
  <c r="HZ100" i="8"/>
  <c r="IA100" i="8"/>
  <c r="IB100" i="8"/>
  <c r="IC100" i="8"/>
  <c r="ID100" i="8"/>
  <c r="IE100" i="8"/>
  <c r="IF100" i="8"/>
  <c r="IG100" i="8"/>
  <c r="IH100" i="8"/>
  <c r="II100" i="8"/>
  <c r="IJ100" i="8"/>
  <c r="IK100" i="8"/>
  <c r="IL100" i="8"/>
  <c r="IM100" i="8"/>
  <c r="IN100" i="8"/>
  <c r="IO100" i="8"/>
  <c r="IP100" i="8"/>
  <c r="IQ100" i="8"/>
  <c r="IR100" i="8"/>
  <c r="IS100" i="8"/>
  <c r="IT100" i="8"/>
  <c r="IU100" i="8"/>
  <c r="IV100" i="8"/>
  <c r="A101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Z101" i="8"/>
  <c r="AA101" i="8"/>
  <c r="AB101" i="8"/>
  <c r="AC101" i="8"/>
  <c r="AD101" i="8"/>
  <c r="AE101" i="8"/>
  <c r="AF101" i="8"/>
  <c r="AG101" i="8"/>
  <c r="AH101" i="8"/>
  <c r="AI101" i="8"/>
  <c r="AJ101" i="8"/>
  <c r="AK101" i="8"/>
  <c r="AL101" i="8"/>
  <c r="AM101" i="8"/>
  <c r="AN101" i="8"/>
  <c r="AO101" i="8"/>
  <c r="AP101" i="8"/>
  <c r="AQ101" i="8"/>
  <c r="AR101" i="8"/>
  <c r="AS101" i="8"/>
  <c r="AT101" i="8"/>
  <c r="AU101" i="8"/>
  <c r="AV101" i="8"/>
  <c r="AW101" i="8"/>
  <c r="AX101" i="8"/>
  <c r="AY101" i="8"/>
  <c r="AZ101" i="8"/>
  <c r="BA101" i="8"/>
  <c r="BB101" i="8"/>
  <c r="BC101" i="8"/>
  <c r="BD101" i="8"/>
  <c r="BE101" i="8"/>
  <c r="BF101" i="8"/>
  <c r="BG101" i="8"/>
  <c r="BH101" i="8"/>
  <c r="BI101" i="8"/>
  <c r="BJ101" i="8"/>
  <c r="BK101" i="8"/>
  <c r="BL101" i="8"/>
  <c r="BM101" i="8"/>
  <c r="BN101" i="8"/>
  <c r="BO101" i="8"/>
  <c r="BP101" i="8"/>
  <c r="BQ101" i="8"/>
  <c r="BR101" i="8"/>
  <c r="BS101" i="8"/>
  <c r="BT101" i="8"/>
  <c r="BU101" i="8"/>
  <c r="BV101" i="8"/>
  <c r="BW101" i="8"/>
  <c r="BX101" i="8"/>
  <c r="BY101" i="8"/>
  <c r="BZ101" i="8"/>
  <c r="CA101" i="8"/>
  <c r="CB101" i="8"/>
  <c r="CC101" i="8"/>
  <c r="CD101" i="8"/>
  <c r="CE101" i="8"/>
  <c r="CF101" i="8"/>
  <c r="CG101" i="8"/>
  <c r="CH101" i="8"/>
  <c r="CI101" i="8"/>
  <c r="CJ101" i="8"/>
  <c r="CK101" i="8"/>
  <c r="CL101" i="8"/>
  <c r="CM101" i="8"/>
  <c r="CN101" i="8"/>
  <c r="CO101" i="8"/>
  <c r="CP101" i="8"/>
  <c r="CQ101" i="8"/>
  <c r="CR101" i="8"/>
  <c r="CS101" i="8"/>
  <c r="CT101" i="8"/>
  <c r="CU101" i="8"/>
  <c r="CV101" i="8"/>
  <c r="CW101" i="8"/>
  <c r="CX101" i="8"/>
  <c r="CY101" i="8"/>
  <c r="CZ101" i="8"/>
  <c r="DA101" i="8"/>
  <c r="DB101" i="8"/>
  <c r="DC101" i="8"/>
  <c r="DD101" i="8"/>
  <c r="DE101" i="8"/>
  <c r="DF101" i="8"/>
  <c r="DG101" i="8"/>
  <c r="DH101" i="8"/>
  <c r="DI101" i="8"/>
  <c r="DJ101" i="8"/>
  <c r="DK101" i="8"/>
  <c r="DL101" i="8"/>
  <c r="DM101" i="8"/>
  <c r="DN101" i="8"/>
  <c r="DO101" i="8"/>
  <c r="DP101" i="8"/>
  <c r="DQ101" i="8"/>
  <c r="DR101" i="8"/>
  <c r="DS101" i="8"/>
  <c r="DT101" i="8"/>
  <c r="DU101" i="8"/>
  <c r="DV101" i="8"/>
  <c r="DW101" i="8"/>
  <c r="DX101" i="8"/>
  <c r="DY101" i="8"/>
  <c r="DZ101" i="8"/>
  <c r="EB101" i="8"/>
  <c r="A102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Z102" i="8"/>
  <c r="AA102" i="8"/>
  <c r="AB102" i="8"/>
  <c r="AC102" i="8"/>
  <c r="AD102" i="8"/>
  <c r="AE102" i="8"/>
  <c r="AF102" i="8"/>
  <c r="AG102" i="8"/>
  <c r="AH102" i="8"/>
  <c r="AI102" i="8"/>
  <c r="AJ102" i="8"/>
  <c r="AK102" i="8"/>
  <c r="AL102" i="8"/>
  <c r="AM102" i="8"/>
  <c r="AN102" i="8"/>
  <c r="AO102" i="8"/>
  <c r="AP102" i="8"/>
  <c r="AQ102" i="8"/>
  <c r="AR102" i="8"/>
  <c r="AS102" i="8"/>
  <c r="AT102" i="8"/>
  <c r="AU102" i="8"/>
  <c r="AV102" i="8"/>
  <c r="AW102" i="8"/>
  <c r="AX102" i="8"/>
  <c r="AY102" i="8"/>
  <c r="AZ102" i="8"/>
  <c r="BA102" i="8"/>
  <c r="BB102" i="8"/>
  <c r="BC102" i="8"/>
  <c r="BD102" i="8"/>
  <c r="BE102" i="8"/>
  <c r="BF102" i="8"/>
  <c r="BG102" i="8"/>
  <c r="BH102" i="8"/>
  <c r="BI102" i="8"/>
  <c r="BJ102" i="8"/>
  <c r="BK102" i="8"/>
  <c r="BL102" i="8"/>
  <c r="BM102" i="8"/>
  <c r="BN102" i="8"/>
  <c r="BO102" i="8"/>
  <c r="BP102" i="8"/>
  <c r="BQ102" i="8"/>
  <c r="BR102" i="8"/>
  <c r="BS102" i="8"/>
  <c r="BT102" i="8"/>
  <c r="BU102" i="8"/>
  <c r="BV102" i="8"/>
  <c r="BW102" i="8"/>
  <c r="BX102" i="8"/>
  <c r="BY102" i="8"/>
  <c r="BZ102" i="8"/>
  <c r="CA102" i="8"/>
  <c r="CB102" i="8"/>
  <c r="CC102" i="8"/>
  <c r="CD102" i="8"/>
  <c r="CE102" i="8"/>
  <c r="CF102" i="8"/>
  <c r="CG102" i="8"/>
  <c r="CH102" i="8"/>
  <c r="CI102" i="8"/>
  <c r="CJ102" i="8"/>
  <c r="CK102" i="8"/>
  <c r="CL102" i="8"/>
  <c r="CM102" i="8"/>
  <c r="CN102" i="8"/>
  <c r="CO102" i="8"/>
  <c r="CP102" i="8"/>
  <c r="CQ102" i="8"/>
  <c r="CR102" i="8"/>
  <c r="CS102" i="8"/>
  <c r="CT102" i="8"/>
  <c r="CU102" i="8"/>
  <c r="CV102" i="8"/>
  <c r="CW102" i="8"/>
  <c r="CX102" i="8"/>
  <c r="CY102" i="8"/>
  <c r="CZ102" i="8"/>
  <c r="DA102" i="8"/>
  <c r="DB102" i="8"/>
  <c r="DC102" i="8"/>
  <c r="DD102" i="8"/>
  <c r="DE102" i="8"/>
  <c r="DF102" i="8"/>
  <c r="DG102" i="8"/>
  <c r="DH102" i="8"/>
  <c r="DI102" i="8"/>
  <c r="DJ102" i="8"/>
  <c r="DK102" i="8"/>
  <c r="DL102" i="8"/>
  <c r="DM102" i="8"/>
  <c r="DN102" i="8"/>
  <c r="DO102" i="8"/>
  <c r="DP102" i="8"/>
  <c r="DQ102" i="8"/>
  <c r="DR102" i="8"/>
  <c r="DS102" i="8"/>
  <c r="DT102" i="8"/>
  <c r="DU102" i="8"/>
  <c r="DV102" i="8"/>
  <c r="DW102" i="8"/>
  <c r="DX102" i="8"/>
  <c r="DY102" i="8"/>
  <c r="DZ102" i="8"/>
  <c r="EA102" i="8"/>
  <c r="EB102" i="8"/>
  <c r="EC102" i="8"/>
  <c r="ED102" i="8"/>
  <c r="EE102" i="8"/>
  <c r="EF102" i="8"/>
  <c r="EG102" i="8"/>
  <c r="EH102" i="8"/>
  <c r="EI102" i="8"/>
  <c r="EJ102" i="8"/>
  <c r="EK102" i="8"/>
  <c r="EL102" i="8"/>
  <c r="EM102" i="8"/>
  <c r="EN102" i="8"/>
  <c r="EO102" i="8"/>
  <c r="EP102" i="8"/>
  <c r="EQ102" i="8"/>
  <c r="ER102" i="8"/>
  <c r="ES102" i="8"/>
  <c r="ET102" i="8"/>
  <c r="EU102" i="8"/>
  <c r="EV102" i="8"/>
  <c r="EW102" i="8"/>
  <c r="EX102" i="8"/>
  <c r="EY102" i="8"/>
  <c r="EZ102" i="8"/>
  <c r="FA102" i="8"/>
  <c r="FB102" i="8"/>
  <c r="FC102" i="8"/>
  <c r="FD102" i="8"/>
  <c r="FE102" i="8"/>
  <c r="FF102" i="8"/>
  <c r="FG102" i="8"/>
  <c r="FH102" i="8"/>
  <c r="FI102" i="8"/>
  <c r="FJ102" i="8"/>
  <c r="FK102" i="8"/>
  <c r="FL102" i="8"/>
  <c r="FM102" i="8"/>
  <c r="FN102" i="8"/>
  <c r="FO102" i="8"/>
  <c r="FP102" i="8"/>
  <c r="FQ102" i="8"/>
  <c r="FR102" i="8"/>
  <c r="FS102" i="8"/>
  <c r="FT102" i="8"/>
  <c r="FU102" i="8"/>
  <c r="FV102" i="8"/>
  <c r="FW102" i="8"/>
  <c r="FX102" i="8"/>
  <c r="FY102" i="8"/>
  <c r="FZ102" i="8"/>
  <c r="GA102" i="8"/>
  <c r="GB102" i="8"/>
  <c r="GC102" i="8"/>
  <c r="GD102" i="8"/>
  <c r="GE102" i="8"/>
  <c r="GF102" i="8"/>
  <c r="GG102" i="8"/>
  <c r="GH102" i="8"/>
  <c r="GI102" i="8"/>
  <c r="GJ102" i="8"/>
  <c r="GK102" i="8"/>
  <c r="GL102" i="8"/>
  <c r="GM102" i="8"/>
  <c r="GN102" i="8"/>
  <c r="GO102" i="8"/>
  <c r="GP102" i="8"/>
  <c r="GQ102" i="8"/>
  <c r="GR102" i="8"/>
  <c r="GS102" i="8"/>
  <c r="GT102" i="8"/>
  <c r="GU102" i="8"/>
  <c r="GV102" i="8"/>
  <c r="GW102" i="8"/>
  <c r="GX102" i="8"/>
  <c r="GY102" i="8"/>
  <c r="GZ102" i="8"/>
  <c r="HA102" i="8"/>
  <c r="HB102" i="8"/>
  <c r="HC102" i="8"/>
  <c r="HD102" i="8"/>
  <c r="HE102" i="8"/>
  <c r="HF102" i="8"/>
  <c r="HG102" i="8"/>
  <c r="HH102" i="8"/>
  <c r="HI102" i="8"/>
  <c r="HJ102" i="8"/>
  <c r="HK102" i="8"/>
  <c r="HL102" i="8"/>
  <c r="HM102" i="8"/>
  <c r="HN102" i="8"/>
  <c r="HO102" i="8"/>
  <c r="HP102" i="8"/>
  <c r="HQ102" i="8"/>
  <c r="HR102" i="8"/>
  <c r="HS102" i="8"/>
  <c r="HT102" i="8"/>
  <c r="HU102" i="8"/>
  <c r="HV102" i="8"/>
  <c r="HW102" i="8"/>
  <c r="HX102" i="8"/>
  <c r="HY102" i="8"/>
  <c r="HZ102" i="8"/>
  <c r="IA102" i="8"/>
  <c r="IB102" i="8"/>
  <c r="IC102" i="8"/>
  <c r="ID102" i="8"/>
  <c r="IE102" i="8"/>
  <c r="IF102" i="8"/>
  <c r="IG102" i="8"/>
  <c r="IH102" i="8"/>
  <c r="II102" i="8"/>
  <c r="IJ102" i="8"/>
  <c r="IK102" i="8"/>
  <c r="IL102" i="8"/>
  <c r="IM102" i="8"/>
  <c r="IN102" i="8"/>
  <c r="IO102" i="8"/>
  <c r="IP102" i="8"/>
  <c r="IQ102" i="8"/>
  <c r="IR102" i="8"/>
  <c r="IS102" i="8"/>
  <c r="IT102" i="8"/>
  <c r="IU102" i="8"/>
  <c r="IV102" i="8"/>
  <c r="A103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Z103" i="8"/>
  <c r="AA103" i="8"/>
  <c r="AB103" i="8"/>
  <c r="AC103" i="8"/>
  <c r="AD103" i="8"/>
  <c r="AE103" i="8"/>
  <c r="AF103" i="8"/>
  <c r="AG103" i="8"/>
  <c r="AH103" i="8"/>
  <c r="AI103" i="8"/>
  <c r="AJ103" i="8"/>
  <c r="AK103" i="8"/>
  <c r="AL103" i="8"/>
  <c r="AM103" i="8"/>
  <c r="AN103" i="8"/>
  <c r="AO103" i="8"/>
  <c r="AP103" i="8"/>
  <c r="AQ103" i="8"/>
  <c r="AR103" i="8"/>
  <c r="AS103" i="8"/>
  <c r="AT103" i="8"/>
  <c r="AU103" i="8"/>
  <c r="AV103" i="8"/>
  <c r="AW103" i="8"/>
  <c r="AX103" i="8"/>
  <c r="AY103" i="8"/>
  <c r="AZ103" i="8"/>
  <c r="BA103" i="8"/>
  <c r="BB103" i="8"/>
  <c r="BC103" i="8"/>
  <c r="BD103" i="8"/>
  <c r="BE103" i="8"/>
  <c r="BF103" i="8"/>
  <c r="BG103" i="8"/>
  <c r="BH103" i="8"/>
  <c r="BI103" i="8"/>
  <c r="BJ103" i="8"/>
  <c r="BK103" i="8"/>
  <c r="BL103" i="8"/>
  <c r="BM103" i="8"/>
  <c r="BN103" i="8"/>
  <c r="BO103" i="8"/>
  <c r="BP103" i="8"/>
  <c r="BQ103" i="8"/>
  <c r="BR103" i="8"/>
  <c r="BS103" i="8"/>
  <c r="BT103" i="8"/>
  <c r="BU103" i="8"/>
  <c r="BV103" i="8"/>
  <c r="BW103" i="8"/>
  <c r="BX103" i="8"/>
  <c r="BY103" i="8"/>
  <c r="BZ103" i="8"/>
  <c r="CA103" i="8"/>
  <c r="CB103" i="8"/>
  <c r="CC103" i="8"/>
  <c r="CD103" i="8"/>
  <c r="CE103" i="8"/>
  <c r="CF103" i="8"/>
  <c r="CG103" i="8"/>
  <c r="CH103" i="8"/>
  <c r="CI103" i="8"/>
  <c r="CJ103" i="8"/>
  <c r="CK103" i="8"/>
  <c r="CL103" i="8"/>
  <c r="CM103" i="8"/>
  <c r="CN103" i="8"/>
  <c r="CO103" i="8"/>
  <c r="CP103" i="8"/>
  <c r="CQ103" i="8"/>
  <c r="CR103" i="8"/>
  <c r="CS103" i="8"/>
  <c r="CT103" i="8"/>
  <c r="CU103" i="8"/>
  <c r="CV103" i="8"/>
  <c r="CW103" i="8"/>
  <c r="CX103" i="8"/>
  <c r="CY103" i="8"/>
  <c r="CZ103" i="8"/>
  <c r="DA103" i="8"/>
  <c r="DB103" i="8"/>
  <c r="DC103" i="8"/>
  <c r="DD103" i="8"/>
  <c r="DE103" i="8"/>
  <c r="DF103" i="8"/>
  <c r="DG103" i="8"/>
  <c r="DH103" i="8"/>
  <c r="DI103" i="8"/>
  <c r="DJ103" i="8"/>
  <c r="DK103" i="8"/>
  <c r="DL103" i="8"/>
  <c r="DM103" i="8"/>
  <c r="DN103" i="8"/>
  <c r="DO103" i="8"/>
  <c r="DP103" i="8"/>
  <c r="DQ103" i="8"/>
  <c r="DR103" i="8"/>
  <c r="DS103" i="8"/>
  <c r="DT103" i="8"/>
  <c r="DU103" i="8"/>
  <c r="DV103" i="8"/>
  <c r="DW103" i="8"/>
  <c r="DX103" i="8"/>
  <c r="DY103" i="8"/>
  <c r="DZ103" i="8"/>
  <c r="EA103" i="8"/>
  <c r="EB103" i="8"/>
  <c r="EC103" i="8"/>
  <c r="ED103" i="8"/>
  <c r="EE103" i="8"/>
  <c r="EF103" i="8"/>
  <c r="EG103" i="8"/>
  <c r="EH103" i="8"/>
  <c r="EI103" i="8"/>
  <c r="EJ103" i="8"/>
  <c r="EK103" i="8"/>
  <c r="EL103" i="8"/>
  <c r="EM103" i="8"/>
  <c r="EN103" i="8"/>
  <c r="EO103" i="8"/>
  <c r="EP103" i="8"/>
  <c r="EQ103" i="8"/>
  <c r="ER103" i="8"/>
  <c r="ES103" i="8"/>
  <c r="ET103" i="8"/>
  <c r="EU103" i="8"/>
  <c r="EV103" i="8"/>
  <c r="EW103" i="8"/>
  <c r="EX103" i="8"/>
  <c r="EY103" i="8"/>
  <c r="EZ103" i="8"/>
  <c r="FA103" i="8"/>
  <c r="FB103" i="8"/>
  <c r="FC103" i="8"/>
  <c r="FD103" i="8"/>
  <c r="FE103" i="8"/>
  <c r="FF103" i="8"/>
  <c r="FG103" i="8"/>
  <c r="FH103" i="8"/>
  <c r="FI103" i="8"/>
  <c r="FJ103" i="8"/>
  <c r="FK103" i="8"/>
  <c r="FL103" i="8"/>
  <c r="FM103" i="8"/>
  <c r="FN103" i="8"/>
  <c r="FO103" i="8"/>
  <c r="FP103" i="8"/>
  <c r="FQ103" i="8"/>
  <c r="FR103" i="8"/>
  <c r="FS103" i="8"/>
  <c r="FT103" i="8"/>
  <c r="FU103" i="8"/>
  <c r="FV103" i="8"/>
  <c r="FW103" i="8"/>
  <c r="FX103" i="8"/>
  <c r="FY103" i="8"/>
  <c r="FZ103" i="8"/>
  <c r="GA103" i="8"/>
  <c r="GB103" i="8"/>
  <c r="GC103" i="8"/>
  <c r="GD103" i="8"/>
  <c r="GE103" i="8"/>
  <c r="GF103" i="8"/>
  <c r="GG103" i="8"/>
  <c r="GH103" i="8"/>
  <c r="GI103" i="8"/>
  <c r="GJ103" i="8"/>
  <c r="GK103" i="8"/>
  <c r="GL103" i="8"/>
  <c r="GM103" i="8"/>
  <c r="GN103" i="8"/>
  <c r="GO103" i="8"/>
  <c r="GP103" i="8"/>
  <c r="GQ103" i="8"/>
  <c r="GR103" i="8"/>
  <c r="GS103" i="8"/>
  <c r="GT103" i="8"/>
  <c r="GU103" i="8"/>
  <c r="GV103" i="8"/>
  <c r="GW103" i="8"/>
  <c r="GX103" i="8"/>
  <c r="GY103" i="8"/>
  <c r="GZ103" i="8"/>
  <c r="HA103" i="8"/>
  <c r="HB103" i="8"/>
  <c r="HC103" i="8"/>
  <c r="HD103" i="8"/>
  <c r="HE103" i="8"/>
  <c r="HF103" i="8"/>
  <c r="HG103" i="8"/>
  <c r="HH103" i="8"/>
  <c r="HI103" i="8"/>
  <c r="HJ103" i="8"/>
  <c r="HK103" i="8"/>
  <c r="HL103" i="8"/>
  <c r="HM103" i="8"/>
  <c r="HN103" i="8"/>
  <c r="HO103" i="8"/>
  <c r="HP103" i="8"/>
  <c r="HQ103" i="8"/>
  <c r="HR103" i="8"/>
  <c r="HS103" i="8"/>
  <c r="HT103" i="8"/>
  <c r="HU103" i="8"/>
  <c r="HV103" i="8"/>
  <c r="HW103" i="8"/>
  <c r="HX103" i="8"/>
  <c r="HY103" i="8"/>
  <c r="HZ103" i="8"/>
  <c r="IA103" i="8"/>
  <c r="IB103" i="8"/>
  <c r="IC103" i="8"/>
  <c r="ID103" i="8"/>
  <c r="IE103" i="8"/>
  <c r="IF103" i="8"/>
  <c r="IG103" i="8"/>
  <c r="IH103" i="8"/>
  <c r="II103" i="8"/>
  <c r="IJ103" i="8"/>
  <c r="IK103" i="8"/>
  <c r="IL103" i="8"/>
  <c r="IM103" i="8"/>
  <c r="IN103" i="8"/>
  <c r="IO103" i="8"/>
  <c r="IP103" i="8"/>
  <c r="IQ103" i="8"/>
  <c r="IR103" i="8"/>
  <c r="IS103" i="8"/>
  <c r="IT103" i="8"/>
  <c r="IU103" i="8"/>
  <c r="IV103" i="8"/>
  <c r="A104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Z104" i="8"/>
  <c r="AA104" i="8"/>
  <c r="AB104" i="8"/>
  <c r="AC104" i="8"/>
  <c r="AD104" i="8"/>
  <c r="AE104" i="8"/>
  <c r="AF104" i="8"/>
  <c r="AG104" i="8"/>
  <c r="AH104" i="8"/>
  <c r="AI104" i="8"/>
  <c r="AJ104" i="8"/>
  <c r="AK104" i="8"/>
  <c r="AL104" i="8"/>
  <c r="AM104" i="8"/>
  <c r="AN104" i="8"/>
  <c r="AO104" i="8"/>
  <c r="AP104" i="8"/>
  <c r="AQ104" i="8"/>
  <c r="AR104" i="8"/>
  <c r="AS104" i="8"/>
  <c r="AT104" i="8"/>
  <c r="AU104" i="8"/>
  <c r="AV104" i="8"/>
  <c r="AW104" i="8"/>
  <c r="AX104" i="8"/>
  <c r="AY104" i="8"/>
  <c r="AZ104" i="8"/>
  <c r="BA104" i="8"/>
  <c r="BB104" i="8"/>
  <c r="BC104" i="8"/>
  <c r="BD104" i="8"/>
  <c r="BE104" i="8"/>
  <c r="BF104" i="8"/>
  <c r="BG104" i="8"/>
  <c r="BH104" i="8"/>
  <c r="BI104" i="8"/>
  <c r="BJ104" i="8"/>
  <c r="BK104" i="8"/>
  <c r="BL104" i="8"/>
  <c r="BM104" i="8"/>
  <c r="BN104" i="8"/>
  <c r="BO104" i="8"/>
  <c r="BP104" i="8"/>
  <c r="BQ104" i="8"/>
  <c r="BR104" i="8"/>
  <c r="BS104" i="8"/>
  <c r="BT104" i="8"/>
  <c r="BU104" i="8"/>
  <c r="BV104" i="8"/>
  <c r="BW104" i="8"/>
  <c r="BX104" i="8"/>
  <c r="BY104" i="8"/>
  <c r="BZ104" i="8"/>
  <c r="CA104" i="8"/>
  <c r="CB104" i="8"/>
  <c r="CC104" i="8"/>
  <c r="CD104" i="8"/>
  <c r="CE104" i="8"/>
  <c r="CF104" i="8"/>
  <c r="CG104" i="8"/>
  <c r="CH104" i="8"/>
  <c r="CI104" i="8"/>
  <c r="CJ104" i="8"/>
  <c r="CK104" i="8"/>
  <c r="CL104" i="8"/>
  <c r="CM104" i="8"/>
  <c r="CN104" i="8"/>
  <c r="CO104" i="8"/>
  <c r="CP104" i="8"/>
  <c r="CQ104" i="8"/>
  <c r="CR104" i="8"/>
  <c r="CS104" i="8"/>
  <c r="CT104" i="8"/>
  <c r="CU104" i="8"/>
  <c r="CV104" i="8"/>
  <c r="CW104" i="8"/>
  <c r="CX104" i="8"/>
  <c r="CY104" i="8"/>
  <c r="CZ104" i="8"/>
  <c r="DA104" i="8"/>
  <c r="DB104" i="8"/>
  <c r="DC104" i="8"/>
  <c r="DD104" i="8"/>
  <c r="DE104" i="8"/>
  <c r="DF104" i="8"/>
  <c r="DG104" i="8"/>
  <c r="DH104" i="8"/>
  <c r="DI104" i="8"/>
  <c r="DJ104" i="8"/>
  <c r="DK104" i="8"/>
  <c r="DL104" i="8"/>
  <c r="DM104" i="8"/>
  <c r="DN104" i="8"/>
  <c r="DO104" i="8"/>
  <c r="DP104" i="8"/>
  <c r="DQ104" i="8"/>
  <c r="DR104" i="8"/>
  <c r="DS104" i="8"/>
  <c r="DT104" i="8"/>
  <c r="DU104" i="8"/>
  <c r="DV104" i="8"/>
  <c r="DW104" i="8"/>
  <c r="DX104" i="8"/>
  <c r="DY104" i="8"/>
  <c r="DZ104" i="8"/>
  <c r="EA104" i="8"/>
  <c r="EB104" i="8"/>
  <c r="EC104" i="8"/>
  <c r="ED104" i="8"/>
  <c r="EE104" i="8"/>
  <c r="EF104" i="8"/>
  <c r="EG104" i="8"/>
  <c r="EH104" i="8"/>
  <c r="EI104" i="8"/>
  <c r="EJ104" i="8"/>
  <c r="EK104" i="8"/>
  <c r="EL104" i="8"/>
  <c r="EM104" i="8"/>
  <c r="EN104" i="8"/>
  <c r="EO104" i="8"/>
  <c r="EP104" i="8"/>
  <c r="EQ104" i="8"/>
  <c r="ER104" i="8"/>
  <c r="ES104" i="8"/>
  <c r="ET104" i="8"/>
  <c r="EU104" i="8"/>
  <c r="EV104" i="8"/>
  <c r="EW104" i="8"/>
  <c r="EX104" i="8"/>
  <c r="EY104" i="8"/>
  <c r="EZ104" i="8"/>
  <c r="FA104" i="8"/>
  <c r="FB104" i="8"/>
  <c r="FC104" i="8"/>
  <c r="FD104" i="8"/>
  <c r="FE104" i="8"/>
  <c r="FF104" i="8"/>
  <c r="FG104" i="8"/>
  <c r="FH104" i="8"/>
  <c r="FI104" i="8"/>
  <c r="FJ104" i="8"/>
  <c r="FK104" i="8"/>
  <c r="FL104" i="8"/>
  <c r="FM104" i="8"/>
  <c r="FN104" i="8"/>
  <c r="FO104" i="8"/>
  <c r="FP104" i="8"/>
  <c r="FQ104" i="8"/>
  <c r="FR104" i="8"/>
  <c r="FS104" i="8"/>
  <c r="FT104" i="8"/>
  <c r="FU104" i="8"/>
  <c r="FV104" i="8"/>
  <c r="FW104" i="8"/>
  <c r="FX104" i="8"/>
  <c r="FY104" i="8"/>
  <c r="FZ104" i="8"/>
  <c r="GA104" i="8"/>
  <c r="GB104" i="8"/>
  <c r="GC104" i="8"/>
  <c r="GD104" i="8"/>
  <c r="GE104" i="8"/>
  <c r="GF104" i="8"/>
  <c r="GG104" i="8"/>
  <c r="GH104" i="8"/>
  <c r="GI104" i="8"/>
  <c r="GJ104" i="8"/>
  <c r="GK104" i="8"/>
  <c r="GL104" i="8"/>
  <c r="GM104" i="8"/>
  <c r="GN104" i="8"/>
  <c r="GO104" i="8"/>
  <c r="GP104" i="8"/>
  <c r="GQ104" i="8"/>
  <c r="GR104" i="8"/>
  <c r="GS104" i="8"/>
  <c r="GT104" i="8"/>
  <c r="GU104" i="8"/>
  <c r="GV104" i="8"/>
  <c r="GW104" i="8"/>
  <c r="GX104" i="8"/>
  <c r="GY104" i="8"/>
  <c r="GZ104" i="8"/>
  <c r="HA104" i="8"/>
  <c r="HB104" i="8"/>
  <c r="HC104" i="8"/>
  <c r="HD104" i="8"/>
  <c r="HE104" i="8"/>
  <c r="HF104" i="8"/>
  <c r="HG104" i="8"/>
  <c r="HH104" i="8"/>
  <c r="HI104" i="8"/>
  <c r="HJ104" i="8"/>
  <c r="HK104" i="8"/>
  <c r="HL104" i="8"/>
  <c r="HM104" i="8"/>
  <c r="HN104" i="8"/>
  <c r="HO104" i="8"/>
  <c r="HP104" i="8"/>
  <c r="HQ104" i="8"/>
  <c r="HR104" i="8"/>
  <c r="HS104" i="8"/>
  <c r="HT104" i="8"/>
  <c r="HU104" i="8"/>
  <c r="HV104" i="8"/>
  <c r="HW104" i="8"/>
  <c r="HX104" i="8"/>
  <c r="HY104" i="8"/>
  <c r="HZ104" i="8"/>
  <c r="IA104" i="8"/>
  <c r="IB104" i="8"/>
  <c r="IC104" i="8"/>
  <c r="ID104" i="8"/>
  <c r="IE104" i="8"/>
  <c r="IF104" i="8"/>
  <c r="IG104" i="8"/>
  <c r="IH104" i="8"/>
  <c r="II104" i="8"/>
  <c r="IJ104" i="8"/>
  <c r="IK104" i="8"/>
  <c r="IL104" i="8"/>
  <c r="IM104" i="8"/>
  <c r="IN104" i="8"/>
  <c r="IO104" i="8"/>
  <c r="IP104" i="8"/>
  <c r="IQ104" i="8"/>
  <c r="IR104" i="8"/>
  <c r="IS104" i="8"/>
  <c r="IT104" i="8"/>
  <c r="IU104" i="8"/>
  <c r="IV104" i="8"/>
  <c r="A105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Z105" i="8"/>
  <c r="AA105" i="8"/>
  <c r="AB105" i="8"/>
  <c r="AC105" i="8"/>
  <c r="AD105" i="8"/>
  <c r="AE105" i="8"/>
  <c r="AF105" i="8"/>
  <c r="AG105" i="8"/>
  <c r="AH105" i="8"/>
  <c r="AI105" i="8"/>
  <c r="AJ105" i="8"/>
  <c r="AK105" i="8"/>
  <c r="AL105" i="8"/>
  <c r="AM105" i="8"/>
  <c r="AN105" i="8"/>
  <c r="AO105" i="8"/>
  <c r="AP105" i="8"/>
  <c r="AQ105" i="8"/>
  <c r="AR105" i="8"/>
  <c r="AS105" i="8"/>
  <c r="AT105" i="8"/>
  <c r="AU105" i="8"/>
  <c r="AV105" i="8"/>
  <c r="AW105" i="8"/>
  <c r="AX105" i="8"/>
  <c r="AY105" i="8"/>
  <c r="AZ105" i="8"/>
  <c r="BA105" i="8"/>
  <c r="BB105" i="8"/>
  <c r="BC105" i="8"/>
  <c r="BD105" i="8"/>
  <c r="BE105" i="8"/>
  <c r="BF105" i="8"/>
  <c r="BG105" i="8"/>
  <c r="BH105" i="8"/>
  <c r="BI105" i="8"/>
  <c r="BJ105" i="8"/>
  <c r="BK105" i="8"/>
  <c r="BL105" i="8"/>
  <c r="BM105" i="8"/>
  <c r="BN105" i="8"/>
  <c r="BO105" i="8"/>
  <c r="BP105" i="8"/>
  <c r="BQ105" i="8"/>
  <c r="BR105" i="8"/>
  <c r="BS105" i="8"/>
  <c r="BT105" i="8"/>
  <c r="BU105" i="8"/>
  <c r="BV105" i="8"/>
  <c r="BW105" i="8"/>
  <c r="BX105" i="8"/>
  <c r="BY105" i="8"/>
  <c r="BZ105" i="8"/>
  <c r="CA105" i="8"/>
  <c r="CB105" i="8"/>
  <c r="CC105" i="8"/>
  <c r="CD105" i="8"/>
  <c r="CE105" i="8"/>
  <c r="CF105" i="8"/>
  <c r="CG105" i="8"/>
  <c r="CH105" i="8"/>
  <c r="CI105" i="8"/>
  <c r="CJ105" i="8"/>
  <c r="CK105" i="8"/>
  <c r="CL105" i="8"/>
  <c r="CM105" i="8"/>
  <c r="CN105" i="8"/>
  <c r="CO105" i="8"/>
  <c r="CP105" i="8"/>
  <c r="CQ105" i="8"/>
  <c r="CR105" i="8"/>
  <c r="CS105" i="8"/>
  <c r="CT105" i="8"/>
  <c r="CU105" i="8"/>
  <c r="CV105" i="8"/>
  <c r="CW105" i="8"/>
  <c r="CX105" i="8"/>
  <c r="CY105" i="8"/>
  <c r="CZ105" i="8"/>
  <c r="DA105" i="8"/>
  <c r="DB105" i="8"/>
  <c r="DC105" i="8"/>
  <c r="DD105" i="8"/>
  <c r="DE105" i="8"/>
  <c r="DF105" i="8"/>
  <c r="DG105" i="8"/>
  <c r="DH105" i="8"/>
  <c r="DI105" i="8"/>
  <c r="DJ105" i="8"/>
  <c r="DK105" i="8"/>
  <c r="DL105" i="8"/>
  <c r="DM105" i="8"/>
  <c r="DN105" i="8"/>
  <c r="DO105" i="8"/>
  <c r="DP105" i="8"/>
  <c r="DQ105" i="8"/>
  <c r="DR105" i="8"/>
  <c r="DS105" i="8"/>
  <c r="DT105" i="8"/>
  <c r="DU105" i="8"/>
  <c r="DV105" i="8"/>
  <c r="DW105" i="8"/>
  <c r="DX105" i="8"/>
  <c r="DY105" i="8"/>
  <c r="DZ105" i="8"/>
  <c r="EA105" i="8"/>
  <c r="EB105" i="8"/>
  <c r="EC105" i="8"/>
  <c r="ED105" i="8"/>
  <c r="EE105" i="8"/>
  <c r="EF105" i="8"/>
  <c r="EG105" i="8"/>
  <c r="EH105" i="8"/>
  <c r="EI105" i="8"/>
  <c r="EJ105" i="8"/>
  <c r="EK105" i="8"/>
  <c r="EL105" i="8"/>
  <c r="EM105" i="8"/>
  <c r="EN105" i="8"/>
  <c r="EO105" i="8"/>
  <c r="EP105" i="8"/>
  <c r="EQ105" i="8"/>
  <c r="ER105" i="8"/>
  <c r="ES105" i="8"/>
  <c r="ET105" i="8"/>
  <c r="EU105" i="8"/>
  <c r="EV105" i="8"/>
  <c r="EW105" i="8"/>
  <c r="EX105" i="8"/>
  <c r="EY105" i="8"/>
  <c r="EZ105" i="8"/>
  <c r="FA105" i="8"/>
  <c r="FB105" i="8"/>
  <c r="FC105" i="8"/>
  <c r="FD105" i="8"/>
  <c r="FE105" i="8"/>
  <c r="FF105" i="8"/>
  <c r="FG105" i="8"/>
  <c r="FH105" i="8"/>
  <c r="FI105" i="8"/>
  <c r="FJ105" i="8"/>
  <c r="FK105" i="8"/>
  <c r="FL105" i="8"/>
  <c r="FM105" i="8"/>
  <c r="FN105" i="8"/>
  <c r="FO105" i="8"/>
  <c r="FP105" i="8"/>
  <c r="FQ105" i="8"/>
  <c r="FR105" i="8"/>
  <c r="FS105" i="8"/>
  <c r="FT105" i="8"/>
  <c r="FU105" i="8"/>
  <c r="FV105" i="8"/>
  <c r="FW105" i="8"/>
  <c r="FX105" i="8"/>
  <c r="FY105" i="8"/>
  <c r="FZ105" i="8"/>
  <c r="GA105" i="8"/>
  <c r="GB105" i="8"/>
  <c r="GC105" i="8"/>
  <c r="GD105" i="8"/>
  <c r="GE105" i="8"/>
  <c r="GF105" i="8"/>
  <c r="GG105" i="8"/>
  <c r="GH105" i="8"/>
  <c r="GI105" i="8"/>
  <c r="GJ105" i="8"/>
  <c r="GK105" i="8"/>
  <c r="GL105" i="8"/>
  <c r="GM105" i="8"/>
  <c r="GN105" i="8"/>
  <c r="GO105" i="8"/>
  <c r="GP105" i="8"/>
  <c r="GQ105" i="8"/>
  <c r="GR105" i="8"/>
  <c r="GS105" i="8"/>
  <c r="GT105" i="8"/>
  <c r="GU105" i="8"/>
  <c r="GV105" i="8"/>
  <c r="GW105" i="8"/>
  <c r="GX105" i="8"/>
  <c r="GY105" i="8"/>
  <c r="GZ105" i="8"/>
  <c r="HA105" i="8"/>
  <c r="HB105" i="8"/>
  <c r="HC105" i="8"/>
  <c r="HD105" i="8"/>
  <c r="HE105" i="8"/>
  <c r="HF105" i="8"/>
  <c r="HG105" i="8"/>
  <c r="HH105" i="8"/>
  <c r="HI105" i="8"/>
  <c r="HJ105" i="8"/>
  <c r="HK105" i="8"/>
  <c r="HL105" i="8"/>
  <c r="HM105" i="8"/>
  <c r="HN105" i="8"/>
  <c r="HO105" i="8"/>
  <c r="HP105" i="8"/>
  <c r="HQ105" i="8"/>
  <c r="HR105" i="8"/>
  <c r="HS105" i="8"/>
  <c r="HT105" i="8"/>
  <c r="HU105" i="8"/>
  <c r="HV105" i="8"/>
  <c r="HW105" i="8"/>
  <c r="HX105" i="8"/>
  <c r="HY105" i="8"/>
  <c r="HZ105" i="8"/>
  <c r="IA105" i="8"/>
  <c r="IB105" i="8"/>
  <c r="IC105" i="8"/>
  <c r="ID105" i="8"/>
  <c r="IE105" i="8"/>
  <c r="IF105" i="8"/>
  <c r="IG105" i="8"/>
  <c r="IH105" i="8"/>
  <c r="II105" i="8"/>
  <c r="IJ105" i="8"/>
  <c r="IK105" i="8"/>
  <c r="IL105" i="8"/>
  <c r="IM105" i="8"/>
  <c r="IN105" i="8"/>
  <c r="IO105" i="8"/>
  <c r="IP105" i="8"/>
  <c r="IQ105" i="8"/>
  <c r="IR105" i="8"/>
  <c r="IS105" i="8"/>
  <c r="IT105" i="8"/>
  <c r="IU105" i="8"/>
  <c r="IV105" i="8"/>
  <c r="A106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AJ106" i="8"/>
  <c r="AK106" i="8"/>
  <c r="AL106" i="8"/>
  <c r="AM106" i="8"/>
  <c r="AN106" i="8"/>
  <c r="AO106" i="8"/>
  <c r="AP106" i="8"/>
  <c r="AQ106" i="8"/>
  <c r="AR106" i="8"/>
  <c r="AS106" i="8"/>
  <c r="AT106" i="8"/>
  <c r="AU106" i="8"/>
  <c r="AV106" i="8"/>
  <c r="AW106" i="8"/>
  <c r="AX106" i="8"/>
  <c r="AY106" i="8"/>
  <c r="AZ106" i="8"/>
  <c r="BA106" i="8"/>
  <c r="BB106" i="8"/>
  <c r="BC106" i="8"/>
  <c r="BD106" i="8"/>
  <c r="BE106" i="8"/>
  <c r="BF106" i="8"/>
  <c r="BG106" i="8"/>
  <c r="BH106" i="8"/>
  <c r="BI106" i="8"/>
  <c r="BJ106" i="8"/>
  <c r="BK106" i="8"/>
  <c r="BL106" i="8"/>
  <c r="BM106" i="8"/>
  <c r="BN106" i="8"/>
  <c r="BO106" i="8"/>
  <c r="BP106" i="8"/>
  <c r="BQ106" i="8"/>
  <c r="BR106" i="8"/>
  <c r="BS106" i="8"/>
  <c r="BT106" i="8"/>
  <c r="BU106" i="8"/>
  <c r="BV106" i="8"/>
  <c r="BW106" i="8"/>
  <c r="BX106" i="8"/>
  <c r="BY106" i="8"/>
  <c r="BZ106" i="8"/>
  <c r="CA106" i="8"/>
  <c r="CB106" i="8"/>
  <c r="CC106" i="8"/>
  <c r="CD106" i="8"/>
  <c r="CE106" i="8"/>
  <c r="CF106" i="8"/>
  <c r="CG106" i="8"/>
  <c r="CH106" i="8"/>
  <c r="CI106" i="8"/>
  <c r="CJ106" i="8"/>
  <c r="CK106" i="8"/>
  <c r="CL106" i="8"/>
  <c r="CM106" i="8"/>
  <c r="CN106" i="8"/>
  <c r="CO106" i="8"/>
  <c r="CP106" i="8"/>
  <c r="CQ106" i="8"/>
  <c r="CR106" i="8"/>
  <c r="CS106" i="8"/>
  <c r="CT106" i="8"/>
  <c r="CU106" i="8"/>
  <c r="CV106" i="8"/>
  <c r="CW106" i="8"/>
  <c r="CX106" i="8"/>
  <c r="CY106" i="8"/>
  <c r="CZ106" i="8"/>
  <c r="DA106" i="8"/>
  <c r="DB106" i="8"/>
  <c r="DC106" i="8"/>
  <c r="DD106" i="8"/>
  <c r="DE106" i="8"/>
  <c r="DF106" i="8"/>
  <c r="DG106" i="8"/>
  <c r="DH106" i="8"/>
  <c r="DI106" i="8"/>
  <c r="DJ106" i="8"/>
  <c r="DK106" i="8"/>
  <c r="DL106" i="8"/>
  <c r="DM106" i="8"/>
  <c r="DN106" i="8"/>
  <c r="DO106" i="8"/>
  <c r="DP106" i="8"/>
  <c r="DQ106" i="8"/>
  <c r="DR106" i="8"/>
  <c r="DS106" i="8"/>
  <c r="DT106" i="8"/>
  <c r="DU106" i="8"/>
  <c r="DV106" i="8"/>
  <c r="DW106" i="8"/>
  <c r="DX106" i="8"/>
  <c r="DY106" i="8"/>
  <c r="DZ106" i="8"/>
  <c r="EA106" i="8"/>
  <c r="EB106" i="8"/>
  <c r="EC106" i="8"/>
  <c r="ED106" i="8"/>
  <c r="EE106" i="8"/>
  <c r="EF106" i="8"/>
  <c r="EG106" i="8"/>
  <c r="EH106" i="8"/>
  <c r="EI106" i="8"/>
  <c r="EJ106" i="8"/>
  <c r="EK106" i="8"/>
  <c r="EL106" i="8"/>
  <c r="EM106" i="8"/>
  <c r="EN106" i="8"/>
  <c r="EO106" i="8"/>
  <c r="EP106" i="8"/>
  <c r="EQ106" i="8"/>
  <c r="ER106" i="8"/>
  <c r="ES106" i="8"/>
  <c r="ET106" i="8"/>
  <c r="EU106" i="8"/>
  <c r="EV106" i="8"/>
  <c r="EW106" i="8"/>
  <c r="EX106" i="8"/>
  <c r="EY106" i="8"/>
  <c r="EZ106" i="8"/>
  <c r="FA106" i="8"/>
  <c r="FB106" i="8"/>
  <c r="FC106" i="8"/>
  <c r="FD106" i="8"/>
  <c r="FE106" i="8"/>
  <c r="FF106" i="8"/>
  <c r="FG106" i="8"/>
  <c r="FH106" i="8"/>
  <c r="FI106" i="8"/>
  <c r="FJ106" i="8"/>
  <c r="FK106" i="8"/>
  <c r="FL106" i="8"/>
  <c r="FM106" i="8"/>
  <c r="FN106" i="8"/>
  <c r="FO106" i="8"/>
  <c r="FP106" i="8"/>
  <c r="FQ106" i="8"/>
  <c r="FR106" i="8"/>
  <c r="FS106" i="8"/>
  <c r="FT106" i="8"/>
  <c r="FU106" i="8"/>
  <c r="FV106" i="8"/>
  <c r="FW106" i="8"/>
  <c r="FX106" i="8"/>
  <c r="FY106" i="8"/>
  <c r="FZ106" i="8"/>
  <c r="GA106" i="8"/>
  <c r="GB106" i="8"/>
  <c r="GC106" i="8"/>
  <c r="GD106" i="8"/>
  <c r="GE106" i="8"/>
  <c r="GF106" i="8"/>
  <c r="GG106" i="8"/>
  <c r="GH106" i="8"/>
  <c r="GI106" i="8"/>
  <c r="GJ106" i="8"/>
  <c r="GK106" i="8"/>
  <c r="GL106" i="8"/>
  <c r="GM106" i="8"/>
  <c r="GN106" i="8"/>
  <c r="GO106" i="8"/>
  <c r="GP106" i="8"/>
  <c r="GQ106" i="8"/>
  <c r="GR106" i="8"/>
  <c r="GS106" i="8"/>
  <c r="GT106" i="8"/>
  <c r="GU106" i="8"/>
  <c r="GV106" i="8"/>
  <c r="GW106" i="8"/>
  <c r="GX106" i="8"/>
  <c r="GY106" i="8"/>
  <c r="GZ106" i="8"/>
  <c r="HA106" i="8"/>
  <c r="HB106" i="8"/>
  <c r="HC106" i="8"/>
  <c r="HD106" i="8"/>
  <c r="HE106" i="8"/>
  <c r="HF106" i="8"/>
  <c r="HG106" i="8"/>
  <c r="HH106" i="8"/>
  <c r="HI106" i="8"/>
  <c r="HJ106" i="8"/>
  <c r="HK106" i="8"/>
  <c r="HL106" i="8"/>
  <c r="HM106" i="8"/>
  <c r="HN106" i="8"/>
  <c r="HO106" i="8"/>
  <c r="HP106" i="8"/>
  <c r="HQ106" i="8"/>
  <c r="HR106" i="8"/>
  <c r="HS106" i="8"/>
  <c r="HT106" i="8"/>
  <c r="HU106" i="8"/>
  <c r="HV106" i="8"/>
  <c r="HW106" i="8"/>
  <c r="HX106" i="8"/>
  <c r="HY106" i="8"/>
  <c r="HZ106" i="8"/>
  <c r="IA106" i="8"/>
  <c r="IB106" i="8"/>
  <c r="IC106" i="8"/>
  <c r="ID106" i="8"/>
  <c r="IE106" i="8"/>
  <c r="IF106" i="8"/>
  <c r="IG106" i="8"/>
  <c r="IH106" i="8"/>
  <c r="II106" i="8"/>
  <c r="IJ106" i="8"/>
  <c r="IK106" i="8"/>
  <c r="IL106" i="8"/>
  <c r="IM106" i="8"/>
  <c r="IN106" i="8"/>
  <c r="IO106" i="8"/>
  <c r="IP106" i="8"/>
  <c r="IQ106" i="8"/>
  <c r="IR106" i="8"/>
  <c r="IS106" i="8"/>
  <c r="IT106" i="8"/>
  <c r="IU106" i="8"/>
  <c r="IV106" i="8"/>
  <c r="A107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Z107" i="8"/>
  <c r="AA107" i="8"/>
  <c r="AB107" i="8"/>
  <c r="AC107" i="8"/>
  <c r="AD107" i="8"/>
  <c r="AE107" i="8"/>
  <c r="AF107" i="8"/>
  <c r="AG107" i="8"/>
  <c r="AH107" i="8"/>
  <c r="AI107" i="8"/>
  <c r="AJ107" i="8"/>
  <c r="AK107" i="8"/>
  <c r="AL107" i="8"/>
  <c r="AM107" i="8"/>
  <c r="AN107" i="8"/>
  <c r="AO107" i="8"/>
  <c r="AP107" i="8"/>
  <c r="AQ107" i="8"/>
  <c r="AR107" i="8"/>
  <c r="AS107" i="8"/>
  <c r="AT107" i="8"/>
  <c r="AU107" i="8"/>
  <c r="AV107" i="8"/>
  <c r="AW107" i="8"/>
  <c r="AX107" i="8"/>
  <c r="AY107" i="8"/>
  <c r="AZ107" i="8"/>
  <c r="BA107" i="8"/>
  <c r="BB107" i="8"/>
  <c r="BC107" i="8"/>
  <c r="BD107" i="8"/>
  <c r="BE107" i="8"/>
  <c r="BF107" i="8"/>
  <c r="BG107" i="8"/>
  <c r="BH107" i="8"/>
  <c r="BI107" i="8"/>
  <c r="BJ107" i="8"/>
  <c r="BK107" i="8"/>
  <c r="BL107" i="8"/>
  <c r="BM107" i="8"/>
  <c r="BN107" i="8"/>
  <c r="BO107" i="8"/>
  <c r="BP107" i="8"/>
  <c r="BQ107" i="8"/>
  <c r="BR107" i="8"/>
  <c r="BS107" i="8"/>
  <c r="BT107" i="8"/>
  <c r="BU107" i="8"/>
  <c r="BV107" i="8"/>
  <c r="BW107" i="8"/>
  <c r="BX107" i="8"/>
  <c r="BY107" i="8"/>
  <c r="BZ107" i="8"/>
  <c r="CA107" i="8"/>
  <c r="CB107" i="8"/>
  <c r="CC107" i="8"/>
  <c r="CD107" i="8"/>
  <c r="CE107" i="8"/>
  <c r="CF107" i="8"/>
  <c r="CG107" i="8"/>
  <c r="CH107" i="8"/>
  <c r="CI107" i="8"/>
  <c r="CJ107" i="8"/>
  <c r="CK107" i="8"/>
  <c r="CL107" i="8"/>
  <c r="CM107" i="8"/>
  <c r="CN107" i="8"/>
  <c r="CO107" i="8"/>
  <c r="CP107" i="8"/>
  <c r="CQ107" i="8"/>
  <c r="CR107" i="8"/>
  <c r="CS107" i="8"/>
  <c r="CT107" i="8"/>
  <c r="CU107" i="8"/>
  <c r="CV107" i="8"/>
  <c r="CW107" i="8"/>
  <c r="CX107" i="8"/>
  <c r="CY107" i="8"/>
  <c r="CZ107" i="8"/>
  <c r="DA107" i="8"/>
  <c r="DB107" i="8"/>
  <c r="DC107" i="8"/>
  <c r="DD107" i="8"/>
  <c r="DE107" i="8"/>
  <c r="DF107" i="8"/>
  <c r="DG107" i="8"/>
  <c r="DH107" i="8"/>
  <c r="DI107" i="8"/>
  <c r="DJ107" i="8"/>
  <c r="DK107" i="8"/>
  <c r="DL107" i="8"/>
  <c r="DM107" i="8"/>
  <c r="DN107" i="8"/>
  <c r="DO107" i="8"/>
  <c r="DP107" i="8"/>
  <c r="DQ107" i="8"/>
  <c r="DR107" i="8"/>
  <c r="DS107" i="8"/>
  <c r="DT107" i="8"/>
  <c r="DU107" i="8"/>
  <c r="DV107" i="8"/>
  <c r="DW107" i="8"/>
  <c r="DX107" i="8"/>
  <c r="DY107" i="8"/>
  <c r="DZ107" i="8"/>
  <c r="EA107" i="8"/>
  <c r="EB107" i="8"/>
  <c r="EC107" i="8"/>
  <c r="ED107" i="8"/>
  <c r="EE107" i="8"/>
  <c r="EF107" i="8"/>
  <c r="EG107" i="8"/>
  <c r="EH107" i="8"/>
  <c r="EI107" i="8"/>
  <c r="EJ107" i="8"/>
  <c r="EK107" i="8"/>
  <c r="EL107" i="8"/>
  <c r="EM107" i="8"/>
  <c r="EN107" i="8"/>
  <c r="EO107" i="8"/>
  <c r="EP107" i="8"/>
  <c r="EQ107" i="8"/>
  <c r="ER107" i="8"/>
  <c r="ES107" i="8"/>
  <c r="ET107" i="8"/>
  <c r="EU107" i="8"/>
  <c r="EV107" i="8"/>
  <c r="EW107" i="8"/>
  <c r="EX107" i="8"/>
  <c r="EY107" i="8"/>
  <c r="EZ107" i="8"/>
  <c r="FA107" i="8"/>
  <c r="FB107" i="8"/>
  <c r="FC107" i="8"/>
  <c r="FD107" i="8"/>
  <c r="FE107" i="8"/>
  <c r="FF107" i="8"/>
  <c r="FG107" i="8"/>
  <c r="FH107" i="8"/>
  <c r="FI107" i="8"/>
  <c r="FJ107" i="8"/>
</calcChain>
</file>

<file path=xl/sharedStrings.xml><?xml version="1.0" encoding="utf-8"?>
<sst xmlns="http://schemas.openxmlformats.org/spreadsheetml/2006/main" count="5311" uniqueCount="3126">
  <si>
    <t>The Complete Idiots Guide to Paint Shop Pro 7</t>
  </si>
  <si>
    <t>PAINT SHOP PRO 7</t>
  </si>
  <si>
    <t>Paint Shop Pro 7 Solutions</t>
  </si>
  <si>
    <t>Paint Shop 7 Fast &amp; easy</t>
  </si>
  <si>
    <t>Koers, D.</t>
  </si>
  <si>
    <t>Paint Shop Pro 8 for Dummies</t>
  </si>
  <si>
    <t>PAINT SHOP PRO 8</t>
  </si>
  <si>
    <t>Teach Yourself Paint Shop Pro 8</t>
  </si>
  <si>
    <t>Paint Shop Pro 9 and Studio, in Easy Steps</t>
  </si>
  <si>
    <t>PAINT SHOP PRO 9</t>
  </si>
  <si>
    <t>Copestake, S</t>
  </si>
  <si>
    <t>Hardware</t>
  </si>
  <si>
    <t>PC Hardware in a Nutshell</t>
  </si>
  <si>
    <t>Tom's Hardware Guide</t>
  </si>
  <si>
    <t>PC97 Hardware Design Guide</t>
  </si>
  <si>
    <t>No Starch press</t>
  </si>
  <si>
    <t>Newnes</t>
  </si>
  <si>
    <t>Build Your Own Pentium 3 PC</t>
  </si>
  <si>
    <t xml:space="preserve">Upgrading &amp; Repairing  P C’s  6th Edition        </t>
  </si>
  <si>
    <t>PC Hardware in a Nutshell  -  2nd Edition</t>
  </si>
  <si>
    <t>PC Hardware Library - 3 Volume Set  (CD Inc.)</t>
  </si>
  <si>
    <t>Build your own PC</t>
  </si>
  <si>
    <t>Bigelow's Build Your Own PC , Pocket reference</t>
  </si>
  <si>
    <t>The Healthy PC.</t>
  </si>
  <si>
    <t>Hardware Hacking</t>
  </si>
  <si>
    <t>Hardware Hacking Projects for Geeks</t>
  </si>
  <si>
    <t>Building the Perfect PC</t>
  </si>
  <si>
    <t>The Computer Choice Computer Troubleshooter</t>
  </si>
  <si>
    <t>Computer Choice</t>
  </si>
  <si>
    <t>Building a PC in Easy Steps</t>
  </si>
  <si>
    <t>Linux Hardware Handbook</t>
  </si>
  <si>
    <t>LINUX</t>
  </si>
  <si>
    <t>Smith, R.W.</t>
  </si>
  <si>
    <t>How to Build a Street PC. (Dude, you can do it)</t>
  </si>
  <si>
    <t>PC Hardware Buyer's Guide</t>
  </si>
  <si>
    <t>PC Annoyances - 2nd Edition</t>
  </si>
  <si>
    <t>Bass, S.</t>
  </si>
  <si>
    <t>Project Arcade</t>
  </si>
  <si>
    <t>Building Internet Firewalls</t>
  </si>
  <si>
    <t>Zwicky, Cooper &amp; Chapman</t>
  </si>
  <si>
    <t>Web Privacy with P3P</t>
  </si>
  <si>
    <t>P3P</t>
  </si>
  <si>
    <t>Connor, L.F.</t>
  </si>
  <si>
    <t>Biersdorf, J.D.</t>
  </si>
  <si>
    <t>iPod &amp; Tunes, The Missing Manual</t>
  </si>
  <si>
    <t>iPOD</t>
  </si>
  <si>
    <t>Flash out of the Box   (CD Inc.)</t>
  </si>
  <si>
    <t>FLASH</t>
  </si>
  <si>
    <t>Hoekman, R.</t>
  </si>
  <si>
    <t>Harvey, G.</t>
  </si>
  <si>
    <t>Creating your own great DVD's &amp; CD's</t>
  </si>
  <si>
    <t>Taking Better Videos</t>
  </si>
  <si>
    <t>Premiere 6 for Macintosh &amp; Windows  (VS-013)</t>
  </si>
  <si>
    <t>Producing Videos, 2nd Edition  (VS-015)</t>
  </si>
  <si>
    <t>Allen &amp; Unwin</t>
  </si>
  <si>
    <t>Shoot / Get Shot, Guide to Handycam  (VS-012)</t>
  </si>
  <si>
    <t>Sony</t>
  </si>
  <si>
    <t>FIREWORKS 3</t>
  </si>
  <si>
    <t>Extending Dreamweaver 3</t>
  </si>
  <si>
    <t>DREAMWEAVER 3</t>
  </si>
  <si>
    <t>Realplayer Plus</t>
  </si>
  <si>
    <t>REALPLAYER</t>
  </si>
  <si>
    <t>Real Networks</t>
  </si>
  <si>
    <t>Flash Site Workshop</t>
  </si>
  <si>
    <t>Millburn, K.</t>
  </si>
  <si>
    <t>Flash MX Actionscript Bible</t>
  </si>
  <si>
    <t>FLASH-ACTIONSCRIPT</t>
  </si>
  <si>
    <t xml:space="preserve">Reinhardt, R.&amp; Lott, J </t>
  </si>
  <si>
    <t xml:space="preserve">Macromedia Flash 8 Bible </t>
  </si>
  <si>
    <t>FLASH 8</t>
  </si>
  <si>
    <t>Reinhardt, R. &amp; Dowd,S.</t>
  </si>
  <si>
    <t>Macromedia Flash Advanced</t>
  </si>
  <si>
    <t>Chun, R. &amp; Garraffo, J.</t>
  </si>
  <si>
    <t>Flash Remoting</t>
  </si>
  <si>
    <t>Muck, T.</t>
  </si>
  <si>
    <t>Flash MX Developer</t>
  </si>
  <si>
    <t>Russell, C.&amp; Crawford, S.</t>
  </si>
  <si>
    <t>Security</t>
  </si>
  <si>
    <t>Cracking DES - Secrets of Encryption Research</t>
  </si>
  <si>
    <t>Electronic Frontier Foundation</t>
  </si>
  <si>
    <t>Personal Encryption - Clearly Explained</t>
  </si>
  <si>
    <t>Loshin, P.</t>
  </si>
  <si>
    <t>Davis, C.R.</t>
  </si>
  <si>
    <t>PKI  Implementing &amp; Managing  E-Security</t>
  </si>
  <si>
    <t>Windows 7 for Seniors for Dummies</t>
  </si>
  <si>
    <t>Hinton, M.J.</t>
  </si>
  <si>
    <t>Rathbone, A.</t>
  </si>
  <si>
    <t>Laptops for Dummies</t>
  </si>
  <si>
    <t>Hardware Laptops</t>
  </si>
  <si>
    <t>Upgrading &amp; Fixing Laptops for Dummies</t>
  </si>
  <si>
    <t>Peikari, C. &amp; Chuvakin, A.</t>
  </si>
  <si>
    <t>Stealing the network</t>
  </si>
  <si>
    <t>Russell, R. &amp; Mitnick, K.D.</t>
  </si>
  <si>
    <t>SynGress</t>
  </si>
  <si>
    <t>Keep Your Kids Safe on the Internet</t>
  </si>
  <si>
    <t>Johnson, S</t>
  </si>
  <si>
    <t>Spam Wars</t>
  </si>
  <si>
    <t>Goodman,D.</t>
  </si>
  <si>
    <t>Selectbooks</t>
  </si>
  <si>
    <t>Trojans, Worms,&amp; Spyware</t>
  </si>
  <si>
    <t>Spreadsheets</t>
  </si>
  <si>
    <t>Running Microsoft Excel 97  (CD Missing)+C599</t>
  </si>
  <si>
    <t>EXCEL 97</t>
  </si>
  <si>
    <t>Dodge, M</t>
  </si>
  <si>
    <t xml:space="preserve"> Microsoft Excel 2000 Bible (CD included).C299</t>
  </si>
  <si>
    <t>EXCEL 2000</t>
  </si>
  <si>
    <t>Walkenbach, J.</t>
  </si>
  <si>
    <t>EXCEL</t>
  </si>
  <si>
    <t>Excel By Example - a Cookbook for Electronics Engineers.</t>
  </si>
  <si>
    <t>Kagan, A.</t>
  </si>
  <si>
    <t>EXCEL 2003</t>
  </si>
  <si>
    <t>WINDOWS 7</t>
  </si>
  <si>
    <t>Windows 7 - Visual Quickstart Guide</t>
  </si>
  <si>
    <t>Web Design, A Beginner's Guide</t>
  </si>
  <si>
    <t>Willard, W.</t>
  </si>
  <si>
    <t>MACINTOSH</t>
  </si>
  <si>
    <t>Macintosh</t>
  </si>
  <si>
    <t>Mac OSX Panther</t>
  </si>
  <si>
    <t>Davidson,J.D.</t>
  </si>
  <si>
    <t>Elferdink, J. &amp; Reynolds, D.</t>
  </si>
  <si>
    <t>Pogue Press</t>
  </si>
  <si>
    <t>Unix for Mac OX X</t>
  </si>
  <si>
    <t>Taylor, D. &amp; Jepson, B.</t>
  </si>
  <si>
    <t>Beyond the little MAC Book</t>
  </si>
  <si>
    <t>Brobak, S. &amp; Williams R.</t>
  </si>
  <si>
    <t>Roxio-Easy Media Creator for Dummies</t>
  </si>
  <si>
    <t>Roxio</t>
  </si>
  <si>
    <t>Harvey, H.</t>
  </si>
  <si>
    <t>WML &amp; WML SCRIPT</t>
  </si>
  <si>
    <t>Search Engine Positioning  (CD Inc.)</t>
  </si>
  <si>
    <t>Marckini, F.</t>
  </si>
  <si>
    <t>Wordware</t>
  </si>
  <si>
    <t xml:space="preserve">Google, Pocket Guide </t>
  </si>
  <si>
    <t>Calishain, Dornfest, Adams.</t>
  </si>
  <si>
    <t>Action Script for Flash MX</t>
  </si>
  <si>
    <t>FLASH MX</t>
  </si>
  <si>
    <t>Moock, C.</t>
  </si>
  <si>
    <t xml:space="preserve"> eBay Bargain Shopping for Dummies</t>
  </si>
  <si>
    <t>Collier, M.</t>
  </si>
  <si>
    <t>Wiley Publishing</t>
  </si>
  <si>
    <t>Peal, D.</t>
  </si>
  <si>
    <t>Dreamweaver in a Nutshell</t>
  </si>
  <si>
    <t>DREAMWEAVER</t>
  </si>
  <si>
    <t>Williamson, H. &amp; Epstein, B.</t>
  </si>
  <si>
    <t>The Art &amp; Science of Web Design</t>
  </si>
  <si>
    <t>Veen, J.</t>
  </si>
  <si>
    <t>Home Networking Bible</t>
  </si>
  <si>
    <t>O'Hara ,S.</t>
  </si>
  <si>
    <t>Windows XP in Easy Steps.  Covers SP/2.</t>
  </si>
  <si>
    <t>Windows XP-Show Me!  Covers SP/2.</t>
  </si>
  <si>
    <t>Johnson, S.</t>
  </si>
  <si>
    <t>Windows XP for Dummies</t>
  </si>
  <si>
    <t>Cleaning Windows XP for Dummies</t>
  </si>
  <si>
    <t>Wyatt, A.</t>
  </si>
  <si>
    <t>Kinkoph, S.W.</t>
  </si>
  <si>
    <t>Windows XP Timesaving Techniques for Dummies</t>
  </si>
  <si>
    <t>Windows XP For Dummies, All-in-one-reference</t>
  </si>
  <si>
    <t>Windows XP Bible, 2nd Edition</t>
  </si>
  <si>
    <t>Programming Windows XP Presentation Foundation</t>
  </si>
  <si>
    <t>Sells,C. &amp; Griffiths,I.</t>
  </si>
  <si>
    <t>Stevenson,N.</t>
  </si>
  <si>
    <t>Windows XP Personal Trainer</t>
  </si>
  <si>
    <t>Master Visually Windows XP  SP2 Edition</t>
  </si>
  <si>
    <t>Tidrow , Clark, Toot</t>
  </si>
  <si>
    <t>Top 100 Tips &amp; Tricks for Windows XP 2nd Edition</t>
  </si>
  <si>
    <t>McFedries, M.</t>
  </si>
  <si>
    <t>Teach Yourself Visually Windows 2nd Edition</t>
  </si>
  <si>
    <t>NO.</t>
  </si>
  <si>
    <t>BOOK TITLE</t>
  </si>
  <si>
    <t>SOFTWARE</t>
  </si>
  <si>
    <t>CLASSIFICATION</t>
  </si>
  <si>
    <t>DATE</t>
  </si>
  <si>
    <t>AUTHOR/S</t>
  </si>
  <si>
    <t>PUBLISHER</t>
  </si>
  <si>
    <t>Animation</t>
  </si>
  <si>
    <t>A Guide to Computer Animation</t>
  </si>
  <si>
    <t>Focal Press</t>
  </si>
  <si>
    <t>New Riders</t>
  </si>
  <si>
    <t>Poser 7 Reference Manual</t>
  </si>
  <si>
    <t>POSER 7</t>
  </si>
  <si>
    <t>e-frontier.com</t>
  </si>
  <si>
    <t>Poser 7 Revealed</t>
  </si>
  <si>
    <t>Thomson</t>
  </si>
  <si>
    <t>Watson-Guptill Publications</t>
  </si>
  <si>
    <t>The Essential Blender</t>
  </si>
  <si>
    <t>BLENDER</t>
  </si>
  <si>
    <t>Blender Foundation</t>
  </si>
  <si>
    <t>3D for the Web</t>
  </si>
  <si>
    <t>3ds max, Flash, Director</t>
  </si>
  <si>
    <t>Silman-James Press</t>
  </si>
  <si>
    <t>CAD</t>
  </si>
  <si>
    <t>Ventana</t>
  </si>
  <si>
    <t>Millhollon, M. &amp; Murray, K.</t>
  </si>
  <si>
    <t>The Complete Idiot's Guide to Word 2000</t>
  </si>
  <si>
    <t>WORD 2000</t>
  </si>
  <si>
    <t>Bobola, D.T.</t>
  </si>
  <si>
    <t>Word Hacks, Tips &amp; Tools</t>
  </si>
  <si>
    <t>WORD 2003</t>
  </si>
  <si>
    <t>Savikas,A.</t>
  </si>
  <si>
    <t>Word 2007 Quick Steps</t>
  </si>
  <si>
    <t>WORD 2007</t>
  </si>
  <si>
    <t>M. &amp; C. Matthews</t>
  </si>
  <si>
    <t>Osbourne McGraw Hill</t>
  </si>
  <si>
    <t>Word 2007 for Dummies</t>
  </si>
  <si>
    <t>Windows Small Business Server 2003</t>
  </si>
  <si>
    <t>Brelsford, H.</t>
  </si>
  <si>
    <t>SMB Nation Press</t>
  </si>
  <si>
    <t>Advanced Windows Small Business Server 2003 Best Practices</t>
  </si>
  <si>
    <t xml:space="preserve">Designing, Deploying, And Managing a Network Solution </t>
  </si>
  <si>
    <t>Introducing Microsoft Windows Server 2003</t>
  </si>
  <si>
    <t>Honeycutt, J.</t>
  </si>
  <si>
    <t>Plumley, S.</t>
  </si>
  <si>
    <t>WINDOWS 2000</t>
  </si>
  <si>
    <t>Shinder, Shinder &amp; Hinkle</t>
  </si>
  <si>
    <t>Troubleshooting Windows 2000 TCP/IP</t>
  </si>
  <si>
    <t>The Internet &amp; Society</t>
  </si>
  <si>
    <t>Harvard University</t>
  </si>
  <si>
    <t>501 Websites Secrets</t>
  </si>
  <si>
    <t>How to do Everything with Google</t>
  </si>
  <si>
    <t>Schneider, Blachman, Fredricksen</t>
  </si>
  <si>
    <t>Fighting Spam for Dummies</t>
  </si>
  <si>
    <t>Levine, Young, Everett-Church.</t>
  </si>
  <si>
    <t>Internet Annoyances</t>
  </si>
  <si>
    <t>Gralla, P.</t>
  </si>
  <si>
    <t>Google, The Missing Manual</t>
  </si>
  <si>
    <t>Milstein,s &amp; Dornfest,R.</t>
  </si>
  <si>
    <t>Starting an eBay Business</t>
  </si>
  <si>
    <t>eBAY</t>
  </si>
  <si>
    <t>Collier,M.</t>
  </si>
  <si>
    <t>Don't click on the blue e!  Switching to Firefox.</t>
  </si>
  <si>
    <t>FIREFOX</t>
  </si>
  <si>
    <t>Granneman, S.</t>
  </si>
  <si>
    <t>The ABC's of Frontpage 97</t>
  </si>
  <si>
    <t>FRONTPAGE 97</t>
  </si>
  <si>
    <t>Weisskopf, G.</t>
  </si>
  <si>
    <t>Firefox &amp; Thunderbird</t>
  </si>
  <si>
    <t>Hofman, Knous, Hedtke.</t>
  </si>
  <si>
    <t>Discover the Internet</t>
  </si>
  <si>
    <t>Arc Angel productions</t>
  </si>
  <si>
    <t>The Everyday Internet for Dummies</t>
  </si>
  <si>
    <t>Weverka,P.</t>
  </si>
  <si>
    <t>Google - Top 100 Simplified Tips &amp; Tricks</t>
  </si>
  <si>
    <t>Kraynak, J.</t>
  </si>
  <si>
    <t>Online Investing Hacks - 100 Tips &amp; Tricks</t>
  </si>
  <si>
    <t>Biafore, B.</t>
  </si>
  <si>
    <t>Blog Design Solutions</t>
  </si>
  <si>
    <t>Budd, A. et al</t>
  </si>
  <si>
    <t>eBay for Dummies</t>
  </si>
  <si>
    <t>Collier,M. &amp; Munday,B.</t>
  </si>
  <si>
    <t>The Internet Office Companion</t>
  </si>
  <si>
    <t>Neely, M.</t>
  </si>
  <si>
    <t>Maxibooks</t>
  </si>
  <si>
    <t>Podcasting for Dummies</t>
  </si>
  <si>
    <t>Morris, T. &amp; Terra,E.</t>
  </si>
  <si>
    <t>Front Page 2003 in Easy Steps</t>
  </si>
  <si>
    <t>Price, M.</t>
  </si>
  <si>
    <t>Internet for Dummies 3rd edition</t>
  </si>
  <si>
    <t>Levine, Young, &amp; Baroudi</t>
  </si>
  <si>
    <t>How to do Everything with FrontPage 2002</t>
  </si>
  <si>
    <t>FRONTPAGE 2002</t>
  </si>
  <si>
    <t>Plotkin, D.</t>
  </si>
  <si>
    <t>Guide to Outlook 2002</t>
  </si>
  <si>
    <t>OUTLOOK 2002</t>
  </si>
  <si>
    <t>E-Mail</t>
  </si>
  <si>
    <t>Gerend, J. &amp; Bermant, C.</t>
  </si>
  <si>
    <t>Redmond Tech. Press.</t>
  </si>
  <si>
    <t xml:space="preserve"> Outlook 2000 in a Nutshell</t>
  </si>
  <si>
    <t>OUTLOOK 2000</t>
  </si>
  <si>
    <t>Syroid, T. &amp; Leuf, B.</t>
  </si>
  <si>
    <t>Building Applications With Microsoft Outlook 97</t>
  </si>
  <si>
    <t>OUTLOOK 97</t>
  </si>
  <si>
    <t>Degunking your E-Mail, Spam &amp; Viruses</t>
  </si>
  <si>
    <t>Duntemann, J.</t>
  </si>
  <si>
    <t>Outlook 2003 in Easy Steps</t>
  </si>
  <si>
    <t>OUTLOOK 2003</t>
  </si>
  <si>
    <t>Microsoft Outlook 2007, Inside Out</t>
  </si>
  <si>
    <t>OUTLOOK 2007</t>
  </si>
  <si>
    <t>Boyce, Sheresh, Sheresh</t>
  </si>
  <si>
    <t>The Opera 5.x Book (CD Inc.)+C452</t>
  </si>
  <si>
    <t>OPERA 5.X</t>
  </si>
  <si>
    <t>Lyster, J.S.</t>
  </si>
  <si>
    <t>No Starch Press</t>
  </si>
  <si>
    <t>Pfaffenberger, B.</t>
  </si>
  <si>
    <t>Netscape Communicator 4  (CD included)</t>
  </si>
  <si>
    <t>NETSCAPE 4</t>
  </si>
  <si>
    <t>Tauber, Kienan, &amp; Towers.</t>
  </si>
  <si>
    <t>Teach Yourself Netscape Communicator 4</t>
  </si>
  <si>
    <t>Grimes G.</t>
  </si>
  <si>
    <t>EXPLORER 4</t>
  </si>
  <si>
    <t>Linux Internals</t>
  </si>
  <si>
    <t>Bar, M.</t>
  </si>
  <si>
    <t xml:space="preserve"> Linux Music &amp; Sound  (CD Inc.)+C740</t>
  </si>
  <si>
    <t>Phillips, D.</t>
  </si>
  <si>
    <t>Linux Journal Press</t>
  </si>
  <si>
    <t>Using Caldera Open Linux  (CD Inc.)</t>
  </si>
  <si>
    <t>Smart, Ratcliffe,Bird, et al</t>
  </si>
  <si>
    <t>Using Linux.  Special Edition  (3 CD's included)</t>
  </si>
  <si>
    <t>Tackett,J. &amp; Burnett,S.</t>
  </si>
  <si>
    <t>Merlino,J. &amp; Wrightson,K.</t>
  </si>
  <si>
    <t>Linux Networking Clearly Explained</t>
  </si>
  <si>
    <t>Idiot's Guide to Linux</t>
  </si>
  <si>
    <t>Linux Pocket Book</t>
  </si>
  <si>
    <t>Family Tree Maker v10</t>
  </si>
  <si>
    <t>FAMILY TREE MAKER !)</t>
  </si>
  <si>
    <t>Genealogy</t>
  </si>
  <si>
    <t>Premier Press</t>
  </si>
  <si>
    <t>Alpha Books</t>
  </si>
  <si>
    <t>Genealogy On Line</t>
  </si>
  <si>
    <t>Graphics</t>
  </si>
  <si>
    <t>Coriolis</t>
  </si>
  <si>
    <t>Addison Wesley</t>
  </si>
  <si>
    <t>Font Secrets &amp; Solutions</t>
  </si>
  <si>
    <t>FONTS</t>
  </si>
  <si>
    <t>Teach Yourself Microsoft Internet Explorer $</t>
  </si>
  <si>
    <t>Estabrook, N.</t>
  </si>
  <si>
    <t>Sams Net</t>
  </si>
  <si>
    <t>Integrated Suites</t>
  </si>
  <si>
    <t>Simpson, A.</t>
  </si>
  <si>
    <t>Open Office. Org for Dummies  (CD Included)</t>
  </si>
  <si>
    <t>OPEN OFFICE</t>
  </si>
  <si>
    <t>Leete, Finkelstein &amp; Leete</t>
  </si>
  <si>
    <t>Open Office.org - Writer  (CD Included)</t>
  </si>
  <si>
    <t>Weber, J.H.</t>
  </si>
  <si>
    <t>Open Office.org 3</t>
  </si>
  <si>
    <t>Corel WordPerfect Office 2000 for Linux</t>
  </si>
  <si>
    <t>WORDPERFECT</t>
  </si>
  <si>
    <t>Rackus, Wrightson, &amp; Merlino</t>
  </si>
  <si>
    <t>Corel Press</t>
  </si>
  <si>
    <t>Corel WordPerfect Suite 8 Users Guide</t>
  </si>
  <si>
    <t>Corel WordPerfect Suite 8 Professional</t>
  </si>
  <si>
    <t>Neibauer, A.</t>
  </si>
  <si>
    <t>WordPerfect Office 2002</t>
  </si>
  <si>
    <t>WORDPERFECT 2002</t>
  </si>
  <si>
    <t>WordPerfect Office 11</t>
  </si>
  <si>
    <t>WORDPERFECT 11</t>
  </si>
  <si>
    <t>WordPerfect 2000</t>
  </si>
  <si>
    <t>WORDPERFECT 2000</t>
  </si>
  <si>
    <t>Office 2000 Made Easy</t>
  </si>
  <si>
    <t>OFFICE 2000</t>
  </si>
  <si>
    <t>Red Hat Fedora &amp; Enterprise Linux 4 Bible</t>
  </si>
  <si>
    <t>The Complete reference Red Hat Enterprise &amp; Fedora Edition</t>
  </si>
  <si>
    <t>Petersen, R. &amp; Haddad,I.</t>
  </si>
  <si>
    <t>McGraw Hill Osborne</t>
  </si>
  <si>
    <t>LeBlanc, D-A.</t>
  </si>
  <si>
    <t>SUSE LINUX</t>
  </si>
  <si>
    <t>Barkakati,N.</t>
  </si>
  <si>
    <t>Red Hat Linux for Dummies</t>
  </si>
  <si>
    <t>RED HAT LINUX</t>
  </si>
  <si>
    <t>Suse Linux</t>
  </si>
  <si>
    <t>Brown, Chris</t>
  </si>
  <si>
    <t>Windows 2000 Configuration Wizards</t>
  </si>
  <si>
    <t>Collins,B.M. &amp; Cunningham, S.</t>
  </si>
  <si>
    <t xml:space="preserve"> Windows 2000 - A Beginner's Guide</t>
  </si>
  <si>
    <t>Matthews, M.S.</t>
  </si>
  <si>
    <t>Windows 2000 Pro.  The Missing Manual.</t>
  </si>
  <si>
    <t>Crawford, S.</t>
  </si>
  <si>
    <t>Windows Powershell 2.0 Programming</t>
  </si>
  <si>
    <t>WINDOWS POWERSHELL</t>
  </si>
  <si>
    <t>Ford, J.L.</t>
  </si>
  <si>
    <t>Course Technology</t>
  </si>
  <si>
    <t>Windows Powershell in Action20</t>
  </si>
  <si>
    <t>Payette, B.</t>
  </si>
  <si>
    <t>Manning</t>
  </si>
  <si>
    <t>Windows NT 4.0 Workstation</t>
  </si>
  <si>
    <t>Developing Digital Short Films</t>
  </si>
  <si>
    <t>Voices that Matter</t>
  </si>
  <si>
    <t>The Animator's Workbook</t>
  </si>
  <si>
    <t>Inside AutoCAD 14  (CD Missing)</t>
  </si>
  <si>
    <t>AutoCAD 2006 for Dummies</t>
  </si>
  <si>
    <t>Hamilton, Kenny &amp; Huber</t>
  </si>
  <si>
    <t>Grid Computing</t>
  </si>
  <si>
    <t>Using Microsoft Access 2000  Special Edition</t>
  </si>
  <si>
    <t>Easy Microsoft Access 2000</t>
  </si>
  <si>
    <t>Using MS Access 97</t>
  </si>
  <si>
    <t>Access 97 Developer's handbook</t>
  </si>
  <si>
    <t>The Complete Idiot's Guide to Access 2000</t>
  </si>
  <si>
    <t>I Just Bought a Digital Camera, Now What?</t>
  </si>
  <si>
    <t>Click!  The No Nonsense Guide to Digital Cameras</t>
  </si>
  <si>
    <t>Getting Results with  Video Studio 9</t>
  </si>
  <si>
    <t>Microsoft Exchange 2003  Deployment &amp; Migration</t>
  </si>
  <si>
    <t>Extreme Mindstorms, An Advanced guide to LEGO Mindstorms</t>
  </si>
  <si>
    <t>Photoshop Elements 3, Top 100 Simplified Tips &amp; tricks</t>
  </si>
  <si>
    <t>The Complete Idiot's Guide to Photoshop 5</t>
  </si>
  <si>
    <t>PowerPoint 2003 Personal Trainer (Cod Inc&gt;0</t>
  </si>
  <si>
    <t>PowerPoint 2003 Personal Trainer (Cod Inc.)</t>
  </si>
  <si>
    <t>Prima Publishing</t>
  </si>
  <si>
    <t>Troubleshooting Your PC Bible</t>
  </si>
  <si>
    <t>Teach yourself Palm Programming</t>
  </si>
  <si>
    <t>Matthews, M.S.. &amp; Poulsen, E.B.</t>
  </si>
  <si>
    <t>Friends of Open Document</t>
  </si>
  <si>
    <t>Flanders,V. &amp; Willis, M.</t>
  </si>
  <si>
    <t>Krug, S.</t>
  </si>
  <si>
    <t>Walsh,Q.E. &amp; Raggett, D.</t>
  </si>
  <si>
    <t>Flash 5 Virtual Classroom  (CD Inc.)</t>
  </si>
  <si>
    <t xml:space="preserve">Actionscript 2.0 Dictionary </t>
  </si>
  <si>
    <t>Managing Windows 2000 Network Services</t>
  </si>
  <si>
    <t>Wegner, J.D. &amp; Rockell, Robert</t>
  </si>
  <si>
    <t>Gilbert, J</t>
  </si>
  <si>
    <t>Elsevier Digital Press</t>
  </si>
  <si>
    <t>Introduction To Networking</t>
  </si>
  <si>
    <t>MCSE Windows Not Server 4 for Dummies</t>
  </si>
  <si>
    <t>Netware 6.5 Administrator's Handbook</t>
  </si>
  <si>
    <t>Ricart, M. A.</t>
  </si>
  <si>
    <t>SUSE Linux 9.3 for Dummies (Cod Inc.)</t>
  </si>
  <si>
    <t>Using Linux.  Special Edition - Fifth Edition</t>
  </si>
  <si>
    <t>Windows Millennium - The Missing Manual</t>
  </si>
  <si>
    <t>Microsoft Windows Me Millennium Edition for Dummies</t>
  </si>
  <si>
    <t>Microsoft Windows Me Millennium Edition Bible</t>
  </si>
  <si>
    <t>Master Visually Windows Me Millennium Edition</t>
  </si>
  <si>
    <t>Windows Up, Just the Steps, for Dummies</t>
  </si>
  <si>
    <t>The Unofficial Guide to Windows up</t>
  </si>
  <si>
    <t>Toot, M. &amp; Torres, D.</t>
  </si>
  <si>
    <t>Excel 2003 Personal Trainer (Cod Inc.)</t>
  </si>
  <si>
    <t>Kuperberg, M</t>
  </si>
  <si>
    <t>Murdock, K L</t>
  </si>
  <si>
    <t>White, T</t>
  </si>
  <si>
    <t>Hess, R</t>
  </si>
  <si>
    <t>MacGillivray, C &amp; Head, A</t>
  </si>
  <si>
    <t>Goldberg, E</t>
  </si>
  <si>
    <t>Burchad, Pitzer, Soen, et al.</t>
  </si>
  <si>
    <t>Middlebrook, M &amp; Byrnes, D</t>
  </si>
  <si>
    <t>Stallings, W &amp; van Slyke, R</t>
  </si>
  <si>
    <t>Dodd, A Z</t>
  </si>
  <si>
    <t>Lewart, C R</t>
  </si>
  <si>
    <t>Lefcon, D</t>
  </si>
  <si>
    <t>Skarbek, G</t>
  </si>
  <si>
    <t>Garfinkel, S</t>
  </si>
  <si>
    <t>Burton, K &amp; LeRossignol, K</t>
  </si>
  <si>
    <t>Long, L &amp; N</t>
  </si>
  <si>
    <t>Deutschman, A</t>
  </si>
  <si>
    <t>Brinkley, J &amp; Lohr, S</t>
  </si>
  <si>
    <t>Laudon, K C &amp; J P</t>
  </si>
  <si>
    <t>Bear, M &amp; J</t>
  </si>
  <si>
    <t>Garside, W</t>
  </si>
  <si>
    <t>Erbschloe, M</t>
  </si>
  <si>
    <t>Brooks, L</t>
  </si>
  <si>
    <t>Bausch, P</t>
  </si>
  <si>
    <t>Stokes, A</t>
  </si>
  <si>
    <t>Stammers, K &amp; Parry, T</t>
  </si>
  <si>
    <t>Stephens, R &amp; Burg, D</t>
  </si>
  <si>
    <t>Renton, N</t>
  </si>
  <si>
    <t>Thompson, H H &amp; Nomikos, S</t>
  </si>
  <si>
    <t>Meyer, Mark R.</t>
  </si>
  <si>
    <t>Gookin, D</t>
  </si>
  <si>
    <t>Plaszczak, P &amp; Wellner, R</t>
  </si>
  <si>
    <t>Kavanagh, P</t>
  </si>
  <si>
    <t>Lahti, C &amp; Peterson, R</t>
  </si>
  <si>
    <t>Batelle, J</t>
  </si>
  <si>
    <t>Chambers, M</t>
  </si>
  <si>
    <t>Jennings, R</t>
  </si>
  <si>
    <t>Byrne, J</t>
  </si>
  <si>
    <t>Litwan, Getz, Gilbert</t>
  </si>
  <si>
    <t>Leszynski, S</t>
  </si>
  <si>
    <t>Habraken, J</t>
  </si>
  <si>
    <t>Chase, K &amp; Palmer, S</t>
  </si>
  <si>
    <t>Cronan, J &amp; Sandberg, B</t>
  </si>
  <si>
    <t>Ralston, T</t>
  </si>
  <si>
    <t>Jones, E</t>
  </si>
  <si>
    <t>Schwartz, S</t>
  </si>
  <si>
    <t>Johnson, D</t>
  </si>
  <si>
    <t>Sadun, E</t>
  </si>
  <si>
    <t>Ang, T</t>
  </si>
  <si>
    <t>Corbett, B</t>
  </si>
  <si>
    <t>Schoch, E T</t>
  </si>
  <si>
    <t>Busch, D</t>
  </si>
  <si>
    <t>Wuite, R</t>
  </si>
  <si>
    <t>Story, D</t>
  </si>
  <si>
    <t>Milburn, K</t>
  </si>
  <si>
    <t>Aitken, P G</t>
  </si>
  <si>
    <t>Busch, Krzywicki, &amp; Burden</t>
  </si>
  <si>
    <t>Tally, T</t>
  </si>
  <si>
    <t>Blatner, Fleishman, &amp; Roth</t>
  </si>
  <si>
    <t>Day, J</t>
  </si>
  <si>
    <t>Padova, T</t>
  </si>
  <si>
    <t>Alspach, T</t>
  </si>
  <si>
    <t>Darkin, Allen, Schaeffer, et al.</t>
  </si>
  <si>
    <t>Browne, S E</t>
  </si>
  <si>
    <t>Ozer, J</t>
  </si>
  <si>
    <t>Chambers, M L</t>
  </si>
  <si>
    <t>Bolante, A</t>
  </si>
  <si>
    <t>Mollison, M</t>
  </si>
  <si>
    <t>Vandome, N</t>
  </si>
  <si>
    <t>La Barge, R</t>
  </si>
  <si>
    <t>Baker, D</t>
  </si>
  <si>
    <t>Hills, C</t>
  </si>
  <si>
    <t>Meyer, T &amp; C</t>
  </si>
  <si>
    <t>Wienman, L</t>
  </si>
  <si>
    <t>Briere, D &amp; Hurley, P</t>
  </si>
  <si>
    <t>Fahs, C &amp; Weinman, L</t>
  </si>
  <si>
    <t>Plumer, C</t>
  </si>
  <si>
    <t>Ludington, J</t>
  </si>
  <si>
    <t>deLeeuw, B</t>
  </si>
  <si>
    <t>Peterson, M T</t>
  </si>
  <si>
    <t>Underhill, B</t>
  </si>
  <si>
    <t>Droblas, A &amp; Greenberg, S</t>
  </si>
  <si>
    <t>Maes, J &amp; Vercammen, M</t>
  </si>
  <si>
    <t>Stafford, T &amp; Webb, M</t>
  </si>
  <si>
    <t>McCorry, K</t>
  </si>
  <si>
    <t>Curtis, V</t>
  </si>
  <si>
    <t>Colbran, V &amp; Blake, S</t>
  </si>
  <si>
    <t>Nelson, S L</t>
  </si>
  <si>
    <t>Ahearn, L</t>
  </si>
  <si>
    <t>Meadhra, M &amp; Stouffer, P J</t>
  </si>
  <si>
    <t>Meigs, T</t>
  </si>
  <si>
    <t>King, B &amp; Borland, J</t>
  </si>
  <si>
    <t>Van Verth, J M &amp;  Bisshop, L M</t>
  </si>
  <si>
    <t>Lever, N</t>
  </si>
  <si>
    <t xml:space="preserve">McClure, R R </t>
  </si>
  <si>
    <t>Crowe, E P</t>
  </si>
  <si>
    <t xml:space="preserve">Jones, G E </t>
  </si>
  <si>
    <t>Davis, P</t>
  </si>
  <si>
    <t>Harrel, W &amp; Steward, W</t>
  </si>
  <si>
    <t>Miller, D</t>
  </si>
  <si>
    <t>Xenakis, D &amp; London, S</t>
  </si>
  <si>
    <t>Oliver, M &amp; Beckley, A</t>
  </si>
  <si>
    <t>Romaniello, S</t>
  </si>
  <si>
    <t>Weinman, L &amp; Kabili, J</t>
  </si>
  <si>
    <t>Willmore, B</t>
  </si>
  <si>
    <t>Kabili, J</t>
  </si>
  <si>
    <t>Margulis, D</t>
  </si>
  <si>
    <t>Andrews, P</t>
  </si>
  <si>
    <t>Graham, D</t>
  </si>
  <si>
    <t>Rose, C</t>
  </si>
  <si>
    <t>Hoeschen, C</t>
  </si>
  <si>
    <t>Plotkin, D</t>
  </si>
  <si>
    <t>Moniz, S</t>
  </si>
  <si>
    <t>Obermeier, B</t>
  </si>
  <si>
    <t>Wooldridge, M &amp; l</t>
  </si>
  <si>
    <t>Brundage, B</t>
  </si>
  <si>
    <t>Lee, L</t>
  </si>
  <si>
    <t>Carlson, J &amp; Hoeschen, C</t>
  </si>
  <si>
    <t>Kelby, S</t>
  </si>
  <si>
    <t>Stanley, R</t>
  </si>
  <si>
    <t>Weinmann, E &amp; Lourkas, P</t>
  </si>
  <si>
    <t>Wooldridge, M &amp; L</t>
  </si>
  <si>
    <t>Nelson, S L &amp; Buschmohle, M</t>
  </si>
  <si>
    <t>Haddad, A &amp; C</t>
  </si>
  <si>
    <t>Lowe, D</t>
  </si>
  <si>
    <t>Buchanan, N</t>
  </si>
  <si>
    <t>Obermeiser, B &amp; Padova, T</t>
  </si>
  <si>
    <t>Gertler, N</t>
  </si>
  <si>
    <t>Davis, L J</t>
  </si>
  <si>
    <t>Koers, D</t>
  </si>
  <si>
    <t>Kay, D &amp; Steinmetz, W</t>
  </si>
  <si>
    <t>Fulton, J</t>
  </si>
  <si>
    <t>Thompson, R B  &amp; B F</t>
  </si>
  <si>
    <t>Pabst, Dr. T</t>
  </si>
  <si>
    <t>Mueller, Scott</t>
  </si>
  <si>
    <t>Thompson, R B &amp; B F</t>
  </si>
  <si>
    <t>Pilgrim, A</t>
  </si>
  <si>
    <t>Rosenthal, M</t>
  </si>
  <si>
    <t>Bigelow, S J</t>
  </si>
  <si>
    <t>Holzman, C</t>
  </si>
  <si>
    <t>Grand, J  Et al</t>
  </si>
  <si>
    <t>Fullam, S</t>
  </si>
  <si>
    <t>Baxter, Z</t>
  </si>
  <si>
    <t>Yarnold, S</t>
  </si>
  <si>
    <t>Smith, R W</t>
  </si>
  <si>
    <t>Creacy, D &amp; Vicencio, C</t>
  </si>
  <si>
    <t>Bass, S</t>
  </si>
  <si>
    <t>Muir, N</t>
  </si>
  <si>
    <t>Aspinall, J &amp; Todd, T</t>
  </si>
  <si>
    <t>St.Clair, J</t>
  </si>
  <si>
    <t>Sinclair, I</t>
  </si>
  <si>
    <t>Taylor, J</t>
  </si>
  <si>
    <t>Field, G &amp; Ridge, P et al</t>
  </si>
  <si>
    <t>Gookin, D &amp; Wallbank, P</t>
  </si>
  <si>
    <t>Sandler, C</t>
  </si>
  <si>
    <t>Miller, M</t>
  </si>
  <si>
    <t>Digital Imaging</t>
  </si>
  <si>
    <t>Scott Mueller's Upgrading &amp; Repairing PCs (CD Inc.)</t>
  </si>
  <si>
    <t>PCs for Dummies - Just the Steps</t>
  </si>
  <si>
    <t>Hardware Pocket PCs</t>
  </si>
  <si>
    <t>Networking Home PCs for Dummies  (CD Inc.)</t>
  </si>
  <si>
    <t>Teach Yourself Visually Windows XP Media Edition</t>
  </si>
  <si>
    <t>JavaScript Quick Reference</t>
  </si>
  <si>
    <t>The Second Coming of Steve Jobs</t>
  </si>
  <si>
    <t>PCs for Dummies</t>
  </si>
  <si>
    <t>PCs All-in-one for Dummies</t>
  </si>
  <si>
    <t>The Essential Guide to Telecommunications</t>
  </si>
  <si>
    <t>Steal This Computer Book 2</t>
  </si>
  <si>
    <t>Measuring the Success of your Website</t>
  </si>
  <si>
    <t>Macromedia press</t>
  </si>
  <si>
    <t>ColdFusion MX with Dreamweaver MX</t>
  </si>
  <si>
    <t>ColdFusion MX - Flash MX Integration</t>
  </si>
  <si>
    <t>ColdFusion MX Web Application Construction</t>
  </si>
  <si>
    <t>ColdFusion MX Web Application Development</t>
  </si>
  <si>
    <t>Discovering Fusebox With ColdFusion</t>
  </si>
  <si>
    <t>Fusebox - Developing ColdFusion Applications</t>
  </si>
  <si>
    <t>Corel Linux OS Starter Kit (CD Inc.)</t>
  </si>
  <si>
    <t>Grebler, E.</t>
  </si>
  <si>
    <t>SMB Consulting Best Practices</t>
  </si>
  <si>
    <t>IPSec Securing VPNs</t>
  </si>
  <si>
    <t>Galer, M &amp; Horvat, L</t>
  </si>
  <si>
    <t>Exchange 2000 Server Administration - A Beginner's Guide</t>
  </si>
  <si>
    <t>Holcombe, Jane &amp; Charles</t>
  </si>
  <si>
    <t>MSCE Windows 2000 Accelerated Study Guide</t>
  </si>
  <si>
    <t>English, B &amp; Cavalancia, N</t>
  </si>
  <si>
    <t>MSCE Windows 2000 Network Administration Guide</t>
  </si>
  <si>
    <t xml:space="preserve">Survey of Operating Systems </t>
  </si>
  <si>
    <t>Linux Unleashed (4th Edition)</t>
  </si>
  <si>
    <t>Ball, Pitts, Goerzen, et al</t>
  </si>
  <si>
    <t>Sams (MacMillan)</t>
  </si>
  <si>
    <t xml:space="preserve">Official Fedora Companion </t>
  </si>
  <si>
    <t>Petreley, Nick</t>
  </si>
  <si>
    <t>Red Hat Press</t>
  </si>
  <si>
    <t>Adelstein, T &amp; Hiser, S</t>
  </si>
  <si>
    <t>Learning Red Hat Enterprise</t>
  </si>
  <si>
    <t>McCarty, B</t>
  </si>
  <si>
    <t>Que Publishing</t>
  </si>
  <si>
    <t>The Complete Reference - Windows XP</t>
  </si>
  <si>
    <t>Levine, J &amp; Levine Young, M</t>
  </si>
  <si>
    <t>Learning UML</t>
  </si>
  <si>
    <t>Si Alhir, S</t>
  </si>
  <si>
    <t>Perl Graphics Programming</t>
  </si>
  <si>
    <t>Learning Java</t>
  </si>
  <si>
    <t>Niemeyer, P &amp; Knudsen, J</t>
  </si>
  <si>
    <t>Buying a Computer for Dummies</t>
  </si>
  <si>
    <t>3DS Max Bible</t>
  </si>
  <si>
    <t>The Unofficial Guide to Windows XP</t>
  </si>
  <si>
    <t>MCSE Readiness Review. Internet Information Server 4.0 (CD Missing)</t>
  </si>
  <si>
    <t>Character Animation Crash Course  (CD inc.)</t>
  </si>
  <si>
    <t>Sarbanes-Oxley, IT Compliance using COBIT &amp; Open Source Tools (CD inc)</t>
  </si>
  <si>
    <t xml:space="preserve">XHTML  By Example  </t>
  </si>
  <si>
    <t>XHTML</t>
  </si>
  <si>
    <t>Navarro, A.</t>
  </si>
  <si>
    <t xml:space="preserve">Building Professional Web Sites with the Right Tools  </t>
  </si>
  <si>
    <t>Greenberg, J. &amp; Lakeland, J.R.</t>
  </si>
  <si>
    <t>Hewlett-Packard Books</t>
  </si>
  <si>
    <t xml:space="preserve">Designing Web Usability   </t>
  </si>
  <si>
    <t>Nielsen, J.</t>
  </si>
  <si>
    <t xml:space="preserve">Web Project Management  </t>
  </si>
  <si>
    <t>Friedlein, A.</t>
  </si>
  <si>
    <t xml:space="preserve">Designing Web Audio   </t>
  </si>
  <si>
    <t>REALAUDIO, MP3</t>
  </si>
  <si>
    <t>Beggs, J. &amp; Thede, D.</t>
  </si>
  <si>
    <t>The Complete Reference Web Design</t>
  </si>
  <si>
    <t>Powell, T.A.</t>
  </si>
  <si>
    <t>Homepage Usability, 50 Websites Deconstructed</t>
  </si>
  <si>
    <t>Neilsen, J. &amp; Tahir, M.</t>
  </si>
  <si>
    <t>The XML Companion</t>
  </si>
  <si>
    <t>Bradley, N.</t>
  </si>
  <si>
    <t>Hurol Inan</t>
  </si>
  <si>
    <t>The Complete Idiot's Guide to Creating a Web Page  (CD Inc.)</t>
  </si>
  <si>
    <t>McFedeies, P.</t>
  </si>
  <si>
    <t>Schildt, H.</t>
  </si>
  <si>
    <t>Complete Reference XML</t>
  </si>
  <si>
    <t>Essential Blogging</t>
  </si>
  <si>
    <t>Networks</t>
  </si>
  <si>
    <t>Doctorow, Dornfest, Johnson, et al</t>
  </si>
  <si>
    <t>Optimizing Windows for Games, Graphics &amp; Multimedia</t>
  </si>
  <si>
    <t>Windows 2000 secrets</t>
  </si>
  <si>
    <t xml:space="preserve">Livingston,B. </t>
  </si>
  <si>
    <t>Hoe to use Windows 2000 Professional</t>
  </si>
  <si>
    <t>Glenn, W.J.</t>
  </si>
  <si>
    <t>Teach Your self HTML 4 in 24 Hours</t>
  </si>
  <si>
    <t>Oliver, D. &amp; Holzschlag, M.</t>
  </si>
  <si>
    <t>Web Design, Tools &amp; Techniques</t>
  </si>
  <si>
    <t>Kentie, P.</t>
  </si>
  <si>
    <t>Web Pages that Suck</t>
  </si>
  <si>
    <t>Your First Notebook PC</t>
  </si>
  <si>
    <t>Miller, M.</t>
  </si>
  <si>
    <t>Smith, B.E. &amp; Bebak, A.</t>
  </si>
  <si>
    <t>Beginning XHTML</t>
  </si>
  <si>
    <t>Boumphrey, Greer, Raggett, et al</t>
  </si>
  <si>
    <t>Beginning XML</t>
  </si>
  <si>
    <t>Hunter, D.</t>
  </si>
  <si>
    <t>Don't Make Me Think</t>
  </si>
  <si>
    <t>XML for Dummies</t>
  </si>
  <si>
    <t>Dykes, L. &amp; Tittel, E.</t>
  </si>
  <si>
    <t>RSS and ATOM</t>
  </si>
  <si>
    <t>RSS &amp; ATOM</t>
  </si>
  <si>
    <t>Hammersley,B.</t>
  </si>
  <si>
    <t>XHTML - Black Book</t>
  </si>
  <si>
    <t>Web Publishing with XML in 6 Easy Steps</t>
  </si>
  <si>
    <t>Pfaffenberger.B</t>
  </si>
  <si>
    <t>Fireworks 2 for Windows &amp; Macintosh</t>
  </si>
  <si>
    <t>FIREWORKS 2</t>
  </si>
  <si>
    <t>Cohen, S.</t>
  </si>
  <si>
    <t>Flash 4 for Windows &amp; Macintosh</t>
  </si>
  <si>
    <t>Ulrich, K.</t>
  </si>
  <si>
    <t>Flash 4 Creative Web Animation  (CD Included)</t>
  </si>
  <si>
    <t>The Complete Idiots Guide to Creating Your Own CD's</t>
  </si>
  <si>
    <t>Ogletree, T.W.</t>
  </si>
  <si>
    <t>The Little Audio CD Book</t>
  </si>
  <si>
    <t>Starrett,B. &amp; McDaniel, J.</t>
  </si>
  <si>
    <t>iPod, The Missing Manual</t>
  </si>
  <si>
    <t>IPOD</t>
  </si>
  <si>
    <t>Torres, D. &amp; Mudie, S.</t>
  </si>
  <si>
    <t>How To Do Everything With Windows Vista</t>
  </si>
  <si>
    <t>Simmons, C.</t>
  </si>
  <si>
    <t>Breakthrough Windows Vista</t>
  </si>
  <si>
    <t>Ballew, J. &amp; Slack, S.E.</t>
  </si>
  <si>
    <t>Windows Vista, The Definitive Guide</t>
  </si>
  <si>
    <t>Windows Vista Administration, The Definitive Guide</t>
  </si>
  <si>
    <t>Culp, B.</t>
  </si>
  <si>
    <t>Windows Vista in Quicksteps</t>
  </si>
  <si>
    <t>Windows Vista - Top 100 Tips &amp; Tricks</t>
  </si>
  <si>
    <t>Windows XP Home Edition</t>
  </si>
  <si>
    <t>WINDOWS XP</t>
  </si>
  <si>
    <t>Hart-Davis, G.</t>
  </si>
  <si>
    <t>Windows XP Secrets</t>
  </si>
  <si>
    <t>Troubleshooting Windows XP</t>
  </si>
  <si>
    <t>Sagman.S.W.</t>
  </si>
  <si>
    <t>Windows XP Headaches</t>
  </si>
  <si>
    <t>Peter Norton's Complete Guide to Windows XP</t>
  </si>
  <si>
    <t>Norton,P. &amp; Mueller,J.P.</t>
  </si>
  <si>
    <t>The XP Files</t>
  </si>
  <si>
    <t>How to do Everything with Windows XP</t>
  </si>
  <si>
    <t>MBA's Guide to Windows XP Professional</t>
  </si>
  <si>
    <t>Coleman, Dyson, &amp; Nelson.</t>
  </si>
  <si>
    <t>AAAAAH/f4II=</t>
  </si>
  <si>
    <t>Beginning Visual Basic 6</t>
  </si>
  <si>
    <t>Foundation Flash 5</t>
  </si>
  <si>
    <t>Bhangal, Farr, Rey</t>
  </si>
  <si>
    <t>Windows 7 Tweaks</t>
  </si>
  <si>
    <t>Steve Sinchak</t>
  </si>
  <si>
    <t>Palm Pre</t>
  </si>
  <si>
    <t>Baig Edward C.</t>
  </si>
  <si>
    <t>Windows 7 The Definitive Guide</t>
  </si>
  <si>
    <t>William R. Stanek</t>
  </si>
  <si>
    <t>Windows 7 the missing manual</t>
  </si>
  <si>
    <t>David Pogue</t>
  </si>
  <si>
    <t>Getting Started in Windows 7</t>
  </si>
  <si>
    <t>Windows 7 Inside Out</t>
  </si>
  <si>
    <t>Ed Bott, Carl Siechart, Craig Stinson</t>
  </si>
  <si>
    <t>Excel 2002 In Easy Steps</t>
  </si>
  <si>
    <t>ACROBAT 6</t>
  </si>
  <si>
    <t>Harvey G</t>
  </si>
  <si>
    <t>Adobe Acrobat 6 PDF</t>
  </si>
  <si>
    <t>Windows XP Power Toolkit</t>
  </si>
  <si>
    <t>Walter Bruce,Paul Thurrott, David Chernicoff</t>
  </si>
  <si>
    <t>Prentice Hall India</t>
  </si>
  <si>
    <t>Windows XP Registry Guide</t>
  </si>
  <si>
    <t>Jerry Honeycutt</t>
  </si>
  <si>
    <t>Tanksley, Bayes &amp; Elstad</t>
  </si>
  <si>
    <t>Macromedis press</t>
  </si>
  <si>
    <t>Flash MX 2004 Developer Study Guide</t>
  </si>
  <si>
    <t>Voerman, V.</t>
  </si>
  <si>
    <t>Object-Oriented Programming with Actionscript 2.0</t>
  </si>
  <si>
    <t>ACTIONSCRIPT 2.0</t>
  </si>
  <si>
    <t>Tapper, Talbot &amp; Haffner</t>
  </si>
  <si>
    <t>COLDFUSION MX</t>
  </si>
  <si>
    <t>Golden, D.</t>
  </si>
  <si>
    <t>Forta, B. et al</t>
  </si>
  <si>
    <t>Forta, B. &amp; Weiss, N.</t>
  </si>
  <si>
    <t>J.Q-von-tivadar</t>
  </si>
  <si>
    <t>Techspedition</t>
  </si>
  <si>
    <t>Peters, J. &amp; Papovich,N.</t>
  </si>
  <si>
    <t>Developing Killer Web Apps with Dreamweaver MX and C#</t>
  </si>
  <si>
    <t>DREAMWEAVER  MX</t>
  </si>
  <si>
    <t>White, C.</t>
  </si>
  <si>
    <t>SYBEX</t>
  </si>
  <si>
    <t>AS. NET  Development with Dreamweaver MX</t>
  </si>
  <si>
    <t>Parnell, R. &amp; Martinez, J.</t>
  </si>
  <si>
    <t>I.P. Routing Fundamentals</t>
  </si>
  <si>
    <t>Sportak, M. A.</t>
  </si>
  <si>
    <t>Cisco press</t>
  </si>
  <si>
    <t>.Net Framework Essentials</t>
  </si>
  <si>
    <t>How to do Everything With Dreamweaver 4</t>
  </si>
  <si>
    <t>DREAMWEAVER 4</t>
  </si>
  <si>
    <t>Meadhra, M.</t>
  </si>
  <si>
    <t>Ivens, K.</t>
  </si>
  <si>
    <t>How to do Everything with Windows Vista</t>
  </si>
  <si>
    <t>Simmons,C.</t>
  </si>
  <si>
    <t>Delivering Voice over Frame Relay &amp; ATM.</t>
  </si>
  <si>
    <t>Various</t>
  </si>
  <si>
    <t>Thuan Thai &amp; H.Q.Lam</t>
  </si>
  <si>
    <t>Visual Basic Jumpstart 2005</t>
  </si>
  <si>
    <t>VISUAL BASIC 2005</t>
  </si>
  <si>
    <t>Lee, Wei-Meng</t>
  </si>
  <si>
    <t>Programming Visual basic 2005</t>
  </si>
  <si>
    <t>Liberty, J.</t>
  </si>
  <si>
    <t>Visual Basic 2005 for Dummies</t>
  </si>
  <si>
    <t>VISUAL BSAIC 2005</t>
  </si>
  <si>
    <t>Sempf, B.</t>
  </si>
  <si>
    <t>Visual Basic  .Net Complete</t>
  </si>
  <si>
    <t>VISUAL BASIC .NET</t>
  </si>
  <si>
    <t>Beginning Visual Basic  .Net</t>
  </si>
  <si>
    <t>Reynolds, M. et al</t>
  </si>
  <si>
    <t>WROX</t>
  </si>
  <si>
    <t>Microsoft Visual Basic  .net  Step By Step</t>
  </si>
  <si>
    <t>Halvorson, M.</t>
  </si>
  <si>
    <t>Microsoft ASP.net, Programming with Visual Basic .net</t>
  </si>
  <si>
    <t>Duthie, G.A.</t>
  </si>
  <si>
    <t>Microsoft Visual Basic . Net  In Action</t>
  </si>
  <si>
    <t>Programming with  Qt.</t>
  </si>
  <si>
    <t>C++  Qt</t>
  </si>
  <si>
    <t>Dalheimer, M.K.</t>
  </si>
  <si>
    <t>C++  A beginners Guide  2nd Edition</t>
  </si>
  <si>
    <t>C++</t>
  </si>
  <si>
    <t>Teach Yourself C++ In 21 Days</t>
  </si>
  <si>
    <t>Liberty, J</t>
  </si>
  <si>
    <t>A Computer Tapestry</t>
  </si>
  <si>
    <t>Astrachan, O.</t>
  </si>
  <si>
    <t>C by Example</t>
  </si>
  <si>
    <t>C</t>
  </si>
  <si>
    <t>The Complete Reference C  - 4th Edition</t>
  </si>
  <si>
    <t>Schildt, Herbert</t>
  </si>
  <si>
    <t>C by Dissection</t>
  </si>
  <si>
    <t>Kelley, A. &amp; Pohl, I.</t>
  </si>
  <si>
    <t>A Book on C</t>
  </si>
  <si>
    <t>C All-in-one Desk Reference for Dummies</t>
  </si>
  <si>
    <t>Engaged Learning for Programming in C++ (CD Inc.)</t>
  </si>
  <si>
    <t>Roberge, Bauer, Smith.</t>
  </si>
  <si>
    <t>Visual Studio 2005</t>
  </si>
  <si>
    <t>VISUAL &amp; C</t>
  </si>
  <si>
    <t>Parsons, A. &amp; Randolph, N.</t>
  </si>
  <si>
    <t>DELPHI</t>
  </si>
  <si>
    <t>Delphi Programming Graphics &amp; Game Exposed! w/ DirectX (CD Inc.)</t>
  </si>
  <si>
    <t>DELPHI (DIRECTX)</t>
  </si>
  <si>
    <t>Delphi in a Nutshell.</t>
  </si>
  <si>
    <t>Lischner, R.</t>
  </si>
  <si>
    <t>Rebol, The Official Guide</t>
  </si>
  <si>
    <t>REBOL</t>
  </si>
  <si>
    <t>Goldman,E. &amp; Blanton, J.</t>
  </si>
  <si>
    <t>IDG</t>
  </si>
  <si>
    <t>Autodesk</t>
  </si>
  <si>
    <t>AUTOCAD 14</t>
  </si>
  <si>
    <t>AUTOCAD 2006</t>
  </si>
  <si>
    <t>Wiley</t>
  </si>
  <si>
    <t>Communications</t>
  </si>
  <si>
    <t>Business Communications</t>
  </si>
  <si>
    <t>Prentice Hall</t>
  </si>
  <si>
    <t>Ultimate Modem Handbook</t>
  </si>
  <si>
    <t>Year 2000 - Y2K  Computing</t>
  </si>
  <si>
    <t>Computing General</t>
  </si>
  <si>
    <t>A+ Certification Bible</t>
  </si>
  <si>
    <t>A+ MCSE</t>
  </si>
  <si>
    <t>Tetz, Clarke, Phillips</t>
  </si>
  <si>
    <t>Microsoft Exchange Server 2003</t>
  </si>
  <si>
    <t>Redmond, T.</t>
  </si>
  <si>
    <t>Dvorak, J.C. &amp; Pirillo, C.</t>
  </si>
  <si>
    <t>Currid, C.C. &amp; Eggleston, M.A.</t>
  </si>
  <si>
    <t>Novell Press</t>
  </si>
  <si>
    <t xml:space="preserve">Netware 5 CNA Accelerated Study Guide </t>
  </si>
  <si>
    <t>NETWARE 5</t>
  </si>
  <si>
    <t>Cady, D.</t>
  </si>
  <si>
    <t>Microsoft SQL Server Introduction</t>
  </si>
  <si>
    <t>SQL SERVER</t>
  </si>
  <si>
    <t>Microsoft SQL Server 7</t>
  </si>
  <si>
    <t xml:space="preserve">SQL SERVER 7  </t>
  </si>
  <si>
    <t>McGee, B.</t>
  </si>
  <si>
    <t>SQL Server 6.5 Unleashed  (CD Missing)</t>
  </si>
  <si>
    <t>SQL SERVER 6.5</t>
  </si>
  <si>
    <t>Solomon, D. &amp; Rankins, R.</t>
  </si>
  <si>
    <t>SQL Server 7.0 Unleashed  (CD Missing)</t>
  </si>
  <si>
    <t>SQL SERVER 7.0</t>
  </si>
  <si>
    <t>Bjeletich, S. &amp; Mable, G.</t>
  </si>
  <si>
    <t>SQL Server 7.0 Database Implementation Training Kit  (CD Inc.)</t>
  </si>
  <si>
    <t>Active Server Pages 2.0</t>
  </si>
  <si>
    <t>ACTIVE SERVER</t>
  </si>
  <si>
    <t>Walther&lt; S.</t>
  </si>
  <si>
    <t>McMahon, R.A.</t>
  </si>
  <si>
    <t>Microsoft Official NetMeeting Book</t>
  </si>
  <si>
    <t>Summer, B.</t>
  </si>
  <si>
    <t>Microsoft Exchange Server  in a Nutshell</t>
  </si>
  <si>
    <t>EXCHANGE SERVER</t>
  </si>
  <si>
    <t>Tulloch, M.</t>
  </si>
  <si>
    <t>WIN  NT SERVER 4</t>
  </si>
  <si>
    <t>Majors, Dermon, &amp; Ferris</t>
  </si>
  <si>
    <t>MCSE Internet Information Server 4 for Dummies</t>
  </si>
  <si>
    <t>MCSE Windows NT Server 4 for Dummies</t>
  </si>
  <si>
    <t>Majors &amp; McTague</t>
  </si>
  <si>
    <t>MCSE Exchange Server 5.5</t>
  </si>
  <si>
    <t>WIN  NT SERVER 5.5</t>
  </si>
  <si>
    <t>Rachui, S. &amp; Simmons, c.</t>
  </si>
  <si>
    <t>Microsoft Windows NT Server 4.0 Administrators Pocket Consultant</t>
  </si>
  <si>
    <t>WIN NT SERVER 4</t>
  </si>
  <si>
    <t>Stanek, W.R.</t>
  </si>
  <si>
    <t>Windows NT TCP/IP Network Administration</t>
  </si>
  <si>
    <t>WIN NT TCP/IP</t>
  </si>
  <si>
    <t>SQL for Dummies</t>
  </si>
  <si>
    <t>SQL</t>
  </si>
  <si>
    <t>Taylor, A.</t>
  </si>
  <si>
    <t>Beginning SQL</t>
  </si>
  <si>
    <t>Wilton,P. &amp; Colby,J.</t>
  </si>
  <si>
    <t>Operating Systems</t>
  </si>
  <si>
    <t>The Multi-Boot Configuration Handbook  (CD Inc.)</t>
  </si>
  <si>
    <t>MULTI-BOOT</t>
  </si>
  <si>
    <t>The BEOS Bible</t>
  </si>
  <si>
    <t>BEOS</t>
  </si>
  <si>
    <t>Linux For Dummies (With C D)</t>
  </si>
  <si>
    <t>Witherspoon, C.</t>
  </si>
  <si>
    <t>Macromedia  Dreamweaver 8</t>
  </si>
  <si>
    <t>DREAMWEAVER 8</t>
  </si>
  <si>
    <t>Bishop, S.</t>
  </si>
  <si>
    <t>ACCESS 2000</t>
  </si>
  <si>
    <t>QUE</t>
  </si>
  <si>
    <t>ACESS97</t>
  </si>
  <si>
    <t>ACCESS97</t>
  </si>
  <si>
    <t>Access 97 Expert Solutions   (CD Missing)</t>
  </si>
  <si>
    <t>Alpha</t>
  </si>
  <si>
    <t>Access 2003 Personal Trainer</t>
  </si>
  <si>
    <t>ACCESS 2003</t>
  </si>
  <si>
    <t>Vustom Guide</t>
  </si>
  <si>
    <t>Access 2003 for Starters - The Missing Manual</t>
  </si>
  <si>
    <t>Access 2007 Quick Steps</t>
  </si>
  <si>
    <t>ACCESS 2007</t>
  </si>
  <si>
    <t>Access 2000, Step By Step</t>
  </si>
  <si>
    <t>Access 2000 Unleashed</t>
  </si>
  <si>
    <t>SAMS</t>
  </si>
  <si>
    <t>Access 2000 Developer's Guide</t>
  </si>
  <si>
    <t>MS&amp;T</t>
  </si>
  <si>
    <t>Adobe Press</t>
  </si>
  <si>
    <t>FileMaker Pro  4.0, User's Guide.</t>
  </si>
  <si>
    <t>FILEMAKER PRO 4.0</t>
  </si>
  <si>
    <t>Claris Corp.</t>
  </si>
  <si>
    <t>Linux Network Administrator's Guide</t>
  </si>
  <si>
    <t>Kirch, O. &amp; Dawson, T.</t>
  </si>
  <si>
    <t>Teach Yourself KDE 1.1  in 24 Hours</t>
  </si>
  <si>
    <t>LINUX - KDE 1.1</t>
  </si>
  <si>
    <t>Wells, N.D.</t>
  </si>
  <si>
    <t xml:space="preserve">Lindows Fast &amp; Easy </t>
  </si>
  <si>
    <t>LINUX-LINDOWS</t>
  </si>
  <si>
    <t>Linux in a Nutshell</t>
  </si>
  <si>
    <t>Siever, Spainbour,Figgins, et al</t>
  </si>
  <si>
    <t>Red Hat Linux 9 Bible</t>
  </si>
  <si>
    <t>LINUX 9</t>
  </si>
  <si>
    <t>Negus, C.</t>
  </si>
  <si>
    <t>Learning Red Hat Linux  (CD Included)</t>
  </si>
  <si>
    <t>LINUX 8</t>
  </si>
  <si>
    <t>McCarty</t>
  </si>
  <si>
    <t>Linux Mandrake</t>
  </si>
  <si>
    <t>LINUX MANDRAKE</t>
  </si>
  <si>
    <t>Mandrake Soft</t>
  </si>
  <si>
    <t>Exploring the JDS Linux Desktop</t>
  </si>
  <si>
    <t>LINUX FEDORA</t>
  </si>
  <si>
    <t>Test Driving Linux - From Windows to Linux in 60 secs ( CD Inc.)</t>
  </si>
  <si>
    <t>Brickner, C.</t>
  </si>
  <si>
    <t>Red Hat Fedora Linux 3 for Dummies (CD Inc.)</t>
  </si>
  <si>
    <t>Hall,J.M. &amp; Sery, P.G.</t>
  </si>
  <si>
    <t xml:space="preserve">Booch,  Rumbaugh, Jacobson </t>
  </si>
  <si>
    <t>e-Business - Roadmap for Success</t>
  </si>
  <si>
    <t>Palm Programming</t>
  </si>
  <si>
    <t>WINDOWS MOBILE</t>
  </si>
  <si>
    <t>Bachmann, G.</t>
  </si>
  <si>
    <t>Avoiding the Scanner Blues</t>
  </si>
  <si>
    <t>Prentice hall</t>
  </si>
  <si>
    <t>ACROBAT 4.0</t>
  </si>
  <si>
    <t>Adobe Acrobat 5.0, Classroom in a Book. (CD Inc.)+C356</t>
  </si>
  <si>
    <t>ACROBAT 5.0</t>
  </si>
  <si>
    <t>PDF Reference  3rd Edition  v1.4</t>
  </si>
  <si>
    <t>Windows 98 Installation &amp; Configuration Handbook  (CD Inc.)</t>
  </si>
  <si>
    <t>Tidrow, Rob</t>
  </si>
  <si>
    <t>Murdoch</t>
  </si>
  <si>
    <t>3dsMAX</t>
  </si>
  <si>
    <t>Adobe Encore DVD - Classroom In A Book</t>
  </si>
  <si>
    <t>ENCORE DVD</t>
  </si>
  <si>
    <t>Muska &amp; Lipman</t>
  </si>
  <si>
    <t>Pinnacle Studio For Windows</t>
  </si>
  <si>
    <t>STUDIO 8</t>
  </si>
  <si>
    <t>DVD  From Home to Hollywood</t>
  </si>
  <si>
    <t>DVD</t>
  </si>
  <si>
    <t>Video Warriors</t>
  </si>
  <si>
    <t>CD &amp; DVD Recording for Dummies</t>
  </si>
  <si>
    <t>EASY CD/DVD CREATOR</t>
  </si>
  <si>
    <t>Chambers, M.L.</t>
  </si>
  <si>
    <t>Corel Corporation</t>
  </si>
  <si>
    <t>Wireless Technology</t>
  </si>
  <si>
    <t>Flickenger, R.</t>
  </si>
  <si>
    <t>802.11 Wireless Networks. The Definitive Guide</t>
  </si>
  <si>
    <t>Gast, M.S.</t>
  </si>
  <si>
    <t>802.11 Security</t>
  </si>
  <si>
    <t>Potter, B. &amp; Fleck, B.</t>
  </si>
  <si>
    <t>Building Wireless Community Networks</t>
  </si>
  <si>
    <t>R.Flickenger</t>
  </si>
  <si>
    <t>Implementing 802.11, 802.16,and 802.20 Wireless Networks (CD Inc)</t>
  </si>
  <si>
    <t>802.11, 802.16, 802.20</t>
  </si>
  <si>
    <t>Olexa, R.</t>
  </si>
  <si>
    <t>Wireless All-in-one Desk Reference for Dummies</t>
  </si>
  <si>
    <t>Carter, T.W.</t>
  </si>
  <si>
    <t>Wireless Home Networking for Dummies</t>
  </si>
  <si>
    <t>Briere, Hurley &amp; Ferris</t>
  </si>
  <si>
    <t>Implementing 802.11, with Microcontrollers</t>
  </si>
  <si>
    <t>Eady, F.</t>
  </si>
  <si>
    <t>Wi-Fi Home Networking for Dummies - Just the Steps.</t>
  </si>
  <si>
    <t>Wireless Hacks. 100 Industrial Strength Tips &amp; Tools</t>
  </si>
  <si>
    <t>Adobe Premiere Pro  CS4 Classroom In A Book  (DVD Inc.)</t>
  </si>
  <si>
    <t>PREMIERE PRO CS4</t>
  </si>
  <si>
    <t>Educational</t>
  </si>
  <si>
    <t>Mind Hacks</t>
  </si>
  <si>
    <t>EXCHANGE 2003</t>
  </si>
  <si>
    <t>Elsevier Press</t>
  </si>
  <si>
    <t>Financial Management.</t>
  </si>
  <si>
    <t>Sanders, B.</t>
  </si>
  <si>
    <t>DreamWeaver 2 for Windows &amp; Macintosh</t>
  </si>
  <si>
    <t>Tarin Towers, J.</t>
  </si>
  <si>
    <t>Viruses</t>
  </si>
  <si>
    <t>Malicious Mobile Code</t>
  </si>
  <si>
    <t>Grimes, R.</t>
  </si>
  <si>
    <t>Viruses Revealed</t>
  </si>
  <si>
    <t>Harley, Slade, &amp; Gattiker</t>
  </si>
  <si>
    <t>Bigelow's Virus Troubleshooting Handbook</t>
  </si>
  <si>
    <t>Bigelow's S.</t>
  </si>
  <si>
    <t>Best Damn Firewall Book</t>
  </si>
  <si>
    <t>Shimonski, Shinder, Carasik-Henmi</t>
  </si>
  <si>
    <t>Computers Viruses for Dummies</t>
  </si>
  <si>
    <t>Gregory, P</t>
  </si>
  <si>
    <t>Word  Processing</t>
  </si>
  <si>
    <t>Adobe Premiere Pro, Complete Course</t>
  </si>
  <si>
    <t>Adobe After Effects 7  (CD Inc.)</t>
  </si>
  <si>
    <t>AFTER EFFECTS  7</t>
  </si>
  <si>
    <t>Hollywood Special Effects with Adobe Premiere Elements 3 (DVD Inc)</t>
  </si>
  <si>
    <t>PREMIERE ELEMENTS 3</t>
  </si>
  <si>
    <t>Producing Videos, A Complete Guide</t>
  </si>
  <si>
    <t>Pinnacle Studio 8</t>
  </si>
  <si>
    <t>PINNACLE 8</t>
  </si>
  <si>
    <t>Pinnacle systems</t>
  </si>
  <si>
    <t>Easy Digital Home movies</t>
  </si>
  <si>
    <t>WINDOWS MOVIE MAKER</t>
  </si>
  <si>
    <t>Digital Cinematography</t>
  </si>
  <si>
    <t>3D Studio Max,  Tutorials</t>
  </si>
  <si>
    <t>3D STUDIO MAX</t>
  </si>
  <si>
    <t>3D Studio Max, Fundamentals</t>
  </si>
  <si>
    <t>3ds Max 7 discreet</t>
  </si>
  <si>
    <t>Create Your Own DVD's</t>
  </si>
  <si>
    <t>Adobe Premiere Pro  CS3 Bible  (DVD Inc.)</t>
  </si>
  <si>
    <t>PREMIERE PRO CS3</t>
  </si>
  <si>
    <t>PREMIERE PRO</t>
  </si>
  <si>
    <t>Premiere pro for Windows</t>
  </si>
  <si>
    <t>Premiere Elements for Windows</t>
  </si>
  <si>
    <t>Audio for Single Camera Operation</t>
  </si>
  <si>
    <t>DVD Authoring &amp; Production  (CD Missing)</t>
  </si>
  <si>
    <t>Pinnacle Studio 10 for Windows</t>
  </si>
  <si>
    <t>PINNACLE 10</t>
  </si>
  <si>
    <t>VIDEO STUDIO 9</t>
  </si>
  <si>
    <t>Getting Results</t>
  </si>
  <si>
    <t>Adobe Premiere 6.0. Classroom in a Book</t>
  </si>
  <si>
    <t>After Effects in Production  (DVD Inc.)</t>
  </si>
  <si>
    <t>Adobe After Effects 6, Hands on Training (CD Inc.)</t>
  </si>
  <si>
    <t>lynda.com/books</t>
  </si>
  <si>
    <t>Home Theatre for Dummies</t>
  </si>
  <si>
    <t>Easy Windows Vista</t>
  </si>
  <si>
    <t>O'Hara, S.</t>
  </si>
  <si>
    <t>Top 100 Tips &amp; Tricks for Windows Vista</t>
  </si>
  <si>
    <t>The Unofficial Guide To Windows Vista</t>
  </si>
  <si>
    <t>OFFICE 97</t>
  </si>
  <si>
    <t>Teach Yourself Visually Office XP</t>
  </si>
  <si>
    <t>OFFICE XP</t>
  </si>
  <si>
    <t>Maran Graphics</t>
  </si>
  <si>
    <t>Leonhard, W.</t>
  </si>
  <si>
    <t>Office 2003 Timesaving Techniques for Dummies</t>
  </si>
  <si>
    <t>OFFICE 2003</t>
  </si>
  <si>
    <t>Office 97 Answers</t>
  </si>
  <si>
    <t>Matthews, M.D. &amp; C.B.</t>
  </si>
  <si>
    <t>Perry, G.</t>
  </si>
  <si>
    <t>Teach Yourself Visually Office 2003</t>
  </si>
  <si>
    <t>Kinkopf,s.w.</t>
  </si>
  <si>
    <t>Master Visually Office 2003</t>
  </si>
  <si>
    <t>Toot, M.S.</t>
  </si>
  <si>
    <t>Office 2003 Visual Tips</t>
  </si>
  <si>
    <t>Kinkopf, S.W.</t>
  </si>
  <si>
    <t>Discovering MS Office 2000 Premium &amp; Pro</t>
  </si>
  <si>
    <t>Easy MS Office 97</t>
  </si>
  <si>
    <t>Office 97</t>
  </si>
  <si>
    <t>Master Visually MS Office 2007</t>
  </si>
  <si>
    <t>OFFICE 2007</t>
  </si>
  <si>
    <t>Bunzel, T.</t>
  </si>
  <si>
    <t>So That's How!, 2007 Microsoft Office System Timesavers etc. (CD)</t>
  </si>
  <si>
    <t>Archilla, E. &amp; Songvilay, T.</t>
  </si>
  <si>
    <t>IOS</t>
  </si>
  <si>
    <t>Star Office 6.0 Office Suite Companion</t>
  </si>
  <si>
    <t>STAR OFFICE 6.0</t>
  </si>
  <si>
    <t>Haugland, S. &amp; Jones, F.</t>
  </si>
  <si>
    <t>Sun Microsystems Press</t>
  </si>
  <si>
    <t>Using Star Office</t>
  </si>
  <si>
    <t>Koch, M. &amp; Murray, S.</t>
  </si>
  <si>
    <t>Star Office 5.2 for Linux</t>
  </si>
  <si>
    <t>STAR OFFICE 5.2 LINUX</t>
  </si>
  <si>
    <t>Busch, D.D. &amp; Olsen, J.W.</t>
  </si>
  <si>
    <t>Using Microsoft Works 4.5</t>
  </si>
  <si>
    <t>WORKD 4.5</t>
  </si>
  <si>
    <t>Walkowski, D.</t>
  </si>
  <si>
    <t>Presenting  XML</t>
  </si>
  <si>
    <t>Internet Web Dev't</t>
  </si>
  <si>
    <t>Light, R.</t>
  </si>
  <si>
    <t>The XML Handbook</t>
  </si>
  <si>
    <t>Goldfarb &amp; Prescos</t>
  </si>
  <si>
    <t>XML &amp; Java, Developing Web Applications.  (CD Inc.)</t>
  </si>
  <si>
    <t>XML &amp; JAVA</t>
  </si>
  <si>
    <t>Maruyama, Tamura, Uramoto.</t>
  </si>
  <si>
    <t>Redmond Technology</t>
  </si>
  <si>
    <t>Windows XP Professional. Benchmark Series.</t>
  </si>
  <si>
    <t>Hollingsworth, C.N.&amp; M.C.&amp; Koers..</t>
  </si>
  <si>
    <t>Paradigm</t>
  </si>
  <si>
    <t>Windows XP Professional. Benchmark Series. Brief Edition</t>
  </si>
  <si>
    <t>Windows XP Annoyances</t>
  </si>
  <si>
    <t>Karp, D.</t>
  </si>
  <si>
    <t>Windows XP in a Nutshell</t>
  </si>
  <si>
    <t>Corel Photo-Paint 10  User Manual</t>
  </si>
  <si>
    <t>Corel Draw 7  Fonts &amp; Clip Art</t>
  </si>
  <si>
    <t>COREL 7</t>
  </si>
  <si>
    <t>Enhanced Photoshop 4</t>
  </si>
  <si>
    <t>PHOTOSHOP 4</t>
  </si>
  <si>
    <t>Photoshop Elements</t>
  </si>
  <si>
    <t>PHOTOSHOP</t>
  </si>
  <si>
    <t>Friend of ED</t>
  </si>
  <si>
    <t>PHOTOSHOP 6</t>
  </si>
  <si>
    <t>Adobe</t>
  </si>
  <si>
    <t>Mastering Photoshop 6.0</t>
  </si>
  <si>
    <t>Photoshop 6 &amp; ImageReady 3 Hands on Training</t>
  </si>
  <si>
    <t>Hayden Books</t>
  </si>
  <si>
    <t>Adobe Photoshop 5.0  Studio Techniques</t>
  </si>
  <si>
    <t>PHOTOSHOP 5</t>
  </si>
  <si>
    <t>Photoshop 7 Complete Course ( 2-CD's Inc.)</t>
  </si>
  <si>
    <t>PHOTOSHOP 7</t>
  </si>
  <si>
    <t>Professional Photoshop</t>
  </si>
  <si>
    <t xml:space="preserve">PHOTOSHOP </t>
  </si>
  <si>
    <t>Adobe Photoshop 3.0 Elements</t>
  </si>
  <si>
    <t>PHOTOSHOP 3.0</t>
  </si>
  <si>
    <t>Teach Yourself Adobe Photoshop 7 in 24 Hours</t>
  </si>
  <si>
    <t>Photoshop Elements 3 for Windows &amp; Mac</t>
  </si>
  <si>
    <t>ELEMENTS 3</t>
  </si>
  <si>
    <t>PHOTOSHOP CS 2</t>
  </si>
  <si>
    <t>Photoshop Elements Express</t>
  </si>
  <si>
    <t>ELEMENTS</t>
  </si>
  <si>
    <t>Friends of ED</t>
  </si>
  <si>
    <t>How to do everything with Photoshop Elements 2</t>
  </si>
  <si>
    <t>ELEMENTS 2</t>
  </si>
  <si>
    <t>Photoshop 4 Studio Skills (CD Included)</t>
  </si>
  <si>
    <t>PHOTOSHOP4</t>
  </si>
  <si>
    <t>Photoshop CS2 for Dummies, All-in-one Reference</t>
  </si>
  <si>
    <t xml:space="preserve">Photoshop Elements 4, Top 100 Simplified Tip &amp; Tricks </t>
  </si>
  <si>
    <t>ELEMENTS 4</t>
  </si>
  <si>
    <t>Photoshop Elements 3, The Missing Manual</t>
  </si>
  <si>
    <t>Photoshop Elements 2  - How to use……</t>
  </si>
  <si>
    <t>Photoshop Elements 5 Visual Quick Start</t>
  </si>
  <si>
    <t>ELEMENTS 5</t>
  </si>
  <si>
    <t xml:space="preserve">The Photoshop Elements 4 Book,  </t>
  </si>
  <si>
    <t>Photoshop CS3 - Visual Quickpro Guide</t>
  </si>
  <si>
    <t>PHOTOSHOP CS3</t>
  </si>
  <si>
    <t>Teach Yourself Visually Photoshop Elements 6</t>
  </si>
  <si>
    <t>ELEMENTS 6</t>
  </si>
  <si>
    <t>Guide to PowerPoint 2002</t>
  </si>
  <si>
    <t>JAVA</t>
  </si>
  <si>
    <t>Intelligent Java Applications.  (CD Inc.)</t>
  </si>
  <si>
    <t>Watson, M.</t>
  </si>
  <si>
    <t>Java 2 Platform Unleashed</t>
  </si>
  <si>
    <t>JAVA 2</t>
  </si>
  <si>
    <t>Jaworski, J.</t>
  </si>
  <si>
    <t>WINDOWS NT</t>
  </si>
  <si>
    <t>Creating Web pages for Dummies 4th Edition</t>
  </si>
  <si>
    <t>Creating Web pages for Dummies 7th Edition</t>
  </si>
  <si>
    <t>AP Professional</t>
  </si>
  <si>
    <t>Web Design for Dummies</t>
  </si>
  <si>
    <t>Lopuck, L.</t>
  </si>
  <si>
    <t>Foundation Web Design</t>
  </si>
  <si>
    <t>Bhangal,s. &amp; Jankowaski, T.</t>
  </si>
  <si>
    <t>DHTML Utopia - Modern Web Design</t>
  </si>
  <si>
    <t>Langridge, S.</t>
  </si>
  <si>
    <t>Sitepoint</t>
  </si>
  <si>
    <t>HTML Black Book</t>
  </si>
  <si>
    <t>Designing Web Interfaces</t>
  </si>
  <si>
    <t>Rees, White, &amp; White</t>
  </si>
  <si>
    <t>XHTML Example by Example</t>
  </si>
  <si>
    <t>The Web Writer's Guide</t>
  </si>
  <si>
    <t>Maciuba-Koppel, D.</t>
  </si>
  <si>
    <t>Web Designers Guide to Color</t>
  </si>
  <si>
    <t>Golding, M &amp; White, D.</t>
  </si>
  <si>
    <t>Cascading Style Sheets</t>
  </si>
  <si>
    <t>Meyer, E.</t>
  </si>
  <si>
    <t>Interactive Web Graphics</t>
  </si>
  <si>
    <t>SHOUT</t>
  </si>
  <si>
    <t>Polevoi, R.</t>
  </si>
  <si>
    <t>PHP and MySQL</t>
  </si>
  <si>
    <t>PHP &amp; SQL</t>
  </si>
  <si>
    <t>Welling, L. &amp; Thomson, L.</t>
  </si>
  <si>
    <t>Web Design In Easy Steps</t>
  </si>
  <si>
    <t>Austin, B.</t>
  </si>
  <si>
    <t>PC Music</t>
  </si>
  <si>
    <t>Vincent, R.</t>
  </si>
  <si>
    <t>PC Publishing</t>
  </si>
  <si>
    <t>Dreamweaver For Windows &amp; Macintosh</t>
  </si>
  <si>
    <t>Towers, J. T.</t>
  </si>
  <si>
    <t>Macromedia Fireworks 3</t>
  </si>
  <si>
    <t>Complete Maya Programming</t>
  </si>
  <si>
    <t>MAYA</t>
  </si>
  <si>
    <t>Gould, D.A.D.</t>
  </si>
  <si>
    <t>Python for Dummies</t>
  </si>
  <si>
    <t>PYTHON</t>
  </si>
  <si>
    <t>S. &amp; A. Maruch</t>
  </si>
  <si>
    <t>BattleBots, The Official Guide</t>
  </si>
  <si>
    <t>Robotics</t>
  </si>
  <si>
    <t>Clarkson,M.</t>
  </si>
  <si>
    <t>Build your own Combat Robot</t>
  </si>
  <si>
    <t>Miles, P. &amp; Carroll, T.</t>
  </si>
  <si>
    <t>Windows Small Business Server 2008</t>
  </si>
  <si>
    <t>WINDOWS SBS</t>
  </si>
  <si>
    <t>Small Business Server</t>
  </si>
  <si>
    <t>Neale, E.O. et al</t>
  </si>
  <si>
    <t>Computer Guide  Q&amp;A  3rd Edition</t>
  </si>
  <si>
    <t>Communicating in an IT Environment</t>
  </si>
  <si>
    <t>Eastern House</t>
  </si>
  <si>
    <t>Essentials Of IT : General  Vol,2</t>
  </si>
  <si>
    <t>Computers  7th Edition</t>
  </si>
  <si>
    <t>Broadway Books</t>
  </si>
  <si>
    <t>U.S v Microsoft</t>
  </si>
  <si>
    <t>Management Information Systems</t>
  </si>
  <si>
    <t>Get Your IT Degree &amp; Get Ahead</t>
  </si>
  <si>
    <t>The Computer Choice Computer Trouble Shooter</t>
  </si>
  <si>
    <t>Choice Books</t>
  </si>
  <si>
    <t>Information Warfare, How to survive Cyber Attacks</t>
  </si>
  <si>
    <t>Erbschloe, M.</t>
  </si>
  <si>
    <t>Osborne McGraw Hill</t>
  </si>
  <si>
    <t>Integrated Computer Projects</t>
  </si>
  <si>
    <t>EMCParadigm</t>
  </si>
  <si>
    <t>Amazon Hacks</t>
  </si>
  <si>
    <t>It's never too late to love a computer</t>
  </si>
  <si>
    <t>Workman Pub.</t>
  </si>
  <si>
    <t>Who's afraid of the Mouse? A practical women' guide.</t>
  </si>
  <si>
    <t>Random House</t>
  </si>
  <si>
    <t>The Geek Squad guide to solving any Computer Glitch</t>
  </si>
  <si>
    <t>Simon &amp; Schuster</t>
  </si>
  <si>
    <t>Peachpit Press</t>
  </si>
  <si>
    <t>Sams</t>
  </si>
  <si>
    <t>Compendium of Good Writing</t>
  </si>
  <si>
    <t>Gookin, D.</t>
  </si>
  <si>
    <t>The Mezonic Agenda</t>
  </si>
  <si>
    <t>Syngress</t>
  </si>
  <si>
    <t>Explorations in Computer Science (CD Inc.)</t>
  </si>
  <si>
    <t>Jones and Bartlett</t>
  </si>
  <si>
    <t>Open Source Software</t>
  </si>
  <si>
    <t>Elsevier</t>
  </si>
  <si>
    <t>Synergy</t>
  </si>
  <si>
    <t>The Search, How Google &amp; Rivals Rewrote the Rules ……</t>
  </si>
  <si>
    <t>GOOGLE</t>
  </si>
  <si>
    <t>Nicholas Brealey Publishing</t>
  </si>
  <si>
    <t>Computer Guide 4th edition</t>
  </si>
  <si>
    <t>Digital Audio Technology</t>
  </si>
  <si>
    <t>Digital Audio</t>
  </si>
  <si>
    <t>Databases</t>
  </si>
  <si>
    <t>Switching to the Mac. The Missing Manual.</t>
  </si>
  <si>
    <t>Computing Macintosh</t>
  </si>
  <si>
    <t>Pogue, D.</t>
  </si>
  <si>
    <t>Pogue Press, O'Reilly</t>
  </si>
  <si>
    <t>Programming MapPoint in .NET</t>
  </si>
  <si>
    <t>Mapping</t>
  </si>
  <si>
    <t>Thota,C.</t>
  </si>
  <si>
    <t>Mapping Hacks, Tips &amp; Tools for Electronic Cartography</t>
  </si>
  <si>
    <t>Erle, Gibson, &amp; Walsh</t>
  </si>
  <si>
    <t>Web Mapping</t>
  </si>
  <si>
    <t>Mitchell, T.</t>
  </si>
  <si>
    <t>Ambient Findability</t>
  </si>
  <si>
    <t>Morville, P.</t>
  </si>
  <si>
    <t>Multimedia</t>
  </si>
  <si>
    <t>Macromedia</t>
  </si>
  <si>
    <t>FLASH 5</t>
  </si>
  <si>
    <t>Sahlin, D.</t>
  </si>
  <si>
    <t>ActionScript, The Definitive Guide</t>
  </si>
  <si>
    <t>ACTIONSCRIPT</t>
  </si>
  <si>
    <t>The Essential Client/Server Survival Guide.  3rd Edition.</t>
  </si>
  <si>
    <t>Orfali, Harkey &amp; Edwards.</t>
  </si>
  <si>
    <t>Wiley &amp; Sons</t>
  </si>
  <si>
    <t>Master Visually Windows Mobile 2003</t>
  </si>
  <si>
    <t>Landon, B. Miller, M.</t>
  </si>
  <si>
    <t>Internet</t>
  </si>
  <si>
    <t>Internet Guide for Seniors</t>
  </si>
  <si>
    <t>Mr. Modem</t>
  </si>
  <si>
    <t>Spreadsheet Check &amp; Control</t>
  </si>
  <si>
    <t>O'Beirne, P.</t>
  </si>
  <si>
    <t>Systems Publishing</t>
  </si>
  <si>
    <t>Excel 2003 Visual Quick Tips</t>
  </si>
  <si>
    <t>Excel 2003 for Dummies - Just the Steps</t>
  </si>
  <si>
    <t>Excel for Starters. The Missing Manual</t>
  </si>
  <si>
    <t>EXCEL 2002</t>
  </si>
  <si>
    <t>MacDonald, M.</t>
  </si>
  <si>
    <t>Excel 97 Programming for Dummies</t>
  </si>
  <si>
    <t>Step by Step Excel 97 Visual Basic</t>
  </si>
  <si>
    <t>Jacobson, R.</t>
  </si>
  <si>
    <t>Excel 97 for Dummies</t>
  </si>
  <si>
    <t>Hungry Minds Inc.</t>
  </si>
  <si>
    <t>Excel 2007</t>
  </si>
  <si>
    <t>EXCEL 2007</t>
  </si>
  <si>
    <t>Microsoft Excel 2007, Inside Out</t>
  </si>
  <si>
    <t>Dodge, M. &amp; Stinson, C.</t>
  </si>
  <si>
    <t>Microsoft Word V2002</t>
  </si>
  <si>
    <t>WORD 2002</t>
  </si>
  <si>
    <t>INDESIGN</t>
  </si>
  <si>
    <t>ComputerStep</t>
  </si>
  <si>
    <t>Adobe InDesign 2.0, A User's Guide</t>
  </si>
  <si>
    <t>INDESIGN 2.0</t>
  </si>
  <si>
    <t>Digital Video</t>
  </si>
  <si>
    <t>Revolutionary Premiere 6</t>
  </si>
  <si>
    <t>PREMIERE 6</t>
  </si>
  <si>
    <t>friends of ED</t>
  </si>
  <si>
    <t>Non Linear Editing Basics. Film &amp; Video Editing</t>
  </si>
  <si>
    <t>CMP Books</t>
  </si>
  <si>
    <t xml:space="preserve">Shinder, D.L. &amp; Shinder, T.W. </t>
  </si>
  <si>
    <t>SNMP v1 &amp; 2.  Simple Network Management Protocol.</t>
  </si>
  <si>
    <t>Hein, M. &amp; Griffiths, D.</t>
  </si>
  <si>
    <t>International Thomson</t>
  </si>
  <si>
    <t>Kerberos - A Network Authentication System</t>
  </si>
  <si>
    <t>KERBEROS</t>
  </si>
  <si>
    <t>Tung, K.</t>
  </si>
  <si>
    <t>IP Addressing &amp; Subnetting</t>
  </si>
  <si>
    <t>Synpress</t>
  </si>
  <si>
    <t>MCSE  Windows 2000 Accelerated, Test Yourself (CD Included)</t>
  </si>
  <si>
    <t>MCSE  Windows 2000 Accelerated, Instructor's Pack. (CD Included)</t>
  </si>
  <si>
    <t>Delivering Voice over IP Networks</t>
  </si>
  <si>
    <t>PC Anywhere for Dummies</t>
  </si>
  <si>
    <t>Using Networks</t>
  </si>
  <si>
    <t xml:space="preserve">Derfler, F.J. </t>
  </si>
  <si>
    <t>Premiere 6 for Macintosh &amp; Windows  (14A)</t>
  </si>
  <si>
    <t>Digital Video in Easy Steps</t>
  </si>
  <si>
    <t>Computer Step</t>
  </si>
  <si>
    <t>Underdahl, K.</t>
  </si>
  <si>
    <t>Pinnacle Studio For Windows  9</t>
  </si>
  <si>
    <t>PINNACLE 9</t>
  </si>
  <si>
    <t>Hacking Windows Vista</t>
  </si>
  <si>
    <t>Sinchak, S.</t>
  </si>
  <si>
    <t>Minoli, D &amp; G.</t>
  </si>
  <si>
    <t>Garfinkel S.</t>
  </si>
  <si>
    <t>Front Page 2000 for Busy People.</t>
  </si>
  <si>
    <t>FRONTPAGE</t>
  </si>
  <si>
    <t>Crumlish,C.</t>
  </si>
  <si>
    <t>FrontPage 2000 - The Complete Reference (CD-Included)</t>
  </si>
  <si>
    <t>HTML &amp; XHTML- The Definitive Guide</t>
  </si>
  <si>
    <t>HTML &amp; XHTML</t>
  </si>
  <si>
    <t>Musciano, C. &amp; Kennedy, B.</t>
  </si>
  <si>
    <t>O’Reilly &amp; Assoc.</t>
  </si>
  <si>
    <t>XML Complete</t>
  </si>
  <si>
    <t>XML</t>
  </si>
  <si>
    <t>Holzner, S.</t>
  </si>
  <si>
    <t>The Australian Guide to the Internet</t>
  </si>
  <si>
    <t>Stevenson, T.</t>
  </si>
  <si>
    <t>Hacker, S.</t>
  </si>
  <si>
    <t>Advanced Internet Technologies</t>
  </si>
  <si>
    <t>Black, U.</t>
  </si>
  <si>
    <t>TCP/IP and Related Protocols</t>
  </si>
  <si>
    <t>TCP/IP</t>
  </si>
  <si>
    <t>Frontpage 2002 Weekend Crash Course (CD Inc.)</t>
  </si>
  <si>
    <t>Butow, E.</t>
  </si>
  <si>
    <t>Microsoft Frontpage 2002 Unleashed (CD Inc.)</t>
  </si>
  <si>
    <t>I Want My MP3  (CD Inc.)</t>
  </si>
  <si>
    <t>Mann, Bill</t>
  </si>
  <si>
    <t>Australian Guide to online Business</t>
  </si>
  <si>
    <t>Blank, A.G.</t>
  </si>
  <si>
    <t>TCP/IP Jump Start - Internet Protocol Basics</t>
  </si>
  <si>
    <t>Using Microsoft SQL Server 7</t>
  </si>
  <si>
    <t>SQL SERVER 7</t>
  </si>
  <si>
    <t xml:space="preserve">Wynkoop, S. </t>
  </si>
  <si>
    <t>ASP  in a Nutshell. A Desktop Reference</t>
  </si>
  <si>
    <t>ASP</t>
  </si>
  <si>
    <t>Weissinger, A.K.</t>
  </si>
  <si>
    <t>Internet QoS  Quality of Service</t>
  </si>
  <si>
    <t>Zheng Wand</t>
  </si>
  <si>
    <t>Lucent Technologies</t>
  </si>
  <si>
    <t xml:space="preserve"> Flash 4 Creative Web Animation  (CD Included)</t>
  </si>
  <si>
    <t>FLASH 4</t>
  </si>
  <si>
    <t>Franklin, D. &amp; Patton, B.</t>
  </si>
  <si>
    <t>Macromedia Press</t>
  </si>
  <si>
    <t>Start, the No Nonsense Guide to Windows XP</t>
  </si>
  <si>
    <t>Wang, W.</t>
  </si>
  <si>
    <t>Windows XP Hacks</t>
  </si>
  <si>
    <t>Absolute Beginner's Guide to Windows XP</t>
  </si>
  <si>
    <t>Windows XP Unwired</t>
  </si>
  <si>
    <t>Wei-Meng Lee</t>
  </si>
  <si>
    <t>How to do Everything with Windows XP  (2nd Edition)</t>
  </si>
  <si>
    <t>PC Annoyances</t>
  </si>
  <si>
    <t>Degunking Windows</t>
  </si>
  <si>
    <t>Ballew, J. &amp; Duntemann, J.</t>
  </si>
  <si>
    <t>Paraglyph Press</t>
  </si>
  <si>
    <t>Windows XP Personal Trainer  (CD. Inc.)</t>
  </si>
  <si>
    <t>Win XP, 50 Things you should know. Covers SP/2.</t>
  </si>
  <si>
    <t>WINDOWS XP (inc SP/2)</t>
  </si>
  <si>
    <t>Karp, O'Reilly &amp; Mott</t>
  </si>
  <si>
    <t>Windows XP, The Missing Manual</t>
  </si>
  <si>
    <t>Windows XP pro, The Missing Manual</t>
  </si>
  <si>
    <t>Pogue, Zacker, &amp; Zacker</t>
  </si>
  <si>
    <t>Visual Basic Shell Programming</t>
  </si>
  <si>
    <t>Hamilton, J.</t>
  </si>
  <si>
    <t>Visual Basic &amp; SQL Server   (CD Inc)</t>
  </si>
  <si>
    <t>Vaughan, W.R.</t>
  </si>
  <si>
    <t>Filemaker Pro 4 Bible</t>
  </si>
  <si>
    <t>Creating JavaBeans  (CD Inc,)</t>
  </si>
  <si>
    <t>JAVABEANS</t>
  </si>
  <si>
    <t>Constructing Intelligent Agents with Java  (CD Inc.)+C677</t>
  </si>
  <si>
    <t>Bigus, Joseph.P. &amp; Jennifer.</t>
  </si>
  <si>
    <t>Java Network Programming</t>
  </si>
  <si>
    <t>Harold, E.R.</t>
  </si>
  <si>
    <t>Java &amp; Xml</t>
  </si>
  <si>
    <t>JAVA &amp; XML</t>
  </si>
  <si>
    <t>McLaughlin, B.</t>
  </si>
  <si>
    <t>Definitive Guide to Swing for Java 2, 2nd Edition</t>
  </si>
  <si>
    <t>Zukowski, J.</t>
  </si>
  <si>
    <t>Java Tools for Extreme Programming</t>
  </si>
  <si>
    <t>Hightower,R. &amp; Lesiecki, N.</t>
  </si>
  <si>
    <t>Java in a Nutshell</t>
  </si>
  <si>
    <t>Flanagan, D.</t>
  </si>
  <si>
    <t>Java Enterprise in a Nutshell</t>
  </si>
  <si>
    <t>Farley, Crawford, Flanagan.</t>
  </si>
  <si>
    <t>J2ME in a Nutshell</t>
  </si>
  <si>
    <t>Topley, K.</t>
  </si>
  <si>
    <t>Easttom.C.</t>
  </si>
  <si>
    <t>Wordware Publishing</t>
  </si>
  <si>
    <t>JavaScript, A Beginner's Guide.</t>
  </si>
  <si>
    <t>Pollock, J.</t>
  </si>
  <si>
    <t>Learn Java Script</t>
  </si>
  <si>
    <t>Swing</t>
  </si>
  <si>
    <t>JAVA SWING</t>
  </si>
  <si>
    <t>Darnell, R.</t>
  </si>
  <si>
    <t>Presenting Java Beans</t>
  </si>
  <si>
    <t>Morrison.M.</t>
  </si>
  <si>
    <t>Head First Java</t>
  </si>
  <si>
    <t>Sierra,K. &amp; Bates,B.</t>
  </si>
  <si>
    <t>Java 5 Illuminated</t>
  </si>
  <si>
    <t>JAVA 5</t>
  </si>
  <si>
    <t>Anderson, J. &amp; Franceschi, H.</t>
  </si>
  <si>
    <t>Jones &amp; Bartlett</t>
  </si>
  <si>
    <t>Learning Java Script</t>
  </si>
  <si>
    <t>JAVA SCRIPT</t>
  </si>
  <si>
    <t>Powers, S.</t>
  </si>
  <si>
    <t>JavaScript - The Definitive Guide</t>
  </si>
  <si>
    <t>Java development with the Spring Framework</t>
  </si>
  <si>
    <t>Johnson, Hoeller, Arendsen, et al</t>
  </si>
  <si>
    <t>Using JavaScript   Special Edition</t>
  </si>
  <si>
    <t>McFedries P.</t>
  </si>
  <si>
    <t>Java Script Bible 3rd Edition</t>
  </si>
  <si>
    <t>Goodman, D.</t>
  </si>
  <si>
    <t>Java In Plain English</t>
  </si>
  <si>
    <t>Overland, B.</t>
  </si>
  <si>
    <t>McGraw Hill</t>
  </si>
  <si>
    <t>Morgan Kaufmann</t>
  </si>
  <si>
    <t>Academic Press</t>
  </si>
  <si>
    <t>Computer Guide  Q&amp;A  2nd Edition</t>
  </si>
  <si>
    <t>George Skarbek</t>
  </si>
  <si>
    <t>Database Nation.  The Death of Privacy in 21st Century</t>
  </si>
  <si>
    <t>O'Reilly</t>
  </si>
  <si>
    <t>Perl in a Nutshell.  The Perl CD Bookshelf  (2 CD's Inc.)</t>
  </si>
  <si>
    <t>PERL</t>
  </si>
  <si>
    <t>Seiver, Spainbour, &amp; Patwardhan</t>
  </si>
  <si>
    <t>Learning Perl</t>
  </si>
  <si>
    <t>Schwartz &amp; Christiansen</t>
  </si>
  <si>
    <t>Perl in a Nutshell.  2nd Edition, The Perl CD Bookshelf  (2 CD's Inc.)</t>
  </si>
  <si>
    <t>PERL  3.0</t>
  </si>
  <si>
    <t>Patwardhan, Siever, Spainbour.</t>
  </si>
  <si>
    <t>PERL for Dummies</t>
  </si>
  <si>
    <t>PERL 5.8</t>
  </si>
  <si>
    <t>Hoffman, P.</t>
  </si>
  <si>
    <t>Web, Graphics &amp; Perl/Tk</t>
  </si>
  <si>
    <t>Orwant, J.</t>
  </si>
  <si>
    <t>Perl Graphics Programmes</t>
  </si>
  <si>
    <t>Wallace, S.</t>
  </si>
  <si>
    <t>Introduction to CGI / Perl</t>
  </si>
  <si>
    <t>CGI / PERL</t>
  </si>
  <si>
    <t>Brenner, S. 7 Aoki, E.</t>
  </si>
  <si>
    <t>MST Books</t>
  </si>
  <si>
    <t>Microsoft</t>
  </si>
  <si>
    <t>Essential Skills</t>
  </si>
  <si>
    <t>Teach Yourself HTML and XHTML in 24 hours</t>
  </si>
  <si>
    <t>Oliver, Dick</t>
  </si>
  <si>
    <t>Teach Yourself JavaScript in 24 hours</t>
  </si>
  <si>
    <t>JAVASCRIPT</t>
  </si>
  <si>
    <t>Moncur, Michael</t>
  </si>
  <si>
    <t xml:space="preserve">Web warrior Series - XML </t>
  </si>
  <si>
    <t>McKinnon, Al &amp; Linda</t>
  </si>
  <si>
    <t>The FreeBSD Handbook (3 ed): Volume 1: User Guide</t>
  </si>
  <si>
    <t>FREEBSD</t>
  </si>
  <si>
    <t>Stokely, M &amp; Lee C</t>
  </si>
  <si>
    <t>FreeBSD Mall</t>
  </si>
  <si>
    <t>The FreeBSD Handbook (3 ed): Volume 2: Admin Guide</t>
  </si>
  <si>
    <t>Stokely, M</t>
  </si>
  <si>
    <t>Perl for Oracle DBAs</t>
  </si>
  <si>
    <t>Duncan, A &amp; Still, J</t>
  </si>
  <si>
    <t>Practical PostgreSQL</t>
  </si>
  <si>
    <t>worsley, J C &amp; Drake, J D</t>
  </si>
  <si>
    <t>Win32 Perl Programming The Standard Extensions</t>
  </si>
  <si>
    <t>Roth, D</t>
  </si>
  <si>
    <t>Ajax Hacks</t>
  </si>
  <si>
    <t>AJAX</t>
  </si>
  <si>
    <t>Perry, B W</t>
  </si>
  <si>
    <t>Absolute Open BSD</t>
  </si>
  <si>
    <t>Lucas, M W</t>
  </si>
  <si>
    <t>WINDOWS N T</t>
  </si>
  <si>
    <t>Hoffmeyer, Aaron et al.</t>
  </si>
  <si>
    <t>Teach Yourself Windows NT 4  In 24 Hours</t>
  </si>
  <si>
    <t>Kenley, M.</t>
  </si>
  <si>
    <t>WINDOWS NT4.0</t>
  </si>
  <si>
    <t>Rathbone, A. &amp; Crawford, S.</t>
  </si>
  <si>
    <t>Windows NT in a nutshell</t>
  </si>
  <si>
    <t>Flash ActionScript, f/x &amp; Design   (CD Inc.)</t>
  </si>
  <si>
    <t>FLASH ACTIONSCRIPT</t>
  </si>
  <si>
    <t>Head First Servlets &amp; JSP</t>
  </si>
  <si>
    <t>SERVLETS &amp; JSP</t>
  </si>
  <si>
    <t>Basham, Sierra, bates.</t>
  </si>
  <si>
    <t>Home Networking for Dummies</t>
  </si>
  <si>
    <t>Network Security Hacks</t>
  </si>
  <si>
    <t>Lockhart, A.</t>
  </si>
  <si>
    <t>Networking Complete</t>
  </si>
  <si>
    <t>Get Cisco Certified &amp; Get Ahead</t>
  </si>
  <si>
    <t>CISCO</t>
  </si>
  <si>
    <t>Martinez, A.</t>
  </si>
  <si>
    <t>Cisco Voice over IP</t>
  </si>
  <si>
    <t>Lewis, E.</t>
  </si>
  <si>
    <t>Cisco  TCP/IP  Routing Professional Reference</t>
  </si>
  <si>
    <t xml:space="preserve">CISCO  TCP/IP </t>
  </si>
  <si>
    <t>Lewis, C.</t>
  </si>
  <si>
    <t>CCIE Prep.com Study Guide</t>
  </si>
  <si>
    <t>Rossi, L.D., L.R., Thomas.</t>
  </si>
  <si>
    <t>Genium Publishing</t>
  </si>
  <si>
    <t>Network Troubleshooting Tools</t>
  </si>
  <si>
    <t>Sloan, J.D.</t>
  </si>
  <si>
    <t>How Networks Work</t>
  </si>
  <si>
    <t>Derfler, F.J. &amp; Freed, L.</t>
  </si>
  <si>
    <t>Introduction to Information Systems</t>
  </si>
  <si>
    <t>O'Brien, J.A.</t>
  </si>
  <si>
    <t>Desktop Scanners</t>
  </si>
  <si>
    <t>Gann, Robert G (Ph.D)</t>
  </si>
  <si>
    <t>Evaluation</t>
  </si>
  <si>
    <t>InDesign CS (in easy steps)</t>
  </si>
  <si>
    <t>Shufflebotham, R</t>
  </si>
  <si>
    <t>DVD Confidential 2 the Sequel</t>
  </si>
  <si>
    <t>Saltzman, M</t>
  </si>
  <si>
    <t>Grant, T</t>
  </si>
  <si>
    <t>Corel R.A.V.E. User Manual</t>
  </si>
  <si>
    <t>Photoshop Restoration and Retouching</t>
  </si>
  <si>
    <t>Eismann, K</t>
  </si>
  <si>
    <t>The Book of SCSI (2nd Edition)</t>
  </si>
  <si>
    <t>Google Hacks</t>
  </si>
  <si>
    <t xml:space="preserve">Calishain, T &amp; Dornfest,  R </t>
  </si>
  <si>
    <t>Professional PHP Programming</t>
  </si>
  <si>
    <t>Castagnetto, Rawat, Schumann, Scollo, Veliath</t>
  </si>
  <si>
    <t>Several</t>
  </si>
  <si>
    <t>The Complete Idiot's Guide to Creating Your Own CDs</t>
  </si>
  <si>
    <t>Ogtree, T. W.</t>
  </si>
  <si>
    <t>Introduction to Data Communications &amp; Networking</t>
  </si>
  <si>
    <t>Forouzian&lt; B.</t>
  </si>
  <si>
    <t>Introduction to Networking - 2nd Edition</t>
  </si>
  <si>
    <t>Sybex</t>
  </si>
  <si>
    <t>Nash, Duane, Joseph, &amp; Brink.</t>
  </si>
  <si>
    <t>RSA Security Official Guide to Cryptography</t>
  </si>
  <si>
    <t>Burnett,S. &amp; Paine, S.</t>
  </si>
  <si>
    <t>Have you locked the Castle gate?</t>
  </si>
  <si>
    <t>Shea, B.</t>
  </si>
  <si>
    <t>CISSP for Dummies</t>
  </si>
  <si>
    <t>Miller, L. &amp; Gregory, P.</t>
  </si>
  <si>
    <t>Computer Forensics</t>
  </si>
  <si>
    <t>Kruse,W.G. &amp; Heiser,J.G.</t>
  </si>
  <si>
    <t>Computer Security, Employee Handbook</t>
  </si>
  <si>
    <t>Rothke, B.</t>
  </si>
  <si>
    <t>Hacking Exposed (2nd Edition)</t>
  </si>
  <si>
    <t>Scambray, McClure, &amp; Kurz.</t>
  </si>
  <si>
    <t>Hacker Attack</t>
  </si>
  <si>
    <t>Mansfield</t>
  </si>
  <si>
    <t>Hacking Web Applications Exposed</t>
  </si>
  <si>
    <t>Scambray, J. &amp; Shema, M.</t>
  </si>
  <si>
    <t>Incident Response</t>
  </si>
  <si>
    <t>Mandia, K. &amp; Prosise, C.</t>
  </si>
  <si>
    <t>Hack Attacks Encyclopedia</t>
  </si>
  <si>
    <t>Chirillo, J.</t>
  </si>
  <si>
    <t>Information Systems Security Officers Guide</t>
  </si>
  <si>
    <t>Kovacick, G.L.</t>
  </si>
  <si>
    <t>Butterworth Heineman</t>
  </si>
  <si>
    <t>Security Warrior</t>
  </si>
  <si>
    <t xml:space="preserve">Upgrading &amp; Repairing  P C’s  10th Edition        </t>
  </si>
  <si>
    <t>D V D Demystified (With D V D Disk)</t>
  </si>
  <si>
    <t>Hardware Disks</t>
  </si>
  <si>
    <t>Essentials of Digital Photography</t>
  </si>
  <si>
    <t>Kasai, Sparkman, Hurley</t>
  </si>
  <si>
    <t>Digital Photography for Dummies</t>
  </si>
  <si>
    <t>Digital Photography Pocket Guide</t>
  </si>
  <si>
    <t>Digital Photography - Expert techniques</t>
  </si>
  <si>
    <t>Digital Photography Essentials  (CD Inc.)</t>
  </si>
  <si>
    <t>Camera Phone Obsession</t>
  </si>
  <si>
    <t>Paraglyph</t>
  </si>
  <si>
    <t>Digital Photography for Dummies, 7 Books in 1</t>
  </si>
  <si>
    <t>King, J.A.</t>
  </si>
  <si>
    <t>Hewlett-Packard's Official Scanner Handbook</t>
  </si>
  <si>
    <t>HEWLETT_PACKARD</t>
  </si>
  <si>
    <t>Hardware Scanners</t>
  </si>
  <si>
    <t>Pro Linux System Administration</t>
  </si>
  <si>
    <t>Turnbull, Lieverdink, &amp; Matotek</t>
  </si>
  <si>
    <t>Real World Scanning &amp; Halftones</t>
  </si>
  <si>
    <t>Color Scanning Handbook</t>
  </si>
  <si>
    <t>Prentice Hall PTR</t>
  </si>
  <si>
    <t>How to do Everything with Your Scanner</t>
  </si>
  <si>
    <t>Osborne</t>
  </si>
  <si>
    <t>Scanner Handbook 2nd Edition</t>
  </si>
  <si>
    <t>Desktop Publishing</t>
  </si>
  <si>
    <t>Mis Press</t>
  </si>
  <si>
    <t>Adobe Acrobat 4.0</t>
  </si>
  <si>
    <t>Excel Annoyances</t>
  </si>
  <si>
    <t>Frye, C.</t>
  </si>
  <si>
    <t>Writing Excel Macros</t>
  </si>
  <si>
    <t>Roman,S.</t>
  </si>
  <si>
    <t>Excel Timesaving Techniques for Dummies</t>
  </si>
  <si>
    <t>Harvey,G.</t>
  </si>
  <si>
    <t>Excel 2003 , A Developer's Notebook</t>
  </si>
  <si>
    <t>Webb, J.</t>
  </si>
  <si>
    <t>Excel, The Missing Manual</t>
  </si>
  <si>
    <t>MacDonald</t>
  </si>
  <si>
    <t>Palm Organizers</t>
  </si>
  <si>
    <t>PALM</t>
  </si>
  <si>
    <t>Carlson, J.</t>
  </si>
  <si>
    <t>Palm OS Programming from the Ground Up</t>
  </si>
  <si>
    <t>Mykland, R.</t>
  </si>
  <si>
    <t>Palm Handheld.  Everything to do with your,</t>
  </si>
  <si>
    <t>Johnson, D. &amp; Broida, R.</t>
  </si>
  <si>
    <t>McPherson, F.</t>
  </si>
  <si>
    <t>Palm for Dummies</t>
  </si>
  <si>
    <t>Dyszel, B.</t>
  </si>
  <si>
    <t>Maxwell, G.</t>
  </si>
  <si>
    <t>Palm Computing in Easy Steps</t>
  </si>
  <si>
    <t>Preston, G.</t>
  </si>
  <si>
    <t>Adobe Acrobat 3.0  Classroom in a Book. (CD Missing)</t>
  </si>
  <si>
    <t>ACROBAT 3</t>
  </si>
  <si>
    <t>Acrobat PDF Bible</t>
  </si>
  <si>
    <t>IDG Books</t>
  </si>
  <si>
    <t>Acrobat 5 PDF  Bible</t>
  </si>
  <si>
    <t>Hungry Minds</t>
  </si>
  <si>
    <t>PDF with Acrobat 4</t>
  </si>
  <si>
    <t>Peachpit</t>
  </si>
  <si>
    <t>Microsoft Press</t>
  </si>
  <si>
    <t>Digital Photography</t>
  </si>
  <si>
    <t>Silver Lining Books</t>
  </si>
  <si>
    <t>Digital Photography!  I didn't know you could that. (CD Inc.)</t>
  </si>
  <si>
    <t>Dictionary of Photography &amp; Digital Imaging</t>
  </si>
  <si>
    <t>Argentum</t>
  </si>
  <si>
    <t>A Simple Guide to Digital Photography</t>
  </si>
  <si>
    <t>Better Photography Pub'g.</t>
  </si>
  <si>
    <t>The Everything Digital Photography Book</t>
  </si>
  <si>
    <t>Adams Media Corp'n.</t>
  </si>
  <si>
    <t>How to do Everything with your Digital Camera</t>
  </si>
  <si>
    <t>The Unified Modelling Language</t>
  </si>
  <si>
    <t>Pearce, E.</t>
  </si>
  <si>
    <t>Windows NT User Administration</t>
  </si>
  <si>
    <t>Mefggitt, A.J. &amp; Ritchey T. D.</t>
  </si>
  <si>
    <t>Teach Yourself Windows NT Workstation 4</t>
  </si>
  <si>
    <t>Plumley, S. &amp; Cassel P.</t>
  </si>
  <si>
    <t>Windows NT Workstation 4 for Dummies</t>
  </si>
  <si>
    <t>UNIX</t>
  </si>
  <si>
    <t>WINDOWS VISTA</t>
  </si>
  <si>
    <t>Windows Vista Product Guide</t>
  </si>
  <si>
    <t>Windows Vista - Consumer Experience Guide</t>
  </si>
  <si>
    <t>Easy Microsoft Windows Vista</t>
  </si>
  <si>
    <t>Windows Vista - Quick Steps</t>
  </si>
  <si>
    <t>Matthews, M.</t>
  </si>
  <si>
    <t>Kotecha, H.</t>
  </si>
  <si>
    <t>Microsoft Windows Vista - Visual Quickstart Guide</t>
  </si>
  <si>
    <t>Fehily, C.</t>
  </si>
  <si>
    <t>Build &amp; Upgrade Your Own PC</t>
  </si>
  <si>
    <t>Pc Hardware annoyances</t>
  </si>
  <si>
    <t>NOVELL NETWARE 6.5</t>
  </si>
  <si>
    <t>Harris, J.</t>
  </si>
  <si>
    <t>MCSE Readiness Review.  Windows NT Server 4.0 (CD Missing)</t>
  </si>
  <si>
    <t>SERVER 4.0</t>
  </si>
  <si>
    <t>Wilansky, E.</t>
  </si>
  <si>
    <t>Semick, J.</t>
  </si>
  <si>
    <t>MCSE Simulation Guide, Windows NT Server 4 &amp; Enterprise</t>
  </si>
  <si>
    <t>Bixler, D.</t>
  </si>
  <si>
    <t>MCSE NT Server 4 &amp; in the Enterprise</t>
  </si>
  <si>
    <t>Donald,L. &amp; Chellis, J.</t>
  </si>
  <si>
    <t>MCSE Networking Essentials 2nd Edition (CD Included)</t>
  </si>
  <si>
    <t>MCSE Internet Information Server 4 Training  (CD Missing)</t>
  </si>
  <si>
    <t>MCSE Proxy Server 2.0 Training (CD Missing)</t>
  </si>
  <si>
    <t>PROXY SERVER 2.0</t>
  </si>
  <si>
    <t>MCSE Internet Information Server 4 for Dummies (CD Missing)</t>
  </si>
  <si>
    <t>Iseminger, D.</t>
  </si>
  <si>
    <t>MCSE Windows NT Workstation 4 (CD Missing)</t>
  </si>
  <si>
    <t>Kendzierski, M.</t>
  </si>
  <si>
    <t>MCSE IIS 4 Exam 70-087</t>
  </si>
  <si>
    <t>Stewart,J.M. &amp; Chandak, R&gt;</t>
  </si>
  <si>
    <t>Shift, The Unfolding Internet</t>
  </si>
  <si>
    <t>Burman, E.</t>
  </si>
  <si>
    <t>Online!  The Book</t>
  </si>
  <si>
    <t>Intuit</t>
  </si>
  <si>
    <t>Quicken Version 7 for Windows</t>
  </si>
  <si>
    <t>QUICKEN 7</t>
  </si>
  <si>
    <t>QuickBooks &amp; QuickBooks Pro Version 7.  User Guide</t>
  </si>
  <si>
    <t>QUICKBOOKS PRO 7</t>
  </si>
  <si>
    <t>QuickBooks for Dummies, Australian Edition</t>
  </si>
  <si>
    <t>QUICKBOOKS</t>
  </si>
  <si>
    <t xml:space="preserve">QuickBooks For Dummies,  8 Books in 1 </t>
  </si>
  <si>
    <t>QuickBooks &amp; QuickBooks Pro User Guide  Ver 7</t>
  </si>
  <si>
    <t>QUICKBOOKS 7</t>
  </si>
  <si>
    <t>Reckon Ltd</t>
  </si>
  <si>
    <t>QuickBooks QB</t>
  </si>
  <si>
    <t>QUICKBOOKS QB</t>
  </si>
  <si>
    <t>Games</t>
  </si>
  <si>
    <t>Dvorak's Guide to PC Games (F.Disk Missing)</t>
  </si>
  <si>
    <t>Dvorak</t>
  </si>
  <si>
    <t>Ayres, J.</t>
  </si>
  <si>
    <t>LEGO</t>
  </si>
  <si>
    <t>Baum, Gasperi, Hempel, &amp; Villa</t>
  </si>
  <si>
    <t>Apress</t>
  </si>
  <si>
    <t>Designing 3D Games that sell. (CD Inc.)</t>
  </si>
  <si>
    <t>Charles River media</t>
  </si>
  <si>
    <t>LEGO Mindstorms for Dummies  (CD Inc.)</t>
  </si>
  <si>
    <t>Ultimate Game Design</t>
  </si>
  <si>
    <t>The Rise of Computer Game Culture</t>
  </si>
  <si>
    <t>Essential Mathematics for Games &amp; Interactive App's (CD Inc.)</t>
  </si>
  <si>
    <t>Director MX 2004 Games (CD Inc.)</t>
  </si>
  <si>
    <t>DIRECTOR MX</t>
  </si>
  <si>
    <t>MYOB Software for Dummies</t>
  </si>
  <si>
    <t>Simplified Windows XP, SP2 Edition</t>
  </si>
  <si>
    <t>Windows XP Home Edition - The Missing Manual</t>
  </si>
  <si>
    <t>WINDOWS XP (Home)</t>
  </si>
  <si>
    <t>Windows XP Visual Encyclopedia</t>
  </si>
  <si>
    <t>Chase, K. &amp; Boyce, J.</t>
  </si>
  <si>
    <t>Windows XP Visual Quick Tips</t>
  </si>
  <si>
    <t>McFedries</t>
  </si>
  <si>
    <t>Windows XP Command Line</t>
  </si>
  <si>
    <t>Gillay, C.Z. &amp; Peat, B.A.</t>
  </si>
  <si>
    <t>Franklin Beadle &amp; Assoc.</t>
  </si>
  <si>
    <t>Build Your Smart Home</t>
  </si>
  <si>
    <t>Projects</t>
  </si>
  <si>
    <t>Elsenpeter, R.C. &amp; Velte, T.J.</t>
  </si>
  <si>
    <t>McGraw Hill.</t>
  </si>
  <si>
    <t>Teach Yourself Microsoft Project 98</t>
  </si>
  <si>
    <t>PROJECT 98</t>
  </si>
  <si>
    <t>Pyron, T.</t>
  </si>
  <si>
    <t>Beginning Programming for Dummies</t>
  </si>
  <si>
    <t>Programming</t>
  </si>
  <si>
    <t>Understanding  UML</t>
  </si>
  <si>
    <t>UML</t>
  </si>
  <si>
    <t>Harmon, P, &amp; Watson, M.</t>
  </si>
  <si>
    <t>Mastering UML with Rational Rose</t>
  </si>
  <si>
    <t>Boggs, M. &amp; W.</t>
  </si>
  <si>
    <t>Simple Program Design</t>
  </si>
  <si>
    <t>Robertson, L.A.</t>
  </si>
  <si>
    <t>Nelson</t>
  </si>
  <si>
    <t>Object Oriented Thought Process</t>
  </si>
  <si>
    <t>Weisfeld, M.</t>
  </si>
  <si>
    <t>VISUAL BASIC</t>
  </si>
  <si>
    <t>VISUAL BASIC 5</t>
  </si>
  <si>
    <t>Teach Yourself Visual Basic 5 In 21 Days</t>
  </si>
  <si>
    <t>Microsoft Visual Basic Active X Controls Reference</t>
  </si>
  <si>
    <t>Corel Corp.</t>
  </si>
  <si>
    <t>Corel Draw 7 for win95/NT</t>
  </si>
  <si>
    <t>COREL DRAW 7</t>
  </si>
  <si>
    <t>Corel Draw 7 Secrets</t>
  </si>
  <si>
    <t>Corel Draw 7 Bible (CD Included)</t>
  </si>
  <si>
    <t>Corel Draw 10  User Manual</t>
  </si>
  <si>
    <t>COREL DRAW 10</t>
  </si>
  <si>
    <t>Linux For Dummies (With C D) 7th Edition</t>
  </si>
  <si>
    <t>Ball, B.</t>
  </si>
  <si>
    <t>Linux, Install &amp; Configuration</t>
  </si>
  <si>
    <t xml:space="preserve">LeBlanc, D. &amp; Yates, I.H. </t>
  </si>
  <si>
    <t>Fedora Linux</t>
  </si>
  <si>
    <t>FEDORA</t>
  </si>
  <si>
    <t>Tyler, C.</t>
  </si>
  <si>
    <t>UBUNTU</t>
  </si>
  <si>
    <t>Ubuntu Linux (CD Inc.)</t>
  </si>
  <si>
    <t>von Hagen, W.</t>
  </si>
  <si>
    <t>Ubuntu Linux for Non-Geeks (CD Inc.)</t>
  </si>
  <si>
    <t>Grant, R.</t>
  </si>
  <si>
    <t>Non Starch Press</t>
  </si>
  <si>
    <t>ACP Tech</t>
  </si>
  <si>
    <t>Xandros Desktop OS  Version 3</t>
  </si>
  <si>
    <t>XANDROS 3</t>
  </si>
  <si>
    <t>Xandros</t>
  </si>
  <si>
    <t>WINDOWS ME</t>
  </si>
  <si>
    <t>Simpson, A. &amp; Underdahl, B.</t>
  </si>
  <si>
    <t>Microsoft Windows Me At a Glance</t>
  </si>
  <si>
    <t>Joyce,J. &amp; Moon,M.</t>
  </si>
  <si>
    <t>Windows Me Step by Step</t>
  </si>
  <si>
    <t>Microsoft Windows Me Unauthorised Guide</t>
  </si>
  <si>
    <t>McFedries, P.</t>
  </si>
  <si>
    <t>Visual</t>
  </si>
  <si>
    <t>Practical Windows Me</t>
  </si>
  <si>
    <t>Wempen, F.</t>
  </si>
  <si>
    <t>WINDOWS 98</t>
  </si>
  <si>
    <t>Simpson, J.E.</t>
  </si>
  <si>
    <t xml:space="preserve">Learning WML &amp; WML Script  </t>
  </si>
  <si>
    <t xml:space="preserve">XSLT  Programmer's Reference  </t>
  </si>
  <si>
    <t>XSLT</t>
  </si>
  <si>
    <t>Kay, Michael</t>
  </si>
  <si>
    <t xml:space="preserve">ASP  XML  Professional  </t>
  </si>
  <si>
    <t>ASP  XML</t>
  </si>
  <si>
    <t xml:space="preserve">XSLT  Working with XML and HTML  (CD Inc.) </t>
  </si>
  <si>
    <t>Khun Yee Fung</t>
  </si>
  <si>
    <t xml:space="preserve">Building Oracle XML Applications  (CD Inc.)  </t>
  </si>
  <si>
    <t>ORACLE XML</t>
  </si>
  <si>
    <t>Muench, S.</t>
  </si>
  <si>
    <t>Data on the Web, From Relations to Semistructured Data &amp; XML</t>
  </si>
  <si>
    <t>Abiteboil, Buneman, Suclu.</t>
  </si>
  <si>
    <t xml:space="preserve"> Professional  WAP</t>
  </si>
  <si>
    <t>WAP</t>
  </si>
  <si>
    <t>Wrox Press</t>
  </si>
  <si>
    <t>HTML by Example</t>
  </si>
  <si>
    <t>HTML</t>
  </si>
  <si>
    <t>Navarro,A. &amp; Stauffer, T.</t>
  </si>
  <si>
    <t>HTML Goodies  2nd Edition</t>
  </si>
  <si>
    <t>Burns, J.</t>
  </si>
  <si>
    <t>HTML for the World Wide Web</t>
  </si>
  <si>
    <t>HTML4</t>
  </si>
  <si>
    <t>Castro, E.</t>
  </si>
  <si>
    <t>XML, HTML, XHTML  Magic</t>
  </si>
  <si>
    <t>XML, HTML, XHTML</t>
  </si>
  <si>
    <t>Holzschlag, M.E.</t>
  </si>
  <si>
    <t>Learning Web Design</t>
  </si>
  <si>
    <t>Niederst, J.</t>
  </si>
  <si>
    <t>Wrox</t>
  </si>
  <si>
    <t>Just XML</t>
  </si>
  <si>
    <t>POWERPOINT 2002</t>
  </si>
  <si>
    <t>Redmond Tech. Press</t>
  </si>
  <si>
    <t>Teach Yourself PowerPoint in 24 Hours.</t>
  </si>
  <si>
    <t xml:space="preserve">POWERPOINT </t>
  </si>
  <si>
    <t>POWERPOINT  2003</t>
  </si>
  <si>
    <t>Custom Guide</t>
  </si>
  <si>
    <t>PowerPoint 2000 for Dummies</t>
  </si>
  <si>
    <t>POWERPOINT 2000</t>
  </si>
  <si>
    <t>Top 100 Tips &amp; Tricks, Simplified, PowerPoint 2003 Edition</t>
  </si>
  <si>
    <t>PowerPoint 2003 Visual Quick Tips</t>
  </si>
  <si>
    <t>PowerPoint 2003 for Dummies - Just the Steps</t>
  </si>
  <si>
    <t>Windows XP Plain &amp; Simple</t>
  </si>
  <si>
    <t>Jerry Joyce &amp; Marianne Moon</t>
  </si>
  <si>
    <t>Office 2010 The Missing Manual</t>
  </si>
  <si>
    <t>OFFICE 2010</t>
  </si>
  <si>
    <t>Nancy Conner &amp; Matthew MacDonald</t>
  </si>
  <si>
    <t>C# Complete</t>
  </si>
  <si>
    <t>C# &amp; .NET</t>
  </si>
  <si>
    <t>C#</t>
  </si>
  <si>
    <t>BeOS Porting UNIX Applications</t>
  </si>
  <si>
    <t>Martin C. Brown</t>
  </si>
  <si>
    <t>Alan Turing The Enigma</t>
  </si>
  <si>
    <t>Andrew Hodges</t>
  </si>
  <si>
    <t>Walker Publishing</t>
  </si>
  <si>
    <t>IN-111</t>
  </si>
  <si>
    <t>IN-114</t>
  </si>
  <si>
    <t>IN-115</t>
  </si>
  <si>
    <t>IN-118</t>
  </si>
  <si>
    <t>IN-121</t>
  </si>
  <si>
    <t>IN-119</t>
  </si>
  <si>
    <t>IN-120</t>
  </si>
  <si>
    <t>IN-122</t>
  </si>
  <si>
    <t>IN-123</t>
  </si>
  <si>
    <t>IN-124</t>
  </si>
  <si>
    <t>IN-125</t>
  </si>
  <si>
    <t>IN-129</t>
  </si>
  <si>
    <t>IN-130</t>
  </si>
  <si>
    <t>IN-131</t>
  </si>
  <si>
    <t>IN-132</t>
  </si>
  <si>
    <t>IN-133</t>
  </si>
  <si>
    <t>IN-134</t>
  </si>
  <si>
    <t>INE-10</t>
  </si>
  <si>
    <t>INE-11</t>
  </si>
  <si>
    <t>INN-14</t>
  </si>
  <si>
    <t>INN-16</t>
  </si>
  <si>
    <t>IOO-10</t>
  </si>
  <si>
    <t>IOO-12</t>
  </si>
  <si>
    <t>IOO-14</t>
  </si>
  <si>
    <t>IOO-16</t>
  </si>
  <si>
    <t>IOO-17</t>
  </si>
  <si>
    <t>IOO-18</t>
  </si>
  <si>
    <t>IOO-19</t>
  </si>
  <si>
    <t>IOO-20</t>
  </si>
  <si>
    <t>IOO-21</t>
  </si>
  <si>
    <t>IOO-23</t>
  </si>
  <si>
    <t>IOO-24</t>
  </si>
  <si>
    <t>IN-44</t>
  </si>
  <si>
    <t>IN-49</t>
  </si>
  <si>
    <t>IN-50</t>
  </si>
  <si>
    <t>IN-51</t>
  </si>
  <si>
    <t>IN-53</t>
  </si>
  <si>
    <t>IN-62</t>
  </si>
  <si>
    <t>IN-63</t>
  </si>
  <si>
    <t>IN-64</t>
  </si>
  <si>
    <t>IN-65</t>
  </si>
  <si>
    <t>IN-66</t>
  </si>
  <si>
    <t>IN-68</t>
  </si>
  <si>
    <t>IN-69</t>
  </si>
  <si>
    <t>IN-72</t>
  </si>
  <si>
    <t>IN-74</t>
  </si>
  <si>
    <t>IN-75</t>
  </si>
  <si>
    <t>IN-76</t>
  </si>
  <si>
    <t>IN-79</t>
  </si>
  <si>
    <t>IN-80</t>
  </si>
  <si>
    <t>IN-82</t>
  </si>
  <si>
    <t>IN-83</t>
  </si>
  <si>
    <t>IN-84</t>
  </si>
  <si>
    <t>IN-86</t>
  </si>
  <si>
    <t>IN-87</t>
  </si>
  <si>
    <t>IN-89</t>
  </si>
  <si>
    <t>IN-91</t>
  </si>
  <si>
    <t>IN-95</t>
  </si>
  <si>
    <t>IN-96</t>
  </si>
  <si>
    <t>IN-97</t>
  </si>
  <si>
    <t>IN-98</t>
  </si>
  <si>
    <t>IN-100</t>
  </si>
  <si>
    <t>IN-102</t>
  </si>
  <si>
    <t>IN-103</t>
  </si>
  <si>
    <t>IN-104</t>
  </si>
  <si>
    <t>IN-105</t>
  </si>
  <si>
    <t>IN-106</t>
  </si>
  <si>
    <t>IN-107</t>
  </si>
  <si>
    <t>IN-108</t>
  </si>
  <si>
    <t>IN-109</t>
  </si>
  <si>
    <t>IN-110</t>
  </si>
  <si>
    <t>IW-10</t>
  </si>
  <si>
    <t>IW-11</t>
  </si>
  <si>
    <t>IW-13</t>
  </si>
  <si>
    <t>IW-14</t>
  </si>
  <si>
    <t>IW-15</t>
  </si>
  <si>
    <t>IW-17</t>
  </si>
  <si>
    <t>IW-18</t>
  </si>
  <si>
    <t>IW-19</t>
  </si>
  <si>
    <t>IW-20</t>
  </si>
  <si>
    <t>IW-21</t>
  </si>
  <si>
    <t>IW-23</t>
  </si>
  <si>
    <t>IW-25</t>
  </si>
  <si>
    <t>IW-26</t>
  </si>
  <si>
    <t>IW-27</t>
  </si>
  <si>
    <t>IW-28</t>
  </si>
  <si>
    <t>IW-29</t>
  </si>
  <si>
    <t>IW-30</t>
  </si>
  <si>
    <t>IW-31</t>
  </si>
  <si>
    <t>IW-33</t>
  </si>
  <si>
    <t>IW-34</t>
  </si>
  <si>
    <t>IW-35</t>
  </si>
  <si>
    <t>IW-41</t>
  </si>
  <si>
    <t>IW-42</t>
  </si>
  <si>
    <t>IW-43</t>
  </si>
  <si>
    <t>IW-47</t>
  </si>
  <si>
    <t>IW-48</t>
  </si>
  <si>
    <t>IW-49</t>
  </si>
  <si>
    <t>IW-50</t>
  </si>
  <si>
    <t>IW-51</t>
  </si>
  <si>
    <t>IW-52</t>
  </si>
  <si>
    <t>IW-55</t>
  </si>
  <si>
    <t>IW-56</t>
  </si>
  <si>
    <t>IW-57</t>
  </si>
  <si>
    <t>IW-58</t>
  </si>
  <si>
    <t>IW-59</t>
  </si>
  <si>
    <t>IW-60</t>
  </si>
  <si>
    <t>IW-61</t>
  </si>
  <si>
    <t>IW-62</t>
  </si>
  <si>
    <t>IW-63</t>
  </si>
  <si>
    <t>IW-64</t>
  </si>
  <si>
    <t>IW-65</t>
  </si>
  <si>
    <t>IW-66</t>
  </si>
  <si>
    <t>IW-67</t>
  </si>
  <si>
    <t>IW-68</t>
  </si>
  <si>
    <t>IW-69</t>
  </si>
  <si>
    <t>IW-70</t>
  </si>
  <si>
    <t>IW-71</t>
  </si>
  <si>
    <t>IW-72</t>
  </si>
  <si>
    <t>IW-73</t>
  </si>
  <si>
    <t>IW-74</t>
  </si>
  <si>
    <t>IW-75</t>
  </si>
  <si>
    <t>ANA-10</t>
  </si>
  <si>
    <t>ANA-11</t>
  </si>
  <si>
    <t>ANA-12</t>
  </si>
  <si>
    <t>ANA-13</t>
  </si>
  <si>
    <t>ANA-14</t>
  </si>
  <si>
    <t>ANA-15</t>
  </si>
  <si>
    <t>ANA-17</t>
  </si>
  <si>
    <t>CAA-19</t>
  </si>
  <si>
    <t>CAA-23</t>
  </si>
  <si>
    <t>CO-22</t>
  </si>
  <si>
    <t>CO-24</t>
  </si>
  <si>
    <t>CO-29</t>
  </si>
  <si>
    <t>CO-30</t>
  </si>
  <si>
    <t>CO-33</t>
  </si>
  <si>
    <t>CO-34</t>
  </si>
  <si>
    <t>CO-35</t>
  </si>
  <si>
    <t>CO-36</t>
  </si>
  <si>
    <t>CO-37</t>
  </si>
  <si>
    <t>CO-38</t>
  </si>
  <si>
    <t>CO-39</t>
  </si>
  <si>
    <t>CO-41</t>
  </si>
  <si>
    <t>CO-42</t>
  </si>
  <si>
    <t>CO-43</t>
  </si>
  <si>
    <t>CO-44</t>
  </si>
  <si>
    <t>CO-45</t>
  </si>
  <si>
    <t>CO-46</t>
  </si>
  <si>
    <t>CO-50</t>
  </si>
  <si>
    <t>CO-51</t>
  </si>
  <si>
    <t>CO-52</t>
  </si>
  <si>
    <t>CO-53</t>
  </si>
  <si>
    <t>CO-54</t>
  </si>
  <si>
    <t>CO-55</t>
  </si>
  <si>
    <t>CO-56</t>
  </si>
  <si>
    <t>CO-57</t>
  </si>
  <si>
    <t>CO-58</t>
  </si>
  <si>
    <t>CO-59</t>
  </si>
  <si>
    <t>CO-61</t>
  </si>
  <si>
    <t>CO-62</t>
  </si>
  <si>
    <t>DBA-12</t>
  </si>
  <si>
    <t>DBA-13</t>
  </si>
  <si>
    <t>DBA-16</t>
  </si>
  <si>
    <t>DBA-21</t>
  </si>
  <si>
    <t>DBA-22</t>
  </si>
  <si>
    <t>DBA-28</t>
  </si>
  <si>
    <t>DBA-29</t>
  </si>
  <si>
    <t>DBA-30</t>
  </si>
  <si>
    <t>DBA-31</t>
  </si>
  <si>
    <t>DBA-32</t>
  </si>
  <si>
    <t>DBA-34</t>
  </si>
  <si>
    <t>DBA-35</t>
  </si>
  <si>
    <t>DIP-10</t>
  </si>
  <si>
    <t>DIP-11</t>
  </si>
  <si>
    <t>DIP-12</t>
  </si>
  <si>
    <t>DIP-13</t>
  </si>
  <si>
    <t>DIP-14</t>
  </si>
  <si>
    <t>DIP-15</t>
  </si>
  <si>
    <t>DIS-10</t>
  </si>
  <si>
    <t>DPA-10</t>
  </si>
  <si>
    <t>DV-12</t>
  </si>
  <si>
    <t>DV-14</t>
  </si>
  <si>
    <t>DV-15</t>
  </si>
  <si>
    <t>DV-18</t>
  </si>
  <si>
    <t>DV-19</t>
  </si>
  <si>
    <t>DV-21</t>
  </si>
  <si>
    <t>DV-26</t>
  </si>
  <si>
    <t>DV-27</t>
  </si>
  <si>
    <t>DV-37</t>
  </si>
  <si>
    <t>DV-42</t>
  </si>
  <si>
    <t>DV-47</t>
  </si>
  <si>
    <t>DV-49</t>
  </si>
  <si>
    <t>DV-51</t>
  </si>
  <si>
    <t>DV-52</t>
  </si>
  <si>
    <t>DV-53</t>
  </si>
  <si>
    <t>DV-54</t>
  </si>
  <si>
    <t>DV-55</t>
  </si>
  <si>
    <t>DV-57</t>
  </si>
  <si>
    <t>DV-58</t>
  </si>
  <si>
    <t>DV-60</t>
  </si>
  <si>
    <t>DV-61</t>
  </si>
  <si>
    <t>DV-62</t>
  </si>
  <si>
    <t>DV-63</t>
  </si>
  <si>
    <t>DV-64</t>
  </si>
  <si>
    <t>DV-66</t>
  </si>
  <si>
    <t>DV-69</t>
  </si>
  <si>
    <t>DV-70</t>
  </si>
  <si>
    <t>DV-71</t>
  </si>
  <si>
    <t>DV-72</t>
  </si>
  <si>
    <t>DV-74</t>
  </si>
  <si>
    <t>DV-75</t>
  </si>
  <si>
    <t>DV-76</t>
  </si>
  <si>
    <t>DV-77</t>
  </si>
  <si>
    <t>DV-78</t>
  </si>
  <si>
    <t>DV-79</t>
  </si>
  <si>
    <t>DV-80</t>
  </si>
  <si>
    <t>DV-81</t>
  </si>
  <si>
    <t>DV-82</t>
  </si>
  <si>
    <t>DV-83</t>
  </si>
  <si>
    <t>FIQ-21</t>
  </si>
  <si>
    <t>FIQ-22</t>
  </si>
  <si>
    <t>FIQ-23</t>
  </si>
  <si>
    <t>FIQ-25</t>
  </si>
  <si>
    <t>FIQ-26</t>
  </si>
  <si>
    <t>FIQ-27</t>
  </si>
  <si>
    <t>GA-14</t>
  </si>
  <si>
    <t>GA-16</t>
  </si>
  <si>
    <t>GA-17</t>
  </si>
  <si>
    <t>GA-18</t>
  </si>
  <si>
    <t>GA-19</t>
  </si>
  <si>
    <t>GR-16</t>
  </si>
  <si>
    <t>GRC-10</t>
  </si>
  <si>
    <t>GRC-11</t>
  </si>
  <si>
    <t>GRC-12</t>
  </si>
  <si>
    <t>GRC-13</t>
  </si>
  <si>
    <t>GRO-10</t>
  </si>
  <si>
    <t>GRO-13</t>
  </si>
  <si>
    <t>GRO-14</t>
  </si>
  <si>
    <t>GRO-16</t>
  </si>
  <si>
    <t>GRO-18</t>
  </si>
  <si>
    <t>GRO-19</t>
  </si>
  <si>
    <t>GRO-21</t>
  </si>
  <si>
    <t>GRO-22</t>
  </si>
  <si>
    <t>GRO-23</t>
  </si>
  <si>
    <t>GRO-24</t>
  </si>
  <si>
    <t>GRO-25</t>
  </si>
  <si>
    <t>GRO-27</t>
  </si>
  <si>
    <t>GRO-29</t>
  </si>
  <si>
    <t>GRO-31</t>
  </si>
  <si>
    <t>GRO-33</t>
  </si>
  <si>
    <t>GRO-36</t>
  </si>
  <si>
    <t>GRO-38</t>
  </si>
  <si>
    <t>GRO-39</t>
  </si>
  <si>
    <t>GRO-40</t>
  </si>
  <si>
    <t>GRO-41</t>
  </si>
  <si>
    <t>HA-11</t>
  </si>
  <si>
    <t>HA-14</t>
  </si>
  <si>
    <t>HA-16</t>
  </si>
  <si>
    <t>HA-17</t>
  </si>
  <si>
    <t>HA-18</t>
  </si>
  <si>
    <t>HA-23</t>
  </si>
  <si>
    <t>HA-25</t>
  </si>
  <si>
    <t>HA-26</t>
  </si>
  <si>
    <t>HA-28</t>
  </si>
  <si>
    <t>HA-29</t>
  </si>
  <si>
    <t>HA-30</t>
  </si>
  <si>
    <t>HA-31</t>
  </si>
  <si>
    <t>HA-33</t>
  </si>
  <si>
    <t>HA-34</t>
  </si>
  <si>
    <t>HA-35</t>
  </si>
  <si>
    <t>HA-39</t>
  </si>
  <si>
    <t>HA-40</t>
  </si>
  <si>
    <t>HA-41</t>
  </si>
  <si>
    <t>HA-42</t>
  </si>
  <si>
    <t>HA-43</t>
  </si>
  <si>
    <t>HA-44</t>
  </si>
  <si>
    <t>HA-45</t>
  </si>
  <si>
    <t>HA-46</t>
  </si>
  <si>
    <t>HA-47</t>
  </si>
  <si>
    <t>HA-48</t>
  </si>
  <si>
    <t>HA-49</t>
  </si>
  <si>
    <t>HA-50</t>
  </si>
  <si>
    <t>HA-51</t>
  </si>
  <si>
    <t>HA-52</t>
  </si>
  <si>
    <t>HA-53</t>
  </si>
  <si>
    <t>HA-54</t>
  </si>
  <si>
    <t>HAP-10</t>
  </si>
  <si>
    <t>HAP-11</t>
  </si>
  <si>
    <t>MU-14</t>
  </si>
  <si>
    <t>MU-15</t>
  </si>
  <si>
    <t>MU-16</t>
  </si>
  <si>
    <t>MU-17</t>
  </si>
  <si>
    <t>MU-18</t>
  </si>
  <si>
    <t>MU-19</t>
  </si>
  <si>
    <t>MU-20</t>
  </si>
  <si>
    <t>MU-25</t>
  </si>
  <si>
    <t>MU-26</t>
  </si>
  <si>
    <t>MU-27</t>
  </si>
  <si>
    <t>MU-29</t>
  </si>
  <si>
    <t>MU-31</t>
  </si>
  <si>
    <t>MU-32</t>
  </si>
  <si>
    <t>MU-33</t>
  </si>
  <si>
    <t>MU-34</t>
  </si>
  <si>
    <t>MU-35</t>
  </si>
  <si>
    <t>MU-36</t>
  </si>
  <si>
    <t>MU-37</t>
  </si>
  <si>
    <t>MU-38</t>
  </si>
  <si>
    <t>MU-39</t>
  </si>
  <si>
    <t>MU-40</t>
  </si>
  <si>
    <t>MU-41</t>
  </si>
  <si>
    <t>MU-42</t>
  </si>
  <si>
    <t>MU-43</t>
  </si>
  <si>
    <t>MU-44</t>
  </si>
  <si>
    <t>MU-45</t>
  </si>
  <si>
    <t>MU-46</t>
  </si>
  <si>
    <t>MU-47</t>
  </si>
  <si>
    <t>MU-48</t>
  </si>
  <si>
    <t>MU-49</t>
  </si>
  <si>
    <t>MU-50</t>
  </si>
  <si>
    <t>MU-51</t>
  </si>
  <si>
    <t>MU-52</t>
  </si>
  <si>
    <t>MU-53</t>
  </si>
  <si>
    <t>MU-54</t>
  </si>
  <si>
    <t>MU-55</t>
  </si>
  <si>
    <t>MU-56</t>
  </si>
  <si>
    <t>MU-57</t>
  </si>
  <si>
    <t>MU-58</t>
  </si>
  <si>
    <t>MU-59</t>
  </si>
  <si>
    <t>MU-60</t>
  </si>
  <si>
    <t>NE-13</t>
  </si>
  <si>
    <t>NE-14</t>
  </si>
  <si>
    <t>NE-15</t>
  </si>
  <si>
    <t>NE-16</t>
  </si>
  <si>
    <t>NE-17</t>
  </si>
  <si>
    <t>NE-19</t>
  </si>
  <si>
    <t>NE-20</t>
  </si>
  <si>
    <t>NE-21</t>
  </si>
  <si>
    <t>NE-22</t>
  </si>
  <si>
    <t>NE-23</t>
  </si>
  <si>
    <t>NE-24</t>
  </si>
  <si>
    <t>NE-25</t>
  </si>
  <si>
    <t>NE-28</t>
  </si>
  <si>
    <t>NE-29</t>
  </si>
  <si>
    <t>NE-32</t>
  </si>
  <si>
    <t>NE-33</t>
  </si>
  <si>
    <t>NE-34</t>
  </si>
  <si>
    <t>NE-35</t>
  </si>
  <si>
    <t>NE-36</t>
  </si>
  <si>
    <t>NE-37</t>
  </si>
  <si>
    <t>NE-38</t>
  </si>
  <si>
    <t>NE-39</t>
  </si>
  <si>
    <t>NE-40</t>
  </si>
  <si>
    <t>NE-41</t>
  </si>
  <si>
    <t>NE-44</t>
  </si>
  <si>
    <t>NE-45</t>
  </si>
  <si>
    <t>NE-47</t>
  </si>
  <si>
    <t>NE-48</t>
  </si>
  <si>
    <t>NE-49</t>
  </si>
  <si>
    <t>NE-50</t>
  </si>
  <si>
    <t>NEN-12</t>
  </si>
  <si>
    <t>NEN-13</t>
  </si>
  <si>
    <t>NEN-15</t>
  </si>
  <si>
    <t>NEN-16</t>
  </si>
  <si>
    <t>NEN-18</t>
  </si>
  <si>
    <t>NEN-19</t>
  </si>
  <si>
    <t>NEN-21</t>
  </si>
  <si>
    <t>NEN-22</t>
  </si>
  <si>
    <t>NEN-23</t>
  </si>
  <si>
    <t>NEN-24</t>
  </si>
  <si>
    <t>NEN-25</t>
  </si>
  <si>
    <t>NEN-26</t>
  </si>
  <si>
    <t>NEN-27</t>
  </si>
  <si>
    <t>NEN-29</t>
  </si>
  <si>
    <t>NEN-30</t>
  </si>
  <si>
    <t>NEN-32</t>
  </si>
  <si>
    <t>NEN-34</t>
  </si>
  <si>
    <t>NEN-35</t>
  </si>
  <si>
    <t>NEN-36</t>
  </si>
  <si>
    <t>NEN-37</t>
  </si>
  <si>
    <t>NEN-38</t>
  </si>
  <si>
    <t>NEN-39</t>
  </si>
  <si>
    <t>NEN-40</t>
  </si>
  <si>
    <t>NEN-41</t>
  </si>
  <si>
    <t>NEN-42</t>
  </si>
  <si>
    <t>OPL-10</t>
  </si>
  <si>
    <t>OPL-11</t>
  </si>
  <si>
    <t>OPL-12</t>
  </si>
  <si>
    <t>OPL-13</t>
  </si>
  <si>
    <t>OPL-15</t>
  </si>
  <si>
    <t>OPL-17</t>
  </si>
  <si>
    <t>OPL-18</t>
  </si>
  <si>
    <t>OPL-19</t>
  </si>
  <si>
    <t>OPL-20</t>
  </si>
  <si>
    <t>OPL-21</t>
  </si>
  <si>
    <t>OPL-22</t>
  </si>
  <si>
    <t>OPL-23</t>
  </si>
  <si>
    <t>OPL-24</t>
  </si>
  <si>
    <t>OPL-25</t>
  </si>
  <si>
    <t>OPL-26</t>
  </si>
  <si>
    <t>OPL-27</t>
  </si>
  <si>
    <t>OPL-28</t>
  </si>
  <si>
    <t>OPL-29</t>
  </si>
  <si>
    <t>OPL-32</t>
  </si>
  <si>
    <t>OPL-33</t>
  </si>
  <si>
    <t>OPL-34</t>
  </si>
  <si>
    <t>OPL-35</t>
  </si>
  <si>
    <t>OPL-36</t>
  </si>
  <si>
    <t>OPL-37</t>
  </si>
  <si>
    <t>OPL-38</t>
  </si>
  <si>
    <t>OPL-39</t>
  </si>
  <si>
    <t>OPL-41</t>
  </si>
  <si>
    <t>OPL-42</t>
  </si>
  <si>
    <t>OPL-44</t>
  </si>
  <si>
    <t>OPL-45</t>
  </si>
  <si>
    <t>OPL-46</t>
  </si>
  <si>
    <t>OPL-47</t>
  </si>
  <si>
    <t>OPM-P3</t>
  </si>
  <si>
    <t>OPN-19</t>
  </si>
  <si>
    <t>OPN-20</t>
  </si>
  <si>
    <t>OPN-25</t>
  </si>
  <si>
    <t>OPN-46</t>
  </si>
  <si>
    <t>OPN-47</t>
  </si>
  <si>
    <t>OPS-10</t>
  </si>
  <si>
    <t>OPS-11</t>
  </si>
  <si>
    <t>OPS-12</t>
  </si>
  <si>
    <t>OPS-14</t>
  </si>
  <si>
    <t>OPS-16</t>
  </si>
  <si>
    <t>OPT-14</t>
  </si>
  <si>
    <t>OPT-15</t>
  </si>
  <si>
    <t>OPT-16</t>
  </si>
  <si>
    <t>OPT-17</t>
  </si>
  <si>
    <t>OPV-10</t>
  </si>
  <si>
    <t>OPV-11</t>
  </si>
  <si>
    <t>OPV-12</t>
  </si>
  <si>
    <t>OPV-14</t>
  </si>
  <si>
    <t>OPV-15</t>
  </si>
  <si>
    <t>OPV-16</t>
  </si>
  <si>
    <t>OPV-17</t>
  </si>
  <si>
    <t>OPV-18</t>
  </si>
  <si>
    <t>OPV-19</t>
  </si>
  <si>
    <t>OPV-20</t>
  </si>
  <si>
    <t>OPV-21</t>
  </si>
  <si>
    <t>OPV-22</t>
  </si>
  <si>
    <t>OPV-23</t>
  </si>
  <si>
    <t>OPX-11</t>
  </si>
  <si>
    <t>OPX-12</t>
  </si>
  <si>
    <t>OPX-13</t>
  </si>
  <si>
    <t>OPX-14</t>
  </si>
  <si>
    <t>OPX-15</t>
  </si>
  <si>
    <t>OPX-16</t>
  </si>
  <si>
    <t>OPX-17</t>
  </si>
  <si>
    <t>OPX-18</t>
  </si>
  <si>
    <t>OPX-19</t>
  </si>
  <si>
    <t>OPX-20</t>
  </si>
  <si>
    <t>OPX-21</t>
  </si>
  <si>
    <t>OPX-22</t>
  </si>
  <si>
    <t>OPX-23</t>
  </si>
  <si>
    <t>OPX-24</t>
  </si>
  <si>
    <t>OPX-25</t>
  </si>
  <si>
    <t>OPX-26</t>
  </si>
  <si>
    <t>OPX-27</t>
  </si>
  <si>
    <t>OPX-28</t>
  </si>
  <si>
    <t>OPX-29</t>
  </si>
  <si>
    <t>OPX-30</t>
  </si>
  <si>
    <t>OPX-31</t>
  </si>
  <si>
    <t>OPX-32</t>
  </si>
  <si>
    <t>OPX-33</t>
  </si>
  <si>
    <t>OPX-34</t>
  </si>
  <si>
    <t>OPX-35</t>
  </si>
  <si>
    <t>OPX-36</t>
  </si>
  <si>
    <t>OPX-37</t>
  </si>
  <si>
    <t>OPX-38</t>
  </si>
  <si>
    <t>OPX-39</t>
  </si>
  <si>
    <t>OPX-40</t>
  </si>
  <si>
    <t>OPX-41</t>
  </si>
  <si>
    <t>OPX-42</t>
  </si>
  <si>
    <t>OPX-43</t>
  </si>
  <si>
    <t>OPX-44</t>
  </si>
  <si>
    <t>OPX-45</t>
  </si>
  <si>
    <t>OPX-46</t>
  </si>
  <si>
    <t>OPX-47</t>
  </si>
  <si>
    <t>OPX-48</t>
  </si>
  <si>
    <t>OPX-49</t>
  </si>
  <si>
    <t>OPX-50</t>
  </si>
  <si>
    <t>OPX-51</t>
  </si>
  <si>
    <t>OPX-52</t>
  </si>
  <si>
    <t>PR-15</t>
  </si>
  <si>
    <t>PR-16</t>
  </si>
  <si>
    <t>PR-17</t>
  </si>
  <si>
    <t>PR-18</t>
  </si>
  <si>
    <t>PR-20</t>
  </si>
  <si>
    <t>PR-21</t>
  </si>
  <si>
    <t>PR-23</t>
  </si>
  <si>
    <t>PRB-11</t>
  </si>
  <si>
    <t>PRB-17</t>
  </si>
  <si>
    <t>PRB-18</t>
  </si>
  <si>
    <t>PRB-21</t>
  </si>
  <si>
    <t>PRB-22</t>
  </si>
  <si>
    <t>PRB-23</t>
  </si>
  <si>
    <t>PRB-24</t>
  </si>
  <si>
    <t>PRB-25</t>
  </si>
  <si>
    <t>PRB-26</t>
  </si>
  <si>
    <t>PRB-27</t>
  </si>
  <si>
    <t>PRB-28</t>
  </si>
  <si>
    <t>PRC-20</t>
  </si>
  <si>
    <t>PRC-26</t>
  </si>
  <si>
    <t>PRC-27</t>
  </si>
  <si>
    <t>PRC-30</t>
  </si>
  <si>
    <t>PRC-31</t>
  </si>
  <si>
    <t>PRC-32</t>
  </si>
  <si>
    <t>PRC-35</t>
  </si>
  <si>
    <t>PRC-38</t>
  </si>
  <si>
    <t>PRC-39</t>
  </si>
  <si>
    <t>PRC-40</t>
  </si>
  <si>
    <t>PRH-10</t>
  </si>
  <si>
    <t>PRJ-10</t>
  </si>
  <si>
    <t>PRJ-11</t>
  </si>
  <si>
    <t>PRJ-12</t>
  </si>
  <si>
    <t>PRJ-13</t>
  </si>
  <si>
    <t>PRJ-14</t>
  </si>
  <si>
    <t>PRJ-16</t>
  </si>
  <si>
    <t>PRJ-17</t>
  </si>
  <si>
    <t>PRJ-18</t>
  </si>
  <si>
    <t>PRJ-19</t>
  </si>
  <si>
    <t>PRJ-20</t>
  </si>
  <si>
    <t>PRJ-21</t>
  </si>
  <si>
    <t>PRJ-22</t>
  </si>
  <si>
    <t>PRJ-23</t>
  </si>
  <si>
    <t>PRJ-24</t>
  </si>
  <si>
    <t>PRJ-25</t>
  </si>
  <si>
    <t>PRJ-26</t>
  </si>
  <si>
    <t>PRJ-27</t>
  </si>
  <si>
    <t>PRJ-28</t>
  </si>
  <si>
    <t>PRJ-29</t>
  </si>
  <si>
    <t>PRJ-30</t>
  </si>
  <si>
    <t>PRJ-31</t>
  </si>
  <si>
    <t>PRJ-32</t>
  </si>
  <si>
    <t>SE-10</t>
  </si>
  <si>
    <t>SE-11</t>
  </si>
  <si>
    <t>SE-13</t>
  </si>
  <si>
    <t>SE-15</t>
  </si>
  <si>
    <t>SE-16</t>
  </si>
  <si>
    <t>SE-17</t>
  </si>
  <si>
    <t>SE-18</t>
  </si>
  <si>
    <t>SE-19</t>
  </si>
  <si>
    <t>SE-21</t>
  </si>
  <si>
    <t>SE-23</t>
  </si>
  <si>
    <t>SE-24</t>
  </si>
  <si>
    <t>SE-26</t>
  </si>
  <si>
    <t>SE-27</t>
  </si>
  <si>
    <t>SE-28</t>
  </si>
  <si>
    <t>SPE-10</t>
  </si>
  <si>
    <t>SPE-14</t>
  </si>
  <si>
    <t>SPE-16</t>
  </si>
  <si>
    <t>SPE-17</t>
  </si>
  <si>
    <t>SPE-18</t>
  </si>
  <si>
    <t>SPE-19</t>
  </si>
  <si>
    <t>SPE-21</t>
  </si>
  <si>
    <t>SPE-22</t>
  </si>
  <si>
    <t>SPE-23</t>
  </si>
  <si>
    <t>SPE-24</t>
  </si>
  <si>
    <t>SPE-26</t>
  </si>
  <si>
    <t>SPE-27</t>
  </si>
  <si>
    <t>SPE-28</t>
  </si>
  <si>
    <t>SPE-29</t>
  </si>
  <si>
    <t>SPE-30</t>
  </si>
  <si>
    <t>SPE-31</t>
  </si>
  <si>
    <t>SPE-32</t>
  </si>
  <si>
    <t>SPE-33</t>
  </si>
  <si>
    <t>SPE-34</t>
  </si>
  <si>
    <t>SPE-36</t>
  </si>
  <si>
    <t>WPM-19</t>
  </si>
  <si>
    <t>WPM-21</t>
  </si>
  <si>
    <t>WPM-22</t>
  </si>
  <si>
    <t>WPM-24</t>
  </si>
  <si>
    <t>WPM-25</t>
  </si>
  <si>
    <t>WT-11</t>
  </si>
  <si>
    <t>WT-12</t>
  </si>
  <si>
    <t>OPS-800</t>
  </si>
  <si>
    <t>Windows 8 Bible</t>
  </si>
  <si>
    <t>WINDOWS 8</t>
  </si>
  <si>
    <t>Jim Boyce, Rob Tidrow</t>
  </si>
  <si>
    <t>Windows 8 Secrets</t>
  </si>
  <si>
    <t>Paul Thurrott, Raphael Rivera</t>
  </si>
  <si>
    <t>OPS-802</t>
  </si>
  <si>
    <t>Windows 8 Step by Step</t>
  </si>
  <si>
    <t>Ciprian Adrian Russen, Joli Ballew</t>
  </si>
  <si>
    <t>O'Reilly, Microsoft</t>
  </si>
  <si>
    <t>Andy Rathbone</t>
  </si>
  <si>
    <t>OPS-804</t>
  </si>
  <si>
    <t>OPS-801</t>
  </si>
  <si>
    <t>INE-12</t>
  </si>
  <si>
    <t>Microsoft Outlook. Effective Time Management</t>
  </si>
  <si>
    <t>OUTLOOK</t>
  </si>
  <si>
    <t>Lothar Seiwert, Holger Woeltje</t>
  </si>
  <si>
    <t>GOOGLE +</t>
  </si>
  <si>
    <t>Google</t>
  </si>
  <si>
    <t>Kevin Purdy</t>
  </si>
  <si>
    <t>Google +, the missing manual</t>
  </si>
  <si>
    <t>OPS-805</t>
  </si>
  <si>
    <t>Windows 8 Inside Out</t>
  </si>
  <si>
    <t>Tony No rth rup</t>
  </si>
  <si>
    <t>OPS-806</t>
  </si>
  <si>
    <t>Windows 8 Plain &amp; Simple</t>
  </si>
  <si>
    <t>Nancy Muir</t>
  </si>
  <si>
    <t>DPD-01</t>
  </si>
  <si>
    <t>DPD-02</t>
  </si>
  <si>
    <t>WordPress The Missing Manual</t>
  </si>
  <si>
    <t>Matthew MacDonald</t>
  </si>
  <si>
    <t>O'reilly</t>
  </si>
  <si>
    <t>IW-76</t>
  </si>
  <si>
    <t>DV-46</t>
  </si>
  <si>
    <t>Adobe Premiere Elements</t>
  </si>
  <si>
    <t>PREMIERE ELEMENTS</t>
  </si>
  <si>
    <t>DV-48</t>
  </si>
  <si>
    <t>Adobe Premiere Elements for Dummies</t>
  </si>
  <si>
    <t>Keith Underdahl</t>
  </si>
  <si>
    <t>DV-68</t>
  </si>
  <si>
    <t>Premier Pro 2</t>
  </si>
  <si>
    <t>FIQ-19</t>
  </si>
  <si>
    <t>Quicken Speed Series</t>
  </si>
  <si>
    <t>QUICKEN</t>
  </si>
  <si>
    <t>Deanna Ross</t>
  </si>
  <si>
    <t>GR-14</t>
  </si>
  <si>
    <t>Open GL Programming Guide</t>
  </si>
  <si>
    <t>Addison, Wesley,Longman</t>
  </si>
  <si>
    <t>GRO-42</t>
  </si>
  <si>
    <t>Photoshop 7 WoW Book</t>
  </si>
  <si>
    <t>Jack Davis</t>
  </si>
  <si>
    <t>NE-30</t>
  </si>
  <si>
    <t>MCSE Designing Windows 2000 Directory Service</t>
  </si>
  <si>
    <t>OPN-48</t>
  </si>
  <si>
    <t>Mastering Windows 2000</t>
  </si>
  <si>
    <t>Mark Minas</t>
  </si>
  <si>
    <t>PRB-40</t>
  </si>
  <si>
    <t>Peter Wright</t>
  </si>
  <si>
    <t>PRB-41</t>
  </si>
  <si>
    <t>Beginning Visual Basic Objects</t>
  </si>
  <si>
    <t>WPM-27</t>
  </si>
  <si>
    <t>Word 2007 Inside Out</t>
  </si>
  <si>
    <t>Murray, Milhollon</t>
  </si>
  <si>
    <t>VI-09</t>
  </si>
  <si>
    <t>How to do Everything. Fight Spam, Viruses, etc.</t>
  </si>
  <si>
    <t>Ken Feinstein</t>
  </si>
  <si>
    <t>McGraw Hill/Osborne</t>
  </si>
  <si>
    <t>DIS-01</t>
  </si>
  <si>
    <t>DIS-02</t>
  </si>
  <si>
    <t>DIS-04</t>
  </si>
  <si>
    <t>DIS-05</t>
  </si>
  <si>
    <t>DIS-06</t>
  </si>
  <si>
    <t>DIS-08</t>
  </si>
  <si>
    <t>GRP-01</t>
  </si>
  <si>
    <t>GRP-02</t>
  </si>
  <si>
    <t>GRP-03</t>
  </si>
  <si>
    <t>GRP-04</t>
  </si>
  <si>
    <t>GRP-05</t>
  </si>
  <si>
    <t>GRP-06</t>
  </si>
  <si>
    <t>GRP-07</t>
  </si>
  <si>
    <t>GRP-08</t>
  </si>
  <si>
    <t>WT-01</t>
  </si>
  <si>
    <t>WT-02</t>
  </si>
  <si>
    <t>WT-03</t>
  </si>
  <si>
    <t>WT-04</t>
  </si>
  <si>
    <t>WT-06</t>
  </si>
  <si>
    <t>WT-07</t>
  </si>
  <si>
    <t>WT-08</t>
  </si>
  <si>
    <t>WT-09</t>
  </si>
  <si>
    <t>SBS-07</t>
  </si>
  <si>
    <t>SBS-01</t>
  </si>
  <si>
    <t>SBS-03</t>
  </si>
  <si>
    <t>SBS-05</t>
  </si>
  <si>
    <t>SBS-06</t>
  </si>
  <si>
    <t>SBS-08</t>
  </si>
  <si>
    <t>OPS-807</t>
  </si>
  <si>
    <t>Windows 8.1 for Dummies</t>
  </si>
  <si>
    <t>WINDOWS 8.1</t>
  </si>
  <si>
    <t xml:space="preserve">                           MELBOURNE PC USER GROUP</t>
  </si>
  <si>
    <t>ANA-05</t>
  </si>
  <si>
    <t>ANA-06</t>
  </si>
  <si>
    <t>ANA-07</t>
  </si>
  <si>
    <t>ANA-08</t>
  </si>
  <si>
    <t>ANA-09</t>
  </si>
  <si>
    <t>CM-06</t>
  </si>
  <si>
    <t>CM-07</t>
  </si>
  <si>
    <t>CMM-06</t>
  </si>
  <si>
    <t>CO-07</t>
  </si>
  <si>
    <t>DBL-01</t>
  </si>
  <si>
    <t>DBL-02</t>
  </si>
  <si>
    <t>DBP-01</t>
  </si>
  <si>
    <t>DI-02</t>
  </si>
  <si>
    <t>DIP-01</t>
  </si>
  <si>
    <t>DIP-02</t>
  </si>
  <si>
    <t>DIP-03</t>
  </si>
  <si>
    <t>DIP-04</t>
  </si>
  <si>
    <t>DIP-05</t>
  </si>
  <si>
    <t>DIP-06</t>
  </si>
  <si>
    <t>DIP-07</t>
  </si>
  <si>
    <t>DIP-08</t>
  </si>
  <si>
    <t>DIP-09</t>
  </si>
  <si>
    <t>DPA-01</t>
  </si>
  <si>
    <t>DPA-02</t>
  </si>
  <si>
    <t>DPA-03</t>
  </si>
  <si>
    <t>DPA-04</t>
  </si>
  <si>
    <t>DPA-05</t>
  </si>
  <si>
    <t>DPA-07</t>
  </si>
  <si>
    <t>DPA-08</t>
  </si>
  <si>
    <t>DV-03</t>
  </si>
  <si>
    <t>DV-05</t>
  </si>
  <si>
    <t>ED-04</t>
  </si>
  <si>
    <t>ED-05</t>
  </si>
  <si>
    <t>FIM-03</t>
  </si>
  <si>
    <t>FIM-04</t>
  </si>
  <si>
    <t>GA-06</t>
  </si>
  <si>
    <t>GA-08</t>
  </si>
  <si>
    <t>GA-09</t>
  </si>
  <si>
    <t>GE-01</t>
  </si>
  <si>
    <t>GE-03</t>
  </si>
  <si>
    <t>GRC-07</t>
  </si>
  <si>
    <t>GRC-08</t>
  </si>
  <si>
    <t>GRC-09</t>
  </si>
  <si>
    <t>GRO-01</t>
  </si>
  <si>
    <t>GRO-02</t>
  </si>
  <si>
    <t>GRO-04</t>
  </si>
  <si>
    <t>GRO-05</t>
  </si>
  <si>
    <t>GRO-06</t>
  </si>
  <si>
    <t>GRS-01</t>
  </si>
  <si>
    <t>GRS-02</t>
  </si>
  <si>
    <t>GRS-03</t>
  </si>
  <si>
    <t>GRS-04</t>
  </si>
  <si>
    <t>GRS-05</t>
  </si>
  <si>
    <t>GRS-06</t>
  </si>
  <si>
    <t>HAD-04</t>
  </si>
  <si>
    <t>HAL-02</t>
  </si>
  <si>
    <t>HAL-03</t>
  </si>
  <si>
    <t>HAL-04</t>
  </si>
  <si>
    <t>HAL-05</t>
  </si>
  <si>
    <t>HAP-01</t>
  </si>
  <si>
    <t>HAP-02</t>
  </si>
  <si>
    <t>HAP-03</t>
  </si>
  <si>
    <t>HAP-04</t>
  </si>
  <si>
    <t>HAP-06</t>
  </si>
  <si>
    <t>HAP-07</t>
  </si>
  <si>
    <t>HAP-08</t>
  </si>
  <si>
    <t>HAP-09</t>
  </si>
  <si>
    <t>IN-02</t>
  </si>
  <si>
    <t>INE-02</t>
  </si>
  <si>
    <t>INE-03</t>
  </si>
  <si>
    <t>INE-04</t>
  </si>
  <si>
    <t>INE-09</t>
  </si>
  <si>
    <t>INO-01</t>
  </si>
  <si>
    <t>INX-04</t>
  </si>
  <si>
    <t>IOA-01</t>
  </si>
  <si>
    <t>IOA-02</t>
  </si>
  <si>
    <t>IOA-03</t>
  </si>
  <si>
    <t>IOC-01</t>
  </si>
  <si>
    <t>IOC-02</t>
  </si>
  <si>
    <t>IOC-03</t>
  </si>
  <si>
    <t>IOC-04</t>
  </si>
  <si>
    <t>IOC-05</t>
  </si>
  <si>
    <t>IOC-06</t>
  </si>
  <si>
    <t>IOO-07</t>
  </si>
  <si>
    <t>IOS-01</t>
  </si>
  <si>
    <t>IOS-02</t>
  </si>
  <si>
    <t>IOS-03</t>
  </si>
  <si>
    <t>IOW-03</t>
  </si>
  <si>
    <t>IW-01</t>
  </si>
  <si>
    <t>IW-02</t>
  </si>
  <si>
    <t>IW-03</t>
  </si>
  <si>
    <t>IW-04</t>
  </si>
  <si>
    <t>IW-05</t>
  </si>
  <si>
    <t>IW-06</t>
  </si>
  <si>
    <t>IW-07</t>
  </si>
  <si>
    <t>IW-08</t>
  </si>
  <si>
    <t>MAC-02</t>
  </si>
  <si>
    <t>MAC-03</t>
  </si>
  <si>
    <t>MAC-04</t>
  </si>
  <si>
    <t>MAC-05</t>
  </si>
  <si>
    <t>MAC-06</t>
  </si>
  <si>
    <t>MAP-01</t>
  </si>
  <si>
    <t>MAP-02</t>
  </si>
  <si>
    <t>MAP-03</t>
  </si>
  <si>
    <t>MAP-04</t>
  </si>
  <si>
    <t>NE-07</t>
  </si>
  <si>
    <t>NEC-01</t>
  </si>
  <si>
    <t>NEC-02</t>
  </si>
  <si>
    <t>NEC-03</t>
  </si>
  <si>
    <t>NEC-04</t>
  </si>
  <si>
    <t>OP-01</t>
  </si>
  <si>
    <t>OPA-01</t>
  </si>
  <si>
    <t>OPB-01</t>
  </si>
  <si>
    <t>OPB-02</t>
  </si>
  <si>
    <t>OPL-01</t>
  </si>
  <si>
    <t>OPL-04</t>
  </si>
  <si>
    <t>OPL-05</t>
  </si>
  <si>
    <t>OPL-06</t>
  </si>
  <si>
    <t>OPL-08</t>
  </si>
  <si>
    <t>OPM-01</t>
  </si>
  <si>
    <t>OPM-02</t>
  </si>
  <si>
    <t>OPM-04</t>
  </si>
  <si>
    <t>OPM-05</t>
  </si>
  <si>
    <t>OPM-06</t>
  </si>
  <si>
    <t>OPM-07</t>
  </si>
  <si>
    <t>OPM-08</t>
  </si>
  <si>
    <t>OPN-08</t>
  </si>
  <si>
    <t>OPP-01</t>
  </si>
  <si>
    <t>OPP-02</t>
  </si>
  <si>
    <t>OPS-05</t>
  </si>
  <si>
    <t>OPS-07</t>
  </si>
  <si>
    <t>OPT-03</t>
  </si>
  <si>
    <t>OPT-05</t>
  </si>
  <si>
    <t>OPV-02</t>
  </si>
  <si>
    <t>OPV-03</t>
  </si>
  <si>
    <t>OPV-04</t>
  </si>
  <si>
    <t>OPV-06</t>
  </si>
  <si>
    <t>OPV-07</t>
  </si>
  <si>
    <t>OPX-01</t>
  </si>
  <si>
    <t>OPX-03</t>
  </si>
  <si>
    <t>OPX-04</t>
  </si>
  <si>
    <t>OPX-05</t>
  </si>
  <si>
    <t>OPX-07</t>
  </si>
  <si>
    <t>OPX-08</t>
  </si>
  <si>
    <t>OPX-09</t>
  </si>
  <si>
    <t>PJ-01</t>
  </si>
  <si>
    <t>PJM-01</t>
  </si>
  <si>
    <t>PR-03</t>
  </si>
  <si>
    <t>PRA-01</t>
  </si>
  <si>
    <t>PRB-09</t>
  </si>
  <si>
    <t>PRC-03</t>
  </si>
  <si>
    <t>PRC-04</t>
  </si>
  <si>
    <t>PRD-02</t>
  </si>
  <si>
    <t>PRD-07</t>
  </si>
  <si>
    <t>PRG-01</t>
  </si>
  <si>
    <t>PRH-01</t>
  </si>
  <si>
    <t>PRH-02</t>
  </si>
  <si>
    <t>PRH-03</t>
  </si>
  <si>
    <t>PRH-04</t>
  </si>
  <si>
    <t>PRH-05</t>
  </si>
  <si>
    <t>PRH-06</t>
  </si>
  <si>
    <t>PRH-07</t>
  </si>
  <si>
    <t>PRH-08</t>
  </si>
  <si>
    <t>PRH-09</t>
  </si>
  <si>
    <t>PRJ-03</t>
  </si>
  <si>
    <t>PRJ-04</t>
  </si>
  <si>
    <t>PRJ-05</t>
  </si>
  <si>
    <t>PRJ-06</t>
  </si>
  <si>
    <t>PRJ-07</t>
  </si>
  <si>
    <t>PRJ-09</t>
  </si>
  <si>
    <t>PRM-01</t>
  </si>
  <si>
    <t>PRY-01</t>
  </si>
  <si>
    <t>RO-01</t>
  </si>
  <si>
    <t>RO-02</t>
  </si>
  <si>
    <t>SE-03</t>
  </si>
  <si>
    <t>SE-04</t>
  </si>
  <si>
    <t>SE-06</t>
  </si>
  <si>
    <t>SE-07</t>
  </si>
  <si>
    <t>SE-08</t>
  </si>
  <si>
    <t>SE-09</t>
  </si>
  <si>
    <t>VI-04</t>
  </si>
  <si>
    <t>VI-05</t>
  </si>
  <si>
    <t>VI-06</t>
  </si>
  <si>
    <t>VI-07</t>
  </si>
  <si>
    <t>VI-08</t>
  </si>
  <si>
    <t>***</t>
  </si>
  <si>
    <t>Ask for.</t>
  </si>
  <si>
    <t>OPN-49</t>
  </si>
  <si>
    <t>Windows 2000 Profesional Expert Companion</t>
  </si>
  <si>
    <t>WINDOWS 2001</t>
  </si>
  <si>
    <t>Stinson, C &amp; Siechert, C</t>
  </si>
  <si>
    <t>Filemaker Pro 13 the missing manual</t>
  </si>
  <si>
    <t>FILEMAKER PRO 13</t>
  </si>
  <si>
    <t>Prosser, S &amp; Gripman, S</t>
  </si>
  <si>
    <t>DBL-03</t>
  </si>
  <si>
    <t>MU-61</t>
  </si>
  <si>
    <t>MU-62</t>
  </si>
  <si>
    <t>Flash 5 for Windows &amp; Macintosh</t>
  </si>
  <si>
    <t>Outlook 2000 for Windows</t>
  </si>
  <si>
    <t>Young, M J</t>
  </si>
  <si>
    <t>INE-13</t>
  </si>
  <si>
    <t>PRJ-33</t>
  </si>
  <si>
    <t>PRJ-34</t>
  </si>
  <si>
    <t>Java Examples in a Nutshell</t>
  </si>
  <si>
    <t>PRJ-35</t>
  </si>
  <si>
    <t>PHP4 A Beginner's Guide</t>
  </si>
  <si>
    <t>PHP</t>
  </si>
  <si>
    <t>McCarty, B.</t>
  </si>
  <si>
    <t>IW-77</t>
  </si>
  <si>
    <t>OPL-49</t>
  </si>
  <si>
    <t>Ubuntu for Non-Geeks, 2nd edition</t>
  </si>
  <si>
    <t>OPL-48</t>
  </si>
  <si>
    <t>Ubuntu Linux for Dummies</t>
  </si>
  <si>
    <t>Sery, P G</t>
  </si>
  <si>
    <t>WordPerfect Office 12 User Guide</t>
  </si>
  <si>
    <t>WORDPERFECT 12</t>
  </si>
  <si>
    <t>IOC-07</t>
  </si>
  <si>
    <t>microSQL for Windows User Guide</t>
  </si>
  <si>
    <t>MicroResearch</t>
  </si>
  <si>
    <t>EQL Pty Ltd</t>
  </si>
  <si>
    <t>DBP-02</t>
  </si>
  <si>
    <t>InDesign for Macintosh &amp; Windows</t>
  </si>
  <si>
    <t>DPD-03</t>
  </si>
  <si>
    <t>Modern database management 6th edition</t>
  </si>
  <si>
    <t>DATABASE MANAGEMENT</t>
  </si>
  <si>
    <t>Hoffer, J. A., Prescott M. B. &amp; McFadden F. R.</t>
  </si>
  <si>
    <t>DB-01</t>
  </si>
  <si>
    <t>HA-55</t>
  </si>
  <si>
    <t>How to Expand &amp; Upgrade PCs</t>
  </si>
  <si>
    <t>HA-56</t>
  </si>
  <si>
    <t>Thompson, R. B. &amp; Thompson, F. T.</t>
  </si>
  <si>
    <t>OPX-53</t>
  </si>
  <si>
    <t>Australian Beginner's Guide to Microsoft Windows</t>
  </si>
  <si>
    <t>WINDOWS GENERAL</t>
  </si>
  <si>
    <t>Bradley, H. &amp; Flynn, D.</t>
  </si>
  <si>
    <t>Maximedia</t>
  </si>
  <si>
    <t>ACT! 2005 for Dummies</t>
  </si>
  <si>
    <t>ACT!</t>
  </si>
  <si>
    <t>Customer Relationship</t>
  </si>
  <si>
    <t>Fredericks, K. S.</t>
  </si>
  <si>
    <t>IF-02</t>
  </si>
  <si>
    <t>Digital Photo Doctor</t>
  </si>
  <si>
    <t>PHOTOGRAPHY</t>
  </si>
  <si>
    <t>Daly, T. &amp; Asch, D.</t>
  </si>
  <si>
    <t>Reader's Digest</t>
  </si>
  <si>
    <t>The Complete Idiot's Guide to Digital Photography</t>
  </si>
  <si>
    <t>Greenberg, S.</t>
  </si>
  <si>
    <t>ALPHA</t>
  </si>
  <si>
    <t>Digital Photography for Dummies, 4th edition</t>
  </si>
  <si>
    <t>King, J. A.</t>
  </si>
  <si>
    <t>Brilliant Digital Photography for the Over 50s</t>
  </si>
  <si>
    <t>Skeoch, J. &amp; Lees, A.</t>
  </si>
  <si>
    <t>Pearson/Prentice Hall</t>
  </si>
  <si>
    <t>The Compact &amp; Digital Camera Handbook</t>
  </si>
  <si>
    <t>Lezano, D.</t>
  </si>
  <si>
    <t>Marshall</t>
  </si>
  <si>
    <t>DIP-18</t>
  </si>
  <si>
    <t>DIP-19</t>
  </si>
  <si>
    <t>DIP-20</t>
  </si>
  <si>
    <t>DIP-21</t>
  </si>
  <si>
    <t>DIP-22</t>
  </si>
  <si>
    <t>CO-63</t>
  </si>
  <si>
    <t>How to do Just About Anything on a Computer</t>
  </si>
  <si>
    <t>PCs GENERAL</t>
  </si>
  <si>
    <t>Windows Vista</t>
  </si>
  <si>
    <t>Digital Video in easy steps</t>
  </si>
  <si>
    <t>MULTIMEDIA</t>
  </si>
  <si>
    <t>Vandome, N.</t>
  </si>
  <si>
    <t>DV-85</t>
  </si>
  <si>
    <t>COOL 3D Production Studio User Guide</t>
  </si>
  <si>
    <t>Ulead COOL 3D</t>
  </si>
  <si>
    <t>GRAHICS</t>
  </si>
  <si>
    <t>Ulead Systems</t>
  </si>
  <si>
    <t>GR-17</t>
  </si>
  <si>
    <t>Adobe Photoshop Elements 5.0</t>
  </si>
  <si>
    <t>Photoshop</t>
  </si>
  <si>
    <t>Adobe Systems</t>
  </si>
  <si>
    <t>GRO-43</t>
  </si>
  <si>
    <t>Easy Adobe Photoshop Elements 4</t>
  </si>
  <si>
    <t>Binder, K.</t>
  </si>
  <si>
    <t>GRO-44</t>
  </si>
  <si>
    <t>Adobe Photoshop Elements 2.0 User Guide</t>
  </si>
  <si>
    <t>GRO-45</t>
  </si>
  <si>
    <t>Paint Shop Pro 7 for Dummies</t>
  </si>
  <si>
    <t>Paint Shop Pro</t>
  </si>
  <si>
    <t>Kay, D.</t>
  </si>
  <si>
    <t>Paint Shop Pro 7</t>
  </si>
  <si>
    <t>GRS-07</t>
  </si>
  <si>
    <t>Corel Paint Shop Pro PHOTO X2 User Guide</t>
  </si>
  <si>
    <t>Corel</t>
  </si>
  <si>
    <t>GRS-08</t>
  </si>
  <si>
    <t>DIP-23</t>
  </si>
  <si>
    <t>Complete Guide to Ultimate Digital Photo Quality</t>
  </si>
  <si>
    <t>DIGITAL PHOTOGRAPHY</t>
  </si>
  <si>
    <t>Doeffinger, D</t>
  </si>
  <si>
    <t>Lark Books</t>
  </si>
  <si>
    <t>Teach Yourself Adobe Premier Pro in 24 hours</t>
  </si>
  <si>
    <t>Sengstack, J.</t>
  </si>
  <si>
    <t>SAMS Publishing</t>
  </si>
  <si>
    <t>Kalakota, R. &amp; Robinson, M.</t>
  </si>
  <si>
    <t>Robinson, M. &amp; Vorobiev, P.</t>
  </si>
  <si>
    <t>DB-02</t>
  </si>
  <si>
    <t>DB-03</t>
  </si>
  <si>
    <t>DB-04</t>
  </si>
  <si>
    <t>DB-05</t>
  </si>
  <si>
    <t>Microsoft ADO.NET Step by Step</t>
  </si>
  <si>
    <t>ACO.NET</t>
  </si>
  <si>
    <t>Riordan, R. M.</t>
  </si>
  <si>
    <t>Microsoft ADO.NET 2.0 Step by Step</t>
  </si>
  <si>
    <t>ADO.NET 2.0</t>
  </si>
  <si>
    <t>Buiding Web Solutions with ASP.NET and ADO.NET</t>
  </si>
  <si>
    <t>ASP.NET &amp; ADO.NET</t>
  </si>
  <si>
    <t>Esposito, D.</t>
  </si>
  <si>
    <t>Developing Microsoft ASP.NET Server Controls &amp; Components</t>
  </si>
  <si>
    <t>ASP.NET</t>
  </si>
  <si>
    <t>Kothari, N. &amp; Datye, V.</t>
  </si>
  <si>
    <t>DB-06</t>
  </si>
  <si>
    <t>DB-07</t>
  </si>
  <si>
    <t>Programming Microsoft Web Forms</t>
  </si>
  <si>
    <t>ASP.NET 2.0</t>
  </si>
  <si>
    <t>Reilly, D. J.</t>
  </si>
  <si>
    <t>ADO Programming in Visual Basic 6</t>
  </si>
  <si>
    <t>ADO &amp; Visual Basic</t>
  </si>
  <si>
    <t>PostgreSQL</t>
  </si>
  <si>
    <t>Douglas, K. &amp; Douglas, S.</t>
  </si>
  <si>
    <t>SAMS Developer's Library</t>
  </si>
  <si>
    <t>MySQL</t>
  </si>
  <si>
    <t>SQL 4</t>
  </si>
  <si>
    <t>DuBois, P.</t>
  </si>
  <si>
    <t>DBP-03</t>
  </si>
  <si>
    <t>DBP-04</t>
  </si>
  <si>
    <t>PRC-42</t>
  </si>
  <si>
    <t>PRC-43</t>
  </si>
  <si>
    <t>Illustrated C# 2008</t>
  </si>
  <si>
    <t>PROGRAMMING</t>
  </si>
  <si>
    <t>Solis, D.</t>
  </si>
  <si>
    <t>Microsoft Visual C#.NET Step by Step</t>
  </si>
  <si>
    <t>Visual C#.NET</t>
  </si>
  <si>
    <t>Sharp, J. &amp; Jagger, J.</t>
  </si>
  <si>
    <t>PRB-42</t>
  </si>
  <si>
    <t>PRB-43</t>
  </si>
  <si>
    <t>Visual Basic Object &amp; Component Handbook</t>
  </si>
  <si>
    <t>Visual Basic</t>
  </si>
  <si>
    <t>Vogel, P.</t>
  </si>
  <si>
    <t>CDO &amp; MAPI Programming with Visual Basic</t>
  </si>
  <si>
    <t>Grundgeiger, D.</t>
  </si>
  <si>
    <t>PRB-44</t>
  </si>
  <si>
    <t>PRB-45</t>
  </si>
  <si>
    <t>Microsoft Visual BASIC.NET Step by Step</t>
  </si>
  <si>
    <t>Visual BASIC.NET</t>
  </si>
  <si>
    <t>Internet Programming with Visual Basic</t>
  </si>
  <si>
    <t>Kurniawan, B.</t>
  </si>
  <si>
    <t>PRJ-36</t>
  </si>
  <si>
    <t>Learning JavaScript</t>
  </si>
  <si>
    <t>JavaScript</t>
  </si>
  <si>
    <t>WPM-28</t>
  </si>
  <si>
    <t>Teach Yourself Microsoft Word 2000 Automation</t>
  </si>
  <si>
    <t>Word 2000</t>
  </si>
  <si>
    <t>WORD PROCESSING</t>
  </si>
  <si>
    <t>Palmer, P.</t>
  </si>
  <si>
    <t>IW-78</t>
  </si>
  <si>
    <t>IW-79</t>
  </si>
  <si>
    <t>HTML &amp; XML for beginners</t>
  </si>
  <si>
    <t>HTML &amp; XML</t>
  </si>
  <si>
    <t>Internet development</t>
  </si>
  <si>
    <t>Morrison, M.</t>
  </si>
  <si>
    <t>HTML, XHTML, and CSS Bible</t>
  </si>
  <si>
    <t>HTML, XHTML, CSS</t>
  </si>
  <si>
    <t>Schafer, S. M.</t>
  </si>
  <si>
    <t>OPS-101</t>
  </si>
  <si>
    <t>Windows 10 for Dummies</t>
  </si>
  <si>
    <t>WINDOWS 10</t>
  </si>
  <si>
    <t>Core JFC Java Foundation Classes Second Edition</t>
  </si>
  <si>
    <t>The Java Developer's Guide to Eclipse</t>
  </si>
  <si>
    <t>Shavor, S. et al</t>
  </si>
  <si>
    <t>Core Java 2 Volume 1 - Fundamentals</t>
  </si>
  <si>
    <t>Java</t>
  </si>
  <si>
    <t>Horstmann, C. S. &amp; Cornell, G.</t>
  </si>
  <si>
    <t>Sun Microsystems</t>
  </si>
  <si>
    <t>PRJ-37</t>
  </si>
  <si>
    <t>Java Programming Fundamentals</t>
  </si>
  <si>
    <t>Seefeld, K.</t>
  </si>
  <si>
    <t>Charles River Media</t>
  </si>
  <si>
    <t>PRJ-38</t>
  </si>
  <si>
    <t>PRJ-39</t>
  </si>
  <si>
    <t>Java 2 in easy steps</t>
  </si>
  <si>
    <t>McGrath, M.</t>
  </si>
  <si>
    <t>AppleWorks 6, The Missing Manual</t>
  </si>
  <si>
    <t>IOO-25</t>
  </si>
  <si>
    <t>Step by Step 2007 Microsoft Office System</t>
  </si>
  <si>
    <t>Cox, J. et al</t>
  </si>
  <si>
    <t>Pocket PC.  Everything to do with your,</t>
  </si>
  <si>
    <t>HAL-06</t>
  </si>
  <si>
    <t>Samsung Galaxy Tab S for Dummies</t>
  </si>
  <si>
    <t>Android</t>
  </si>
  <si>
    <t>Tablet Computers</t>
  </si>
  <si>
    <t>John Wiley</t>
  </si>
  <si>
    <t>Android Tablets for Dummies</t>
  </si>
  <si>
    <t>HAL-07</t>
  </si>
  <si>
    <t>iPad for Dummies</t>
  </si>
  <si>
    <t>Baig, E. C. &amp; LeVitus, B</t>
  </si>
  <si>
    <t>HAL-08</t>
  </si>
  <si>
    <t>MAC-07</t>
  </si>
  <si>
    <t>Macs for Dummies</t>
  </si>
  <si>
    <t>Apple Mac</t>
  </si>
  <si>
    <t>Baig, E. C.</t>
  </si>
  <si>
    <t>OPS-809</t>
  </si>
  <si>
    <t>Windows 8.1</t>
  </si>
  <si>
    <t>OPS-810</t>
  </si>
  <si>
    <t>Windows 8.1 for Seniors for Dummies</t>
  </si>
  <si>
    <t>Weverka, P. &amp; Hinton, M. J.</t>
  </si>
  <si>
    <t>CO-64</t>
  </si>
  <si>
    <t>Computers for Seniors for Dummies</t>
  </si>
  <si>
    <t>General</t>
  </si>
  <si>
    <t>Computers</t>
  </si>
  <si>
    <t>Muir, N. C.</t>
  </si>
  <si>
    <t>IOO-26</t>
  </si>
  <si>
    <t>Office 2013 for Dummies</t>
  </si>
  <si>
    <t>OFFICE 2013</t>
  </si>
  <si>
    <t>SPE-37</t>
  </si>
  <si>
    <t>Excel 2013 for Dummies</t>
  </si>
  <si>
    <t>EXCEL 2013</t>
  </si>
  <si>
    <t>DIP-24</t>
  </si>
  <si>
    <t>The Adobe Photoshop Lightroom CC book for digital photographers</t>
  </si>
  <si>
    <t>Kelby, S.</t>
  </si>
  <si>
    <t>Game Development Essentials: Game Story &amp; Character Development</t>
  </si>
  <si>
    <t>Krawczyk, M. &amp; Novak, J.</t>
  </si>
  <si>
    <t>Thomson Delmar Learning</t>
  </si>
  <si>
    <t>Better Game Characters by Design</t>
  </si>
  <si>
    <t>Isbister, K.</t>
  </si>
  <si>
    <t>Elsevier Morgan Kaufmann</t>
  </si>
  <si>
    <t>GA-20</t>
  </si>
  <si>
    <t>GA-21</t>
  </si>
  <si>
    <t>Windows 8 for Seniors for Dummies</t>
  </si>
  <si>
    <t>Windows 8</t>
  </si>
  <si>
    <t>OPS-811</t>
  </si>
  <si>
    <t>Advanced Hacks &amp; Guides &amp; Tips for Andriod</t>
  </si>
  <si>
    <t>BDM</t>
  </si>
  <si>
    <t>Australian Android Magazine, Volume 3</t>
  </si>
  <si>
    <t>The Ultimate Beginners Guide to Android Smartphones &amp; Tablets, Volume 4</t>
  </si>
  <si>
    <t>The Definitive Guide to Samsung Galaxy, Volume 7</t>
  </si>
  <si>
    <t>HAL-09</t>
  </si>
  <si>
    <t>HAL-10</t>
  </si>
  <si>
    <t>HAL-11</t>
  </si>
  <si>
    <t>HAL-12</t>
  </si>
  <si>
    <t>OPS-102</t>
  </si>
  <si>
    <t>OPS-103</t>
  </si>
  <si>
    <t>OPS-104</t>
  </si>
  <si>
    <t>Windows 10 at Work for Dummies</t>
  </si>
  <si>
    <t>Rusen, C.A.</t>
  </si>
  <si>
    <t>Windows 10 for Seniors for Dummies</t>
  </si>
  <si>
    <t>Weverka, P.</t>
  </si>
  <si>
    <t>Windows 10 All-in-One for Dummies</t>
  </si>
  <si>
    <t>WPM-29</t>
  </si>
  <si>
    <t>Word 2010 for Dummies</t>
  </si>
  <si>
    <t>Word 2010</t>
  </si>
  <si>
    <t>IOO-27</t>
  </si>
  <si>
    <t>Office 2010 for Dummies</t>
  </si>
  <si>
    <t>HA-57</t>
  </si>
  <si>
    <t>HA-58</t>
  </si>
  <si>
    <t>Raspberry Pi The Complete Manual</t>
  </si>
  <si>
    <t>Imagine Publishing</t>
  </si>
  <si>
    <t>No author identified</t>
  </si>
  <si>
    <t>Raspberry Pi User Guide, Third Edition</t>
  </si>
  <si>
    <t>Upton, E. &amp; Halfacreek, G</t>
  </si>
  <si>
    <t>SPE-38</t>
  </si>
  <si>
    <t>EXCEL 2016</t>
  </si>
  <si>
    <t>Excel VBA Programming for Dummies, 4th edition</t>
  </si>
  <si>
    <t>DBA-36</t>
  </si>
  <si>
    <t>Access 2016 for Dummies</t>
  </si>
  <si>
    <t>ACCESS 2016</t>
  </si>
  <si>
    <t>Fuller, L. U. &amp; Cook, K.</t>
  </si>
  <si>
    <t>DPD-04</t>
  </si>
  <si>
    <t>Adobe InDesign CS2, Photoshop CS2 &amp; Illustrator CS2</t>
  </si>
  <si>
    <t>Botello, C &amp; Reding, E E</t>
  </si>
  <si>
    <t>Thomson Learning</t>
  </si>
  <si>
    <t>DREAMWEAVER 2</t>
  </si>
  <si>
    <t>CO-65</t>
  </si>
  <si>
    <t>Pogue's Basics</t>
  </si>
  <si>
    <t>Flatiron Books</t>
  </si>
  <si>
    <t>IW-80</t>
  </si>
  <si>
    <t>Teach Yourself Visually WordPress, 3rd edition</t>
  </si>
  <si>
    <t>Plumley, G.</t>
  </si>
  <si>
    <t>GRP-09</t>
  </si>
  <si>
    <t>Teach Yourself Visually PowerPoint 2016</t>
  </si>
  <si>
    <t>POWERPOINT  2016</t>
  </si>
  <si>
    <t>Boyd, B. &amp; Anthony, R.</t>
  </si>
  <si>
    <t>CO-66</t>
  </si>
  <si>
    <t>PCs All-in-one for Dummies, 6th edition</t>
  </si>
  <si>
    <t>HA-59</t>
  </si>
  <si>
    <t>Build Your Own PC Do-It-Yourself for Dummies</t>
  </si>
  <si>
    <t>SPE-39</t>
  </si>
  <si>
    <t>Teach Yourself Visually Excel 2016</t>
  </si>
  <si>
    <t>WPM-30</t>
  </si>
  <si>
    <t>Word 2016 for Dummies</t>
  </si>
  <si>
    <t>Word 2016</t>
  </si>
  <si>
    <t>DIP-25</t>
  </si>
  <si>
    <t>Photoshop Elements 14 for Dummies</t>
  </si>
  <si>
    <t>Obermeier, B. &amp; Padova, T,</t>
  </si>
  <si>
    <t>IN-135</t>
  </si>
  <si>
    <t>IN-136</t>
  </si>
  <si>
    <t>Google Earth for Dummies</t>
  </si>
  <si>
    <t>GOOGLE EARTH</t>
  </si>
  <si>
    <t>Crowder, D. A.</t>
  </si>
  <si>
    <t>IW-81</t>
  </si>
  <si>
    <t>Building a Website for Dummies</t>
  </si>
  <si>
    <t>MU-63</t>
  </si>
  <si>
    <t>Adobe Dreamweaver CS4 Revealed</t>
  </si>
  <si>
    <t>Delmar, Cengage Learning</t>
  </si>
  <si>
    <t>IW-82</t>
  </si>
  <si>
    <t>The Intelligent Web</t>
  </si>
  <si>
    <t>Internet Web</t>
  </si>
  <si>
    <t>Shroff, G.</t>
  </si>
  <si>
    <t>Oxford</t>
  </si>
  <si>
    <t>CO-67</t>
  </si>
  <si>
    <t>Computer Basics Absolute Beginner's Guide</t>
  </si>
  <si>
    <t>Que, Pearson Education</t>
  </si>
  <si>
    <t>HA-60</t>
  </si>
  <si>
    <t>Apple Watch Guide</t>
  </si>
  <si>
    <t>Colvin, H.</t>
  </si>
  <si>
    <t>Harry Colvin</t>
  </si>
  <si>
    <t>iPhone for Seniors</t>
  </si>
  <si>
    <t>In Easy Steps</t>
  </si>
  <si>
    <t>HA-61</t>
  </si>
  <si>
    <t>HAL-13</t>
  </si>
  <si>
    <t>Laptops for Seniors</t>
  </si>
  <si>
    <t>HAL-14</t>
  </si>
  <si>
    <t>My iPad</t>
  </si>
  <si>
    <t>Rosenzweig, G.</t>
  </si>
  <si>
    <t>QUE Pearson Education</t>
  </si>
  <si>
    <t>HAL-15</t>
  </si>
  <si>
    <t>Smartphones</t>
  </si>
  <si>
    <t>Android Phones for Dummies, 4th edition</t>
  </si>
  <si>
    <t>MAC-08</t>
  </si>
  <si>
    <t>Apple Computing for Seniors in Easy Steps</t>
  </si>
  <si>
    <t>APPLE</t>
  </si>
  <si>
    <t>Apple</t>
  </si>
  <si>
    <t>Working with a Samsung Galaxy Tablet with Android 5 for SENIORS</t>
  </si>
  <si>
    <t>Studio Visual Steps</t>
  </si>
  <si>
    <t>Visual Steps</t>
  </si>
  <si>
    <t>HAL-16</t>
  </si>
  <si>
    <t>Microsoft Excel 2016 for Dummies</t>
  </si>
  <si>
    <t>SPE-40</t>
  </si>
  <si>
    <t>HA-62</t>
  </si>
  <si>
    <t>PCs for Dummies, 13th Edition</t>
  </si>
  <si>
    <t>IN-137</t>
  </si>
  <si>
    <t>Facebook for Seniors</t>
  </si>
  <si>
    <t>Ewin, Ewin &amp; Ewin</t>
  </si>
  <si>
    <t>FACEBOOK</t>
  </si>
  <si>
    <t>GR-18</t>
  </si>
  <si>
    <t>Microsoft Visio 2016 Step by Step</t>
  </si>
  <si>
    <t>Helmers, S. A.</t>
  </si>
  <si>
    <t>VISIO</t>
  </si>
  <si>
    <t>Hardware tablet</t>
  </si>
  <si>
    <t>IOA-04</t>
  </si>
  <si>
    <t>OFFICE 365</t>
  </si>
  <si>
    <t>Office 365 for Dummies, 2nd Edition</t>
  </si>
  <si>
    <t>Withee, R., Withee, K., &amp; Reed, J.</t>
  </si>
  <si>
    <t>Web Security, Privacy &amp; Commerce</t>
  </si>
  <si>
    <t>IN-138</t>
  </si>
  <si>
    <t>The Million Dollar Blog</t>
  </si>
  <si>
    <t>Courtenay-Smith, N.</t>
  </si>
  <si>
    <t>piatkus</t>
  </si>
  <si>
    <t>IOO-28</t>
  </si>
  <si>
    <t>Office 2016 at Work for Dummies</t>
  </si>
  <si>
    <t>OFFICE 2016</t>
  </si>
  <si>
    <t>DIP-26</t>
  </si>
  <si>
    <t>Digital SLR Photography All-in-One for Dummies, 3rd edition</t>
  </si>
  <si>
    <t>Correll, R.</t>
  </si>
  <si>
    <t>NE-51</t>
  </si>
  <si>
    <t>Networking for Dummies, 11th edition</t>
  </si>
  <si>
    <t>Lowe, D.</t>
  </si>
  <si>
    <t>MAC-09</t>
  </si>
  <si>
    <t>Teach Yourself Visually MacBook, 3rd edition</t>
  </si>
  <si>
    <t>FIQ-28</t>
  </si>
  <si>
    <t>QuickBooks 2017 for Dummies</t>
  </si>
  <si>
    <t>Nelson, S. L.</t>
  </si>
  <si>
    <t>LinkedIn Profile Optimisation for Dummies</t>
  </si>
  <si>
    <t>Serdula, D.</t>
  </si>
  <si>
    <t>IN-139</t>
  </si>
  <si>
    <t>IN-140</t>
  </si>
  <si>
    <t>eBay for Dummies, 9th edition</t>
  </si>
  <si>
    <t>DBA-37</t>
  </si>
  <si>
    <t>Get the Most from Microsoft Access for Windows</t>
  </si>
  <si>
    <t>ACCESS</t>
  </si>
  <si>
    <t>InDesign CS3 for Windows &amp; Mac</t>
  </si>
  <si>
    <t>Shufflebothham, R.</t>
  </si>
  <si>
    <t>DPD-05</t>
  </si>
  <si>
    <t>IOO-29</t>
  </si>
  <si>
    <t>Microsoft Office 2013 QuickSteps</t>
  </si>
  <si>
    <t>Matthews, C., Matthews, M., &amp; Sandberg, B.</t>
  </si>
  <si>
    <t>MU-64</t>
  </si>
  <si>
    <t>Teach Yourself Visually Dreamweaver CS3</t>
  </si>
  <si>
    <t>Warner, J. C.</t>
  </si>
  <si>
    <t>DBA-38</t>
  </si>
  <si>
    <t>Microsoft Access 2010 for Dummies</t>
  </si>
  <si>
    <t>Fuller, L. U. &amp; Cook, K</t>
  </si>
  <si>
    <t>IOO-30</t>
  </si>
  <si>
    <t>Microsoft Office 2010 for Dummies</t>
  </si>
  <si>
    <t>GRP-10</t>
  </si>
  <si>
    <t>Microsoft PowerPoint 2010 for Dummies</t>
  </si>
  <si>
    <t>IOO-31</t>
  </si>
  <si>
    <t>Microsoft Office 2013 for Dummies</t>
  </si>
  <si>
    <t>HA-63</t>
  </si>
  <si>
    <t>Raspberry Pi for Dummies 2nd Edition</t>
  </si>
  <si>
    <t>McManus, S. &amp; Cook, M.</t>
  </si>
  <si>
    <t>DIP-27</t>
  </si>
  <si>
    <t>Salmon, R</t>
  </si>
  <si>
    <t>DIP-28</t>
  </si>
  <si>
    <t>Scanning Negatives and Slides</t>
  </si>
  <si>
    <t>Steinhoff, S.</t>
  </si>
  <si>
    <t>Rocky Nook</t>
  </si>
  <si>
    <t>DIP-29</t>
  </si>
  <si>
    <t>Color Management in Digital Photography</t>
  </si>
  <si>
    <t>Hinkel, B.</t>
  </si>
  <si>
    <t>DIP-30</t>
  </si>
  <si>
    <t>Fine Art Printing for Photographers</t>
  </si>
  <si>
    <t>Steinmueller, U. &amp; Gulbins, J.</t>
  </si>
  <si>
    <t>Rick Sammon's Digital Photography Secrets</t>
  </si>
  <si>
    <t>DV-86</t>
  </si>
  <si>
    <t>Adobe Creative Suite 4 Master Collection: 2 DVDs</t>
  </si>
  <si>
    <t>IOO-32</t>
  </si>
  <si>
    <t>Microsoft Office Enterprise 2007: DVD</t>
  </si>
  <si>
    <t>CO-68</t>
  </si>
  <si>
    <t xml:space="preserve">Telstra: Victorian Tech Savvy Seniors Training DVDs (2)  </t>
  </si>
  <si>
    <t>OPS-17</t>
  </si>
  <si>
    <t>Windows 7 for Dummies: DVD</t>
  </si>
  <si>
    <t>IOO-33</t>
  </si>
  <si>
    <t>Microsoft Office 2010 for Dummies (DVD)</t>
  </si>
  <si>
    <t xml:space="preserve">                        LIBRARY  -  CURRENT BOOK LIST  - 20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</si>
</sst>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8"/>
      <name val="Arial"/>
      <family val="2"/>
    </font>
    <font>
      <sz val="11"/>
      <name val="Verdana"/>
      <family val="2"/>
    </font>
    <font>
      <sz val="11"/>
      <color indexed="8"/>
      <name val="Verdana"/>
      <family val="2"/>
    </font>
    <font>
      <sz val="11"/>
      <color indexed="1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1011"/>
  <sheetViews>
    <sheetView tabSelected="1" zoomScaleNormal="100" workbookViewId="0">
      <pane ySplit="5" topLeftCell="A6" activePane="bottomLeft" state="frozen"/>
      <selection pane="bottomLeft" activeCell="C4" sqref="C4"/>
    </sheetView>
  </sheetViews>
  <sheetFormatPr defaultColWidth="9.1796875" defaultRowHeight="13.5" x14ac:dyDescent="0.25"/>
  <cols>
    <col min="1" max="1" width="5.453125" style="1" customWidth="1"/>
    <col min="2" max="2" width="10.453125" style="1" customWidth="1"/>
    <col min="3" max="3" width="78.453125" style="1" bestFit="1" customWidth="1"/>
    <col min="4" max="4" width="27.7265625" style="1" bestFit="1" customWidth="1"/>
    <col min="5" max="5" width="24.81640625" style="1" bestFit="1" customWidth="1"/>
    <col min="6" max="6" width="7.54296875" style="1" bestFit="1" customWidth="1"/>
    <col min="7" max="7" width="37.81640625" style="1" customWidth="1"/>
    <col min="8" max="8" width="29.26953125" style="1" bestFit="1" customWidth="1"/>
    <col min="9" max="16384" width="9.1796875" style="1"/>
  </cols>
  <sheetData>
    <row r="2" spans="1:8" x14ac:dyDescent="0.25">
      <c r="C2" s="2" t="s">
        <v>2495</v>
      </c>
      <c r="D2" s="3"/>
      <c r="E2" s="3"/>
    </row>
    <row r="3" spans="1:8" x14ac:dyDescent="0.25">
      <c r="C3" s="4" t="s">
        <v>3125</v>
      </c>
    </row>
    <row r="4" spans="1:8" x14ac:dyDescent="0.25">
      <c r="A4" s="1" t="s">
        <v>2681</v>
      </c>
      <c r="B4" s="1" t="s">
        <v>2682</v>
      </c>
      <c r="C4" s="3"/>
      <c r="E4" s="4"/>
    </row>
    <row r="5" spans="1:8" x14ac:dyDescent="0.25">
      <c r="B5" s="5" t="s">
        <v>167</v>
      </c>
      <c r="C5" s="5" t="s">
        <v>168</v>
      </c>
      <c r="D5" s="5" t="s">
        <v>169</v>
      </c>
      <c r="E5" s="5" t="s">
        <v>170</v>
      </c>
      <c r="F5" s="5" t="s">
        <v>171</v>
      </c>
      <c r="G5" s="5" t="s">
        <v>172</v>
      </c>
      <c r="H5" s="5" t="s">
        <v>173</v>
      </c>
    </row>
    <row r="6" spans="1:8" x14ac:dyDescent="0.25">
      <c r="B6" s="7" t="s">
        <v>2496</v>
      </c>
      <c r="C6" s="2" t="s">
        <v>175</v>
      </c>
      <c r="D6" s="2"/>
      <c r="E6" s="2" t="s">
        <v>174</v>
      </c>
      <c r="F6" s="7">
        <v>2002</v>
      </c>
      <c r="G6" s="2" t="s">
        <v>413</v>
      </c>
      <c r="H6" s="2" t="s">
        <v>176</v>
      </c>
    </row>
    <row r="7" spans="1:8" x14ac:dyDescent="0.25">
      <c r="B7" s="6" t="s">
        <v>2497</v>
      </c>
      <c r="C7" s="1" t="s">
        <v>364</v>
      </c>
      <c r="E7" s="1" t="s">
        <v>174</v>
      </c>
      <c r="F7" s="6">
        <v>2004</v>
      </c>
      <c r="G7" s="1" t="s">
        <v>365</v>
      </c>
      <c r="H7" s="1" t="s">
        <v>177</v>
      </c>
    </row>
    <row r="8" spans="1:8" x14ac:dyDescent="0.25">
      <c r="B8" s="6" t="s">
        <v>2498</v>
      </c>
      <c r="C8" s="1" t="s">
        <v>178</v>
      </c>
      <c r="D8" s="1" t="s">
        <v>179</v>
      </c>
      <c r="E8" s="1" t="s">
        <v>174</v>
      </c>
      <c r="F8" s="6">
        <v>2006</v>
      </c>
      <c r="G8" s="3"/>
      <c r="H8" s="1" t="s">
        <v>180</v>
      </c>
    </row>
    <row r="9" spans="1:8" x14ac:dyDescent="0.25">
      <c r="B9" s="7" t="s">
        <v>2499</v>
      </c>
      <c r="C9" s="2" t="s">
        <v>181</v>
      </c>
      <c r="D9" s="2" t="s">
        <v>179</v>
      </c>
      <c r="E9" s="2" t="s">
        <v>174</v>
      </c>
      <c r="F9" s="7">
        <v>2007</v>
      </c>
      <c r="G9" s="2" t="s">
        <v>414</v>
      </c>
      <c r="H9" s="2" t="s">
        <v>182</v>
      </c>
    </row>
    <row r="10" spans="1:8" x14ac:dyDescent="0.25">
      <c r="B10" s="6" t="s">
        <v>2500</v>
      </c>
      <c r="C10" s="1" t="s">
        <v>366</v>
      </c>
      <c r="E10" s="1" t="s">
        <v>174</v>
      </c>
      <c r="F10" s="6">
        <v>2007</v>
      </c>
      <c r="G10" s="1" t="s">
        <v>415</v>
      </c>
      <c r="H10" s="1" t="s">
        <v>183</v>
      </c>
    </row>
    <row r="11" spans="1:8" x14ac:dyDescent="0.25">
      <c r="B11" s="7" t="s">
        <v>1941</v>
      </c>
      <c r="C11" s="2" t="s">
        <v>184</v>
      </c>
      <c r="D11" s="2" t="s">
        <v>185</v>
      </c>
      <c r="E11" s="2" t="s">
        <v>174</v>
      </c>
      <c r="F11" s="7">
        <v>2008</v>
      </c>
      <c r="G11" s="2" t="s">
        <v>416</v>
      </c>
      <c r="H11" s="2" t="s">
        <v>186</v>
      </c>
    </row>
    <row r="12" spans="1:8" x14ac:dyDescent="0.25">
      <c r="B12" s="6" t="s">
        <v>1942</v>
      </c>
      <c r="C12" s="1" t="s">
        <v>187</v>
      </c>
      <c r="D12" s="1" t="s">
        <v>188</v>
      </c>
      <c r="E12" s="1" t="s">
        <v>174</v>
      </c>
      <c r="F12" s="6">
        <v>2005</v>
      </c>
      <c r="G12" s="1" t="s">
        <v>417</v>
      </c>
      <c r="H12" s="1" t="s">
        <v>176</v>
      </c>
    </row>
    <row r="13" spans="1:8" x14ac:dyDescent="0.25">
      <c r="B13" s="7" t="s">
        <v>1943</v>
      </c>
      <c r="C13" s="2" t="s">
        <v>184</v>
      </c>
      <c r="D13" s="2" t="s">
        <v>185</v>
      </c>
      <c r="E13" s="2" t="s">
        <v>174</v>
      </c>
      <c r="F13" s="7">
        <v>2008</v>
      </c>
      <c r="G13" s="2" t="s">
        <v>416</v>
      </c>
      <c r="H13" s="2" t="s">
        <v>186</v>
      </c>
    </row>
    <row r="14" spans="1:8" x14ac:dyDescent="0.25">
      <c r="B14" s="7" t="s">
        <v>1944</v>
      </c>
      <c r="C14" s="2" t="s">
        <v>184</v>
      </c>
      <c r="D14" s="2" t="s">
        <v>185</v>
      </c>
      <c r="E14" s="2" t="s">
        <v>174</v>
      </c>
      <c r="F14" s="7">
        <v>2008</v>
      </c>
      <c r="G14" s="2" t="s">
        <v>416</v>
      </c>
      <c r="H14" s="2" t="s">
        <v>186</v>
      </c>
    </row>
    <row r="15" spans="1:8" x14ac:dyDescent="0.25">
      <c r="B15" s="6" t="s">
        <v>1945</v>
      </c>
      <c r="C15" s="1" t="s">
        <v>184</v>
      </c>
      <c r="D15" s="1" t="s">
        <v>185</v>
      </c>
      <c r="E15" s="1" t="s">
        <v>174</v>
      </c>
      <c r="F15" s="6">
        <v>2008</v>
      </c>
      <c r="G15" s="1" t="s">
        <v>416</v>
      </c>
      <c r="H15" s="1" t="s">
        <v>186</v>
      </c>
    </row>
    <row r="16" spans="1:8" x14ac:dyDescent="0.25">
      <c r="B16" s="6" t="s">
        <v>1946</v>
      </c>
      <c r="C16" s="1" t="s">
        <v>621</v>
      </c>
      <c r="E16" s="1" t="s">
        <v>174</v>
      </c>
      <c r="F16" s="6">
        <v>2008</v>
      </c>
      <c r="G16" s="1" t="s">
        <v>418</v>
      </c>
      <c r="H16" s="1" t="s">
        <v>189</v>
      </c>
    </row>
    <row r="17" spans="2:8" x14ac:dyDescent="0.25">
      <c r="B17" s="6" t="s">
        <v>1947</v>
      </c>
      <c r="C17" s="1" t="s">
        <v>618</v>
      </c>
      <c r="D17" s="1" t="s">
        <v>946</v>
      </c>
      <c r="F17" s="6">
        <v>2009</v>
      </c>
      <c r="G17" s="1" t="s">
        <v>945</v>
      </c>
      <c r="H17" s="1" t="s">
        <v>820</v>
      </c>
    </row>
    <row r="18" spans="2:8" x14ac:dyDescent="0.25">
      <c r="B18" s="6" t="s">
        <v>1948</v>
      </c>
      <c r="C18" s="1" t="s">
        <v>367</v>
      </c>
      <c r="D18" s="1" t="s">
        <v>818</v>
      </c>
      <c r="E18" s="1" t="s">
        <v>190</v>
      </c>
      <c r="F18" s="6">
        <v>1997</v>
      </c>
      <c r="G18" s="1" t="s">
        <v>419</v>
      </c>
      <c r="H18" s="1" t="s">
        <v>177</v>
      </c>
    </row>
    <row r="19" spans="2:8" x14ac:dyDescent="0.25">
      <c r="B19" s="6" t="s">
        <v>1949</v>
      </c>
      <c r="C19" s="1" t="s">
        <v>368</v>
      </c>
      <c r="D19" s="1" t="s">
        <v>819</v>
      </c>
      <c r="E19" s="1" t="s">
        <v>190</v>
      </c>
      <c r="F19" s="6">
        <v>2005</v>
      </c>
      <c r="G19" s="1" t="s">
        <v>420</v>
      </c>
      <c r="H19" s="1" t="s">
        <v>820</v>
      </c>
    </row>
    <row r="20" spans="2:8" x14ac:dyDescent="0.25">
      <c r="B20" s="6" t="s">
        <v>2501</v>
      </c>
      <c r="C20" s="1" t="s">
        <v>822</v>
      </c>
      <c r="E20" s="1" t="s">
        <v>821</v>
      </c>
      <c r="F20" s="6">
        <v>1998</v>
      </c>
      <c r="G20" s="1" t="s">
        <v>421</v>
      </c>
      <c r="H20" s="1" t="s">
        <v>823</v>
      </c>
    </row>
    <row r="21" spans="2:8" x14ac:dyDescent="0.25">
      <c r="B21" s="6" t="s">
        <v>2502</v>
      </c>
      <c r="C21" s="1" t="s">
        <v>579</v>
      </c>
      <c r="E21" s="1" t="s">
        <v>821</v>
      </c>
      <c r="F21" s="6">
        <v>2000</v>
      </c>
      <c r="G21" s="1" t="s">
        <v>422</v>
      </c>
      <c r="H21" s="1" t="s">
        <v>823</v>
      </c>
    </row>
    <row r="22" spans="2:8" x14ac:dyDescent="0.25">
      <c r="B22" s="7" t="s">
        <v>2503</v>
      </c>
      <c r="C22" s="2" t="s">
        <v>824</v>
      </c>
      <c r="D22" s="2"/>
      <c r="E22" s="2" t="s">
        <v>821</v>
      </c>
      <c r="F22" s="7">
        <v>1998</v>
      </c>
      <c r="G22" s="2" t="s">
        <v>423</v>
      </c>
      <c r="H22" s="2" t="s">
        <v>823</v>
      </c>
    </row>
    <row r="23" spans="2:8" x14ac:dyDescent="0.25">
      <c r="B23" s="6" t="s">
        <v>2504</v>
      </c>
      <c r="C23" s="1" t="s">
        <v>825</v>
      </c>
      <c r="E23" s="1" t="s">
        <v>826</v>
      </c>
      <c r="F23" s="6">
        <v>1998</v>
      </c>
      <c r="G23" s="1" t="s">
        <v>424</v>
      </c>
      <c r="H23" s="1" t="s">
        <v>823</v>
      </c>
    </row>
    <row r="24" spans="2:8" x14ac:dyDescent="0.25">
      <c r="B24" s="7" t="s">
        <v>1950</v>
      </c>
      <c r="C24" s="2" t="s">
        <v>1425</v>
      </c>
      <c r="D24" s="2"/>
      <c r="E24" s="2" t="s">
        <v>826</v>
      </c>
      <c r="F24" s="7">
        <v>2001</v>
      </c>
      <c r="G24" s="2" t="s">
        <v>425</v>
      </c>
      <c r="H24" s="2" t="s">
        <v>1426</v>
      </c>
    </row>
    <row r="25" spans="2:8" x14ac:dyDescent="0.25">
      <c r="B25" s="7" t="s">
        <v>1951</v>
      </c>
      <c r="C25" s="2" t="s">
        <v>1427</v>
      </c>
      <c r="D25" s="2"/>
      <c r="E25" s="2" t="s">
        <v>826</v>
      </c>
      <c r="F25" s="7">
        <v>2000</v>
      </c>
      <c r="G25" s="2" t="s">
        <v>426</v>
      </c>
      <c r="H25" s="2" t="s">
        <v>1428</v>
      </c>
    </row>
    <row r="26" spans="2:8" x14ac:dyDescent="0.25">
      <c r="B26" s="7" t="s">
        <v>1952</v>
      </c>
      <c r="C26" s="2" t="s">
        <v>1192</v>
      </c>
      <c r="D26" s="2"/>
      <c r="E26" s="2" t="s">
        <v>826</v>
      </c>
      <c r="F26" s="7">
        <v>2000</v>
      </c>
      <c r="G26" s="2" t="s">
        <v>427</v>
      </c>
      <c r="H26" s="2" t="s">
        <v>1193</v>
      </c>
    </row>
    <row r="27" spans="2:8" x14ac:dyDescent="0.25">
      <c r="B27" s="7" t="s">
        <v>1953</v>
      </c>
      <c r="C27" s="2" t="s">
        <v>1194</v>
      </c>
      <c r="D27" s="2"/>
      <c r="E27" s="2" t="s">
        <v>826</v>
      </c>
      <c r="F27" s="7">
        <v>2001</v>
      </c>
      <c r="G27" s="2" t="s">
        <v>369</v>
      </c>
      <c r="H27" s="2" t="s">
        <v>1193</v>
      </c>
    </row>
    <row r="28" spans="2:8" x14ac:dyDescent="0.25">
      <c r="B28" s="7" t="s">
        <v>1954</v>
      </c>
      <c r="C28" s="2" t="s">
        <v>1195</v>
      </c>
      <c r="D28" s="2"/>
      <c r="E28" s="2" t="s">
        <v>826</v>
      </c>
      <c r="F28" s="7">
        <v>2000</v>
      </c>
      <c r="G28" s="2" t="s">
        <v>428</v>
      </c>
      <c r="H28" s="2" t="s">
        <v>823</v>
      </c>
    </row>
    <row r="29" spans="2:8" x14ac:dyDescent="0.25">
      <c r="B29" s="7" t="s">
        <v>1955</v>
      </c>
      <c r="C29" s="2" t="s">
        <v>1816</v>
      </c>
      <c r="D29" s="2"/>
      <c r="E29" s="2" t="s">
        <v>826</v>
      </c>
      <c r="F29" s="7">
        <v>2000</v>
      </c>
      <c r="G29" s="2" t="s">
        <v>1817</v>
      </c>
      <c r="H29" s="2" t="s">
        <v>1818</v>
      </c>
    </row>
    <row r="30" spans="2:8" x14ac:dyDescent="0.25">
      <c r="B30" s="7" t="s">
        <v>1956</v>
      </c>
      <c r="C30" s="2" t="s">
        <v>576</v>
      </c>
      <c r="D30" s="2"/>
      <c r="E30" s="2" t="s">
        <v>826</v>
      </c>
      <c r="F30" s="7">
        <v>2000</v>
      </c>
      <c r="G30" s="2" t="s">
        <v>429</v>
      </c>
      <c r="H30" s="2" t="s">
        <v>1196</v>
      </c>
    </row>
    <row r="31" spans="2:8" x14ac:dyDescent="0.25">
      <c r="B31" s="7" t="s">
        <v>1957</v>
      </c>
      <c r="C31" s="2" t="s">
        <v>1197</v>
      </c>
      <c r="D31" s="2"/>
      <c r="E31" s="2" t="s">
        <v>826</v>
      </c>
      <c r="F31" s="7">
        <v>2001</v>
      </c>
      <c r="G31" s="2" t="s">
        <v>430</v>
      </c>
      <c r="H31" s="2" t="s">
        <v>1422</v>
      </c>
    </row>
    <row r="32" spans="2:8" x14ac:dyDescent="0.25">
      <c r="B32" s="7" t="s">
        <v>1958</v>
      </c>
      <c r="C32" s="2" t="s">
        <v>1198</v>
      </c>
      <c r="D32" s="2"/>
      <c r="E32" s="2" t="s">
        <v>826</v>
      </c>
      <c r="F32" s="7">
        <v>2000</v>
      </c>
      <c r="G32" s="2" t="s">
        <v>431</v>
      </c>
      <c r="H32" s="2" t="s">
        <v>823</v>
      </c>
    </row>
    <row r="33" spans="2:8" x14ac:dyDescent="0.25">
      <c r="B33" s="7" t="s">
        <v>1959</v>
      </c>
      <c r="C33" s="2" t="s">
        <v>1199</v>
      </c>
      <c r="D33" s="2"/>
      <c r="E33" s="2" t="s">
        <v>826</v>
      </c>
      <c r="F33" s="7">
        <v>2000</v>
      </c>
      <c r="G33" s="2" t="s">
        <v>432</v>
      </c>
      <c r="H33" s="2" t="s">
        <v>1422</v>
      </c>
    </row>
    <row r="34" spans="2:8" x14ac:dyDescent="0.25">
      <c r="B34" s="7" t="s">
        <v>1960</v>
      </c>
      <c r="C34" s="2" t="s">
        <v>1200</v>
      </c>
      <c r="D34" s="2"/>
      <c r="E34" s="2" t="s">
        <v>826</v>
      </c>
      <c r="F34" s="7">
        <v>2000</v>
      </c>
      <c r="G34" s="2" t="s">
        <v>433</v>
      </c>
      <c r="H34" s="2" t="s">
        <v>1201</v>
      </c>
    </row>
    <row r="35" spans="2:8" x14ac:dyDescent="0.25">
      <c r="B35" s="7" t="s">
        <v>1961</v>
      </c>
      <c r="C35" s="2" t="s">
        <v>1202</v>
      </c>
      <c r="D35" s="2"/>
      <c r="E35" s="2" t="s">
        <v>826</v>
      </c>
      <c r="F35" s="7">
        <v>2001</v>
      </c>
      <c r="G35" s="2" t="s">
        <v>434</v>
      </c>
      <c r="H35" s="2" t="s">
        <v>1204</v>
      </c>
    </row>
    <row r="36" spans="2:8" x14ac:dyDescent="0.25">
      <c r="B36" s="7" t="s">
        <v>1962</v>
      </c>
      <c r="C36" s="2" t="s">
        <v>1205</v>
      </c>
      <c r="D36" s="2"/>
      <c r="E36" s="2" t="s">
        <v>826</v>
      </c>
      <c r="F36" s="7">
        <v>2003</v>
      </c>
      <c r="G36" s="2" t="s">
        <v>435</v>
      </c>
      <c r="H36" s="2" t="s">
        <v>1206</v>
      </c>
    </row>
    <row r="37" spans="2:8" x14ac:dyDescent="0.25">
      <c r="B37" s="7" t="s">
        <v>1963</v>
      </c>
      <c r="C37" s="2" t="s">
        <v>1207</v>
      </c>
      <c r="D37" s="2"/>
      <c r="E37" s="2" t="s">
        <v>826</v>
      </c>
      <c r="F37" s="7">
        <v>2003</v>
      </c>
      <c r="G37" s="2" t="s">
        <v>436</v>
      </c>
      <c r="H37" s="2" t="s">
        <v>1428</v>
      </c>
    </row>
    <row r="38" spans="2:8" x14ac:dyDescent="0.25">
      <c r="B38" s="7" t="s">
        <v>1964</v>
      </c>
      <c r="C38" s="2" t="s">
        <v>1208</v>
      </c>
      <c r="D38" s="2"/>
      <c r="E38" s="2" t="s">
        <v>826</v>
      </c>
      <c r="F38" s="7">
        <v>2000</v>
      </c>
      <c r="G38" s="2" t="s">
        <v>437</v>
      </c>
      <c r="H38" s="2" t="s">
        <v>1209</v>
      </c>
    </row>
    <row r="39" spans="2:8" x14ac:dyDescent="0.25">
      <c r="B39" s="7" t="s">
        <v>1965</v>
      </c>
      <c r="C39" s="2" t="s">
        <v>1210</v>
      </c>
      <c r="D39" s="2"/>
      <c r="E39" s="2" t="s">
        <v>826</v>
      </c>
      <c r="F39" s="7">
        <v>2002</v>
      </c>
      <c r="G39" s="2" t="s">
        <v>438</v>
      </c>
      <c r="H39" s="2" t="s">
        <v>1211</v>
      </c>
    </row>
    <row r="40" spans="2:8" x14ac:dyDescent="0.25">
      <c r="B40" s="7" t="s">
        <v>1966</v>
      </c>
      <c r="C40" s="2" t="s">
        <v>1212</v>
      </c>
      <c r="D40" s="2"/>
      <c r="E40" s="2" t="s">
        <v>826</v>
      </c>
      <c r="F40" s="7">
        <v>1999</v>
      </c>
      <c r="G40" s="2" t="s">
        <v>439</v>
      </c>
      <c r="H40" s="2" t="s">
        <v>1213</v>
      </c>
    </row>
    <row r="41" spans="2:8" x14ac:dyDescent="0.25">
      <c r="B41" s="7" t="s">
        <v>1967</v>
      </c>
      <c r="C41" s="2" t="s">
        <v>1216</v>
      </c>
      <c r="D41" s="2"/>
      <c r="E41" s="2" t="s">
        <v>826</v>
      </c>
      <c r="F41" s="7">
        <v>2004</v>
      </c>
      <c r="G41" s="2" t="s">
        <v>440</v>
      </c>
      <c r="H41" s="2" t="s">
        <v>820</v>
      </c>
    </row>
    <row r="42" spans="2:8" x14ac:dyDescent="0.25">
      <c r="B42" s="7" t="s">
        <v>1968</v>
      </c>
      <c r="C42" s="2" t="s">
        <v>617</v>
      </c>
      <c r="D42" s="2"/>
      <c r="E42" s="2" t="s">
        <v>826</v>
      </c>
      <c r="F42" s="7">
        <v>2005</v>
      </c>
      <c r="G42" s="2" t="s">
        <v>443</v>
      </c>
      <c r="H42" s="2"/>
    </row>
    <row r="43" spans="2:8" x14ac:dyDescent="0.25">
      <c r="B43" s="7" t="s">
        <v>1969</v>
      </c>
      <c r="C43" s="2" t="s">
        <v>1218</v>
      </c>
      <c r="D43" s="2"/>
      <c r="E43" s="2" t="s">
        <v>826</v>
      </c>
      <c r="F43" s="7">
        <v>2004</v>
      </c>
      <c r="G43" s="2" t="s">
        <v>441</v>
      </c>
      <c r="H43" s="2" t="s">
        <v>1219</v>
      </c>
    </row>
    <row r="44" spans="2:8" x14ac:dyDescent="0.25">
      <c r="B44" s="7" t="s">
        <v>1970</v>
      </c>
      <c r="C44" s="2" t="s">
        <v>1220</v>
      </c>
      <c r="D44" s="2"/>
      <c r="E44" s="2" t="s">
        <v>826</v>
      </c>
      <c r="F44" s="7">
        <v>2003</v>
      </c>
      <c r="G44" s="2" t="s">
        <v>442</v>
      </c>
      <c r="H44" s="2" t="s">
        <v>1221</v>
      </c>
    </row>
    <row r="45" spans="2:8" x14ac:dyDescent="0.25">
      <c r="B45" s="7" t="s">
        <v>1971</v>
      </c>
      <c r="C45" s="2" t="s">
        <v>577</v>
      </c>
      <c r="D45" s="2"/>
      <c r="E45" s="2" t="s">
        <v>826</v>
      </c>
      <c r="F45" s="7">
        <v>2005</v>
      </c>
      <c r="G45" s="2" t="s">
        <v>443</v>
      </c>
      <c r="H45" s="2" t="s">
        <v>820</v>
      </c>
    </row>
    <row r="46" spans="2:8" x14ac:dyDescent="0.25">
      <c r="B46" s="7" t="s">
        <v>1972</v>
      </c>
      <c r="C46" s="2" t="s">
        <v>370</v>
      </c>
      <c r="D46" s="2"/>
      <c r="E46" s="2" t="s">
        <v>826</v>
      </c>
      <c r="F46" s="7">
        <v>2006</v>
      </c>
      <c r="G46" s="2" t="s">
        <v>444</v>
      </c>
      <c r="H46" s="2" t="s">
        <v>1423</v>
      </c>
    </row>
    <row r="47" spans="2:8" x14ac:dyDescent="0.25">
      <c r="B47" s="9" t="s">
        <v>1973</v>
      </c>
      <c r="C47" s="8" t="s">
        <v>1222</v>
      </c>
      <c r="D47" s="8"/>
      <c r="E47" s="8" t="s">
        <v>826</v>
      </c>
      <c r="F47" s="9">
        <v>2004</v>
      </c>
      <c r="G47" s="8" t="s">
        <v>445</v>
      </c>
      <c r="H47" s="8" t="s">
        <v>1223</v>
      </c>
    </row>
    <row r="48" spans="2:8" x14ac:dyDescent="0.25">
      <c r="B48" s="7" t="s">
        <v>1974</v>
      </c>
      <c r="C48" s="2" t="s">
        <v>622</v>
      </c>
      <c r="D48" s="2"/>
      <c r="E48" s="2" t="s">
        <v>826</v>
      </c>
      <c r="F48" s="7">
        <v>2005</v>
      </c>
      <c r="G48" s="2" t="s">
        <v>446</v>
      </c>
      <c r="H48" s="2" t="s">
        <v>1224</v>
      </c>
    </row>
    <row r="49" spans="2:8" x14ac:dyDescent="0.25">
      <c r="B49" s="7" t="s">
        <v>1975</v>
      </c>
      <c r="C49" s="2" t="s">
        <v>1191</v>
      </c>
      <c r="D49" s="2"/>
      <c r="E49" s="2" t="s">
        <v>826</v>
      </c>
      <c r="F49" s="7">
        <v>2002</v>
      </c>
      <c r="G49" s="2" t="s">
        <v>425</v>
      </c>
      <c r="H49" s="2" t="s">
        <v>1426</v>
      </c>
    </row>
    <row r="50" spans="2:8" x14ac:dyDescent="0.25">
      <c r="B50" s="7" t="s">
        <v>1976</v>
      </c>
      <c r="C50" s="2" t="s">
        <v>1225</v>
      </c>
      <c r="D50" s="2" t="s">
        <v>1226</v>
      </c>
      <c r="E50" s="2" t="s">
        <v>826</v>
      </c>
      <c r="F50" s="7">
        <v>2005</v>
      </c>
      <c r="G50" s="2" t="s">
        <v>447</v>
      </c>
      <c r="H50" s="2" t="s">
        <v>1227</v>
      </c>
    </row>
    <row r="51" spans="2:8" x14ac:dyDescent="0.25">
      <c r="B51" s="6" t="s">
        <v>1977</v>
      </c>
      <c r="C51" s="1" t="s">
        <v>578</v>
      </c>
      <c r="E51" s="1" t="s">
        <v>826</v>
      </c>
      <c r="F51" s="6">
        <v>2006</v>
      </c>
      <c r="G51" s="1" t="s">
        <v>448</v>
      </c>
      <c r="H51" s="1" t="s">
        <v>820</v>
      </c>
    </row>
    <row r="52" spans="2:8" x14ac:dyDescent="0.25">
      <c r="B52" s="6" t="s">
        <v>1978</v>
      </c>
      <c r="C52" s="1" t="s">
        <v>1228</v>
      </c>
      <c r="E52" s="1" t="s">
        <v>826</v>
      </c>
      <c r="F52" s="6">
        <v>2008</v>
      </c>
      <c r="G52" s="1" t="s">
        <v>425</v>
      </c>
      <c r="H52" s="1" t="s">
        <v>1426</v>
      </c>
    </row>
    <row r="53" spans="2:8" x14ac:dyDescent="0.25">
      <c r="B53" s="6" t="s">
        <v>2757</v>
      </c>
      <c r="C53" s="1" t="s">
        <v>2758</v>
      </c>
      <c r="D53" s="1" t="s">
        <v>2759</v>
      </c>
      <c r="E53" s="1" t="s">
        <v>2760</v>
      </c>
      <c r="F53" s="6">
        <v>2009</v>
      </c>
      <c r="G53" s="1" t="s">
        <v>2740</v>
      </c>
      <c r="H53" s="1" t="s">
        <v>2740</v>
      </c>
    </row>
    <row r="54" spans="2:8" x14ac:dyDescent="0.25">
      <c r="B54" s="6" t="s">
        <v>2907</v>
      </c>
      <c r="C54" s="1" t="s">
        <v>2908</v>
      </c>
      <c r="D54" s="1" t="s">
        <v>2909</v>
      </c>
      <c r="E54" s="1" t="s">
        <v>2910</v>
      </c>
      <c r="F54" s="6">
        <v>2013</v>
      </c>
      <c r="G54" s="1" t="s">
        <v>2911</v>
      </c>
      <c r="H54" s="1" t="s">
        <v>2892</v>
      </c>
    </row>
    <row r="55" spans="2:8" x14ac:dyDescent="0.25">
      <c r="B55" s="6" t="s">
        <v>2973</v>
      </c>
      <c r="C55" s="1" t="s">
        <v>2974</v>
      </c>
      <c r="D55" s="1" t="s">
        <v>2909</v>
      </c>
      <c r="E55" s="1" t="s">
        <v>826</v>
      </c>
      <c r="F55" s="6">
        <v>2015</v>
      </c>
      <c r="G55" s="1" t="s">
        <v>1234</v>
      </c>
      <c r="H55" s="1" t="s">
        <v>2975</v>
      </c>
    </row>
    <row r="56" spans="2:8" x14ac:dyDescent="0.25">
      <c r="B56" s="6" t="s">
        <v>2983</v>
      </c>
      <c r="C56" s="1" t="s">
        <v>2984</v>
      </c>
      <c r="E56" s="1" t="s">
        <v>826</v>
      </c>
      <c r="F56" s="6">
        <v>2013</v>
      </c>
      <c r="G56" s="1" t="s">
        <v>957</v>
      </c>
      <c r="H56" s="1" t="s">
        <v>820</v>
      </c>
    </row>
    <row r="57" spans="2:8" x14ac:dyDescent="0.25">
      <c r="B57" s="6" t="s">
        <v>3010</v>
      </c>
      <c r="C57" s="1" t="s">
        <v>3011</v>
      </c>
      <c r="D57" s="1" t="s">
        <v>2909</v>
      </c>
      <c r="E57" s="1" t="s">
        <v>826</v>
      </c>
      <c r="F57" s="6">
        <v>2016</v>
      </c>
      <c r="G57" s="1" t="s">
        <v>661</v>
      </c>
      <c r="H57" s="1" t="s">
        <v>3012</v>
      </c>
    </row>
    <row r="58" spans="2:8" x14ac:dyDescent="0.25">
      <c r="B58" s="6" t="s">
        <v>3119</v>
      </c>
      <c r="C58" s="1" t="s">
        <v>3120</v>
      </c>
      <c r="F58" s="6"/>
    </row>
    <row r="59" spans="2:8" x14ac:dyDescent="0.25">
      <c r="B59" s="6" t="s">
        <v>2722</v>
      </c>
      <c r="C59" s="1" t="s">
        <v>2719</v>
      </c>
      <c r="D59" s="1" t="s">
        <v>2720</v>
      </c>
      <c r="E59" s="2" t="s">
        <v>1231</v>
      </c>
      <c r="F59" s="1">
        <v>2002</v>
      </c>
      <c r="G59" s="1" t="s">
        <v>2721</v>
      </c>
      <c r="H59" s="1" t="s">
        <v>823</v>
      </c>
    </row>
    <row r="60" spans="2:8" x14ac:dyDescent="0.25">
      <c r="B60" s="6" t="s">
        <v>2797</v>
      </c>
      <c r="C60" s="1" t="s">
        <v>2801</v>
      </c>
      <c r="D60" s="1" t="s">
        <v>2802</v>
      </c>
      <c r="E60" s="1" t="s">
        <v>2720</v>
      </c>
      <c r="F60" s="6">
        <v>2002</v>
      </c>
      <c r="G60" s="1" t="s">
        <v>2803</v>
      </c>
      <c r="H60" s="1" t="s">
        <v>1448</v>
      </c>
    </row>
    <row r="61" spans="2:8" x14ac:dyDescent="0.25">
      <c r="B61" s="6" t="s">
        <v>2798</v>
      </c>
      <c r="C61" s="1" t="s">
        <v>2804</v>
      </c>
      <c r="D61" s="1" t="s">
        <v>2805</v>
      </c>
      <c r="E61" s="1" t="s">
        <v>2720</v>
      </c>
      <c r="F61" s="6">
        <v>2006</v>
      </c>
      <c r="G61" s="1" t="s">
        <v>2803</v>
      </c>
      <c r="H61" s="1" t="s">
        <v>1448</v>
      </c>
    </row>
    <row r="62" spans="2:8" x14ac:dyDescent="0.25">
      <c r="B62" s="6" t="s">
        <v>2799</v>
      </c>
      <c r="C62" s="1" t="s">
        <v>2806</v>
      </c>
      <c r="D62" s="1" t="s">
        <v>2807</v>
      </c>
      <c r="E62" s="1" t="s">
        <v>2720</v>
      </c>
      <c r="F62" s="6">
        <v>2002</v>
      </c>
      <c r="G62" s="1" t="s">
        <v>2808</v>
      </c>
      <c r="H62" s="1" t="s">
        <v>1448</v>
      </c>
    </row>
    <row r="63" spans="2:8" x14ac:dyDescent="0.25">
      <c r="B63" s="6" t="s">
        <v>2800</v>
      </c>
      <c r="C63" s="1" t="s">
        <v>2809</v>
      </c>
      <c r="D63" s="1" t="s">
        <v>2810</v>
      </c>
      <c r="E63" s="1" t="s">
        <v>2720</v>
      </c>
      <c r="F63" s="6">
        <v>2003</v>
      </c>
      <c r="G63" s="1" t="s">
        <v>2811</v>
      </c>
      <c r="H63" s="1" t="s">
        <v>1448</v>
      </c>
    </row>
    <row r="64" spans="2:8" x14ac:dyDescent="0.25">
      <c r="B64" s="6" t="s">
        <v>2812</v>
      </c>
      <c r="C64" s="1" t="s">
        <v>2814</v>
      </c>
      <c r="D64" s="1" t="s">
        <v>2815</v>
      </c>
      <c r="E64" s="1" t="s">
        <v>2720</v>
      </c>
      <c r="F64" s="6">
        <v>2006</v>
      </c>
      <c r="G64" s="1" t="s">
        <v>2816</v>
      </c>
      <c r="H64" s="1" t="s">
        <v>1448</v>
      </c>
    </row>
    <row r="65" spans="2:8" x14ac:dyDescent="0.25">
      <c r="B65" s="6" t="s">
        <v>2813</v>
      </c>
      <c r="C65" s="1" t="s">
        <v>2817</v>
      </c>
      <c r="D65" s="1" t="s">
        <v>2818</v>
      </c>
      <c r="E65" s="1" t="s">
        <v>2720</v>
      </c>
      <c r="F65" s="6">
        <v>2000</v>
      </c>
      <c r="G65" s="1" t="s">
        <v>1323</v>
      </c>
      <c r="H65" s="1" t="s">
        <v>823</v>
      </c>
    </row>
    <row r="66" spans="2:8" x14ac:dyDescent="0.25">
      <c r="B66" s="7" t="s">
        <v>1979</v>
      </c>
      <c r="C66" s="2" t="s">
        <v>371</v>
      </c>
      <c r="D66" s="2" t="s">
        <v>887</v>
      </c>
      <c r="E66" s="2" t="s">
        <v>1231</v>
      </c>
      <c r="F66" s="7">
        <v>1999</v>
      </c>
      <c r="G66" s="2" t="s">
        <v>449</v>
      </c>
      <c r="H66" s="2" t="s">
        <v>888</v>
      </c>
    </row>
    <row r="67" spans="2:8" x14ac:dyDescent="0.25">
      <c r="B67" s="7" t="s">
        <v>1980</v>
      </c>
      <c r="C67" s="2" t="s">
        <v>372</v>
      </c>
      <c r="D67" s="2" t="s">
        <v>887</v>
      </c>
      <c r="E67" s="2" t="s">
        <v>1231</v>
      </c>
      <c r="F67" s="7">
        <v>1999</v>
      </c>
      <c r="G67" s="2" t="s">
        <v>450</v>
      </c>
      <c r="H67" s="2" t="s">
        <v>888</v>
      </c>
    </row>
    <row r="68" spans="2:8" x14ac:dyDescent="0.25">
      <c r="B68" s="7" t="s">
        <v>1981</v>
      </c>
      <c r="C68" s="2" t="s">
        <v>373</v>
      </c>
      <c r="D68" s="2" t="s">
        <v>889</v>
      </c>
      <c r="E68" s="2" t="s">
        <v>1231</v>
      </c>
      <c r="F68" s="7">
        <v>1997</v>
      </c>
      <c r="G68" s="2" t="s">
        <v>449</v>
      </c>
      <c r="H68" s="2" t="s">
        <v>888</v>
      </c>
    </row>
    <row r="69" spans="2:8" x14ac:dyDescent="0.25">
      <c r="B69" s="7" t="s">
        <v>1982</v>
      </c>
      <c r="C69" s="2" t="s">
        <v>374</v>
      </c>
      <c r="D69" s="2" t="s">
        <v>890</v>
      </c>
      <c r="E69" s="2" t="s">
        <v>1231</v>
      </c>
      <c r="F69" s="7">
        <v>1997</v>
      </c>
      <c r="G69" s="2" t="s">
        <v>451</v>
      </c>
      <c r="H69" s="2" t="s">
        <v>1529</v>
      </c>
    </row>
    <row r="70" spans="2:8" x14ac:dyDescent="0.25">
      <c r="B70" s="7" t="s">
        <v>1983</v>
      </c>
      <c r="C70" s="2" t="s">
        <v>891</v>
      </c>
      <c r="D70" s="2" t="s">
        <v>890</v>
      </c>
      <c r="E70" s="2" t="s">
        <v>1231</v>
      </c>
      <c r="F70" s="7">
        <v>1997</v>
      </c>
      <c r="G70" s="2" t="s">
        <v>452</v>
      </c>
      <c r="H70" s="2" t="s">
        <v>888</v>
      </c>
    </row>
    <row r="71" spans="2:8" x14ac:dyDescent="0.25">
      <c r="B71" s="7" t="s">
        <v>1984</v>
      </c>
      <c r="C71" s="2" t="s">
        <v>375</v>
      </c>
      <c r="D71" s="2" t="s">
        <v>887</v>
      </c>
      <c r="E71" s="2" t="s">
        <v>1231</v>
      </c>
      <c r="F71" s="7">
        <v>1999</v>
      </c>
      <c r="G71" s="2" t="s">
        <v>453</v>
      </c>
      <c r="H71" s="2" t="s">
        <v>892</v>
      </c>
    </row>
    <row r="72" spans="2:8" x14ac:dyDescent="0.25">
      <c r="B72" s="6" t="s">
        <v>1985</v>
      </c>
      <c r="C72" s="1" t="s">
        <v>893</v>
      </c>
      <c r="D72" s="1" t="s">
        <v>894</v>
      </c>
      <c r="E72" s="1" t="s">
        <v>1231</v>
      </c>
      <c r="F72" s="6">
        <v>2005</v>
      </c>
      <c r="G72" s="1" t="s">
        <v>895</v>
      </c>
      <c r="H72" s="1" t="s">
        <v>1428</v>
      </c>
    </row>
    <row r="73" spans="2:8" x14ac:dyDescent="0.25">
      <c r="B73" s="6" t="s">
        <v>1986</v>
      </c>
      <c r="C73" s="1" t="s">
        <v>896</v>
      </c>
      <c r="D73" s="1" t="s">
        <v>894</v>
      </c>
      <c r="E73" s="1" t="s">
        <v>1231</v>
      </c>
      <c r="F73" s="6">
        <v>2006</v>
      </c>
      <c r="G73" s="1" t="s">
        <v>454</v>
      </c>
      <c r="H73" s="1" t="s">
        <v>1428</v>
      </c>
    </row>
    <row r="74" spans="2:8" x14ac:dyDescent="0.25">
      <c r="B74" s="6" t="s">
        <v>1987</v>
      </c>
      <c r="C74" s="1" t="s">
        <v>897</v>
      </c>
      <c r="D74" s="1" t="s">
        <v>898</v>
      </c>
      <c r="E74" s="1" t="s">
        <v>1231</v>
      </c>
      <c r="F74" s="6">
        <v>2007</v>
      </c>
      <c r="G74" s="1" t="s">
        <v>455</v>
      </c>
      <c r="H74" s="1" t="s">
        <v>1204</v>
      </c>
    </row>
    <row r="75" spans="2:8" x14ac:dyDescent="0.25">
      <c r="B75" s="6" t="s">
        <v>1988</v>
      </c>
      <c r="C75" s="1" t="s">
        <v>899</v>
      </c>
      <c r="D75" s="1" t="s">
        <v>887</v>
      </c>
      <c r="E75" s="1" t="s">
        <v>1231</v>
      </c>
      <c r="F75" s="6">
        <v>1999</v>
      </c>
      <c r="H75" s="1" t="s">
        <v>1448</v>
      </c>
    </row>
    <row r="76" spans="2:8" x14ac:dyDescent="0.25">
      <c r="B76" s="7" t="s">
        <v>1989</v>
      </c>
      <c r="C76" s="2" t="s">
        <v>900</v>
      </c>
      <c r="D76" s="2" t="s">
        <v>898</v>
      </c>
      <c r="E76" s="2" t="s">
        <v>1231</v>
      </c>
      <c r="F76" s="7">
        <v>1999</v>
      </c>
      <c r="G76" s="2" t="s">
        <v>456</v>
      </c>
      <c r="H76" s="2" t="s">
        <v>901</v>
      </c>
    </row>
    <row r="77" spans="2:8" x14ac:dyDescent="0.25">
      <c r="B77" s="6" t="s">
        <v>1990</v>
      </c>
      <c r="C77" s="1" t="s">
        <v>902</v>
      </c>
      <c r="D77" s="1" t="s">
        <v>898</v>
      </c>
      <c r="E77" s="1" t="s">
        <v>1231</v>
      </c>
      <c r="F77" s="6">
        <v>1999</v>
      </c>
      <c r="G77" s="1" t="s">
        <v>457</v>
      </c>
      <c r="H77" s="1" t="s">
        <v>903</v>
      </c>
    </row>
    <row r="78" spans="2:8" x14ac:dyDescent="0.25">
      <c r="B78" s="6" t="s">
        <v>2964</v>
      </c>
      <c r="C78" s="1" t="s">
        <v>2965</v>
      </c>
      <c r="D78" s="1" t="s">
        <v>2966</v>
      </c>
      <c r="E78" s="1" t="s">
        <v>1231</v>
      </c>
      <c r="F78" s="6">
        <v>2016</v>
      </c>
      <c r="G78" s="1" t="s">
        <v>2967</v>
      </c>
      <c r="H78" s="1" t="s">
        <v>2892</v>
      </c>
    </row>
    <row r="79" spans="2:8" x14ac:dyDescent="0.25">
      <c r="B79" s="6" t="s">
        <v>3078</v>
      </c>
      <c r="C79" s="1" t="s">
        <v>3079</v>
      </c>
      <c r="D79" t="s">
        <v>3080</v>
      </c>
      <c r="E79"/>
      <c r="F79" s="6">
        <v>2007</v>
      </c>
      <c r="G79" s="1" t="s">
        <v>2847</v>
      </c>
      <c r="H79" s="1" t="s">
        <v>2731</v>
      </c>
    </row>
    <row r="80" spans="2:8" x14ac:dyDescent="0.25">
      <c r="B80" s="6" t="s">
        <v>3090</v>
      </c>
      <c r="C80" s="1" t="s">
        <v>3091</v>
      </c>
      <c r="D80"/>
      <c r="E80"/>
      <c r="F80" s="6">
        <v>2010</v>
      </c>
      <c r="G80" s="1" t="s">
        <v>3092</v>
      </c>
      <c r="H80" s="1" t="s">
        <v>820</v>
      </c>
    </row>
    <row r="81" spans="2:8" x14ac:dyDescent="0.25">
      <c r="B81" s="6" t="s">
        <v>2505</v>
      </c>
      <c r="C81" s="1" t="s">
        <v>905</v>
      </c>
      <c r="D81" s="1" t="s">
        <v>906</v>
      </c>
      <c r="E81" s="1" t="s">
        <v>1231</v>
      </c>
      <c r="F81" s="6">
        <v>1997</v>
      </c>
      <c r="H81" s="1" t="s">
        <v>907</v>
      </c>
    </row>
    <row r="82" spans="2:8" x14ac:dyDescent="0.25">
      <c r="B82" s="6" t="s">
        <v>2506</v>
      </c>
      <c r="C82" s="1" t="s">
        <v>1374</v>
      </c>
      <c r="D82" s="1" t="s">
        <v>906</v>
      </c>
      <c r="E82" s="1" t="s">
        <v>1231</v>
      </c>
      <c r="F82" s="6">
        <v>1998</v>
      </c>
      <c r="G82" s="1" t="s">
        <v>458</v>
      </c>
      <c r="H82" s="1" t="s">
        <v>816</v>
      </c>
    </row>
    <row r="83" spans="2:8" x14ac:dyDescent="0.25">
      <c r="B83" s="6" t="s">
        <v>2690</v>
      </c>
      <c r="C83" s="1" t="s">
        <v>2687</v>
      </c>
      <c r="D83" s="1" t="s">
        <v>2688</v>
      </c>
      <c r="E83" s="1" t="s">
        <v>1231</v>
      </c>
      <c r="F83" s="6">
        <v>2014</v>
      </c>
      <c r="G83" s="1" t="s">
        <v>2689</v>
      </c>
      <c r="H83" s="1" t="s">
        <v>1428</v>
      </c>
    </row>
    <row r="84" spans="2:8" x14ac:dyDescent="0.25">
      <c r="B84" s="6" t="s">
        <v>2507</v>
      </c>
      <c r="C84" s="1" t="s">
        <v>1465</v>
      </c>
      <c r="E84" s="1" t="s">
        <v>1231</v>
      </c>
      <c r="F84" s="6">
        <v>2002</v>
      </c>
      <c r="G84" s="1" t="s">
        <v>1466</v>
      </c>
      <c r="H84" s="1" t="s">
        <v>1428</v>
      </c>
    </row>
    <row r="85" spans="2:8" x14ac:dyDescent="0.25">
      <c r="B85" s="6" t="s">
        <v>2716</v>
      </c>
      <c r="C85" s="1" t="s">
        <v>2713</v>
      </c>
      <c r="D85" s="1" t="s">
        <v>873</v>
      </c>
      <c r="E85" s="1" t="s">
        <v>1231</v>
      </c>
      <c r="F85" s="1">
        <v>2001</v>
      </c>
      <c r="G85" s="1" t="s">
        <v>2714</v>
      </c>
      <c r="H85" s="1" t="s">
        <v>2715</v>
      </c>
    </row>
    <row r="86" spans="2:8" x14ac:dyDescent="0.25">
      <c r="B86" s="18" t="s">
        <v>2825</v>
      </c>
      <c r="C86" s="1" t="s">
        <v>2819</v>
      </c>
      <c r="D86" s="1" t="s">
        <v>2819</v>
      </c>
      <c r="E86" s="1" t="s">
        <v>2720</v>
      </c>
      <c r="F86" s="6">
        <v>2003</v>
      </c>
      <c r="G86" s="1" t="s">
        <v>2820</v>
      </c>
      <c r="H86" s="1" t="s">
        <v>2821</v>
      </c>
    </row>
    <row r="87" spans="2:8" x14ac:dyDescent="0.25">
      <c r="B87" s="18" t="s">
        <v>2826</v>
      </c>
      <c r="C87" s="1" t="s">
        <v>2822</v>
      </c>
      <c r="D87" s="1" t="s">
        <v>2823</v>
      </c>
      <c r="E87" s="1" t="s">
        <v>2720</v>
      </c>
      <c r="F87" s="6">
        <v>2003</v>
      </c>
      <c r="G87" s="1" t="s">
        <v>2824</v>
      </c>
      <c r="H87" s="1" t="s">
        <v>2821</v>
      </c>
    </row>
    <row r="88" spans="2:8" x14ac:dyDescent="0.25">
      <c r="B88" s="6" t="s">
        <v>2508</v>
      </c>
      <c r="C88" s="1" t="s">
        <v>569</v>
      </c>
      <c r="E88" s="1" t="s">
        <v>569</v>
      </c>
      <c r="F88" s="6">
        <v>2001</v>
      </c>
      <c r="G88" s="1" t="s">
        <v>593</v>
      </c>
      <c r="H88" s="1" t="s">
        <v>1449</v>
      </c>
    </row>
    <row r="89" spans="2:8" x14ac:dyDescent="0.25">
      <c r="B89" s="7" t="s">
        <v>2509</v>
      </c>
      <c r="C89" s="2" t="s">
        <v>376</v>
      </c>
      <c r="D89" s="2"/>
      <c r="E89" s="2" t="s">
        <v>1614</v>
      </c>
      <c r="F89" s="7">
        <v>2001</v>
      </c>
      <c r="G89" s="2" t="s">
        <v>459</v>
      </c>
      <c r="H89" s="2" t="s">
        <v>1615</v>
      </c>
    </row>
    <row r="90" spans="2:8" x14ac:dyDescent="0.25">
      <c r="B90" s="7" t="s">
        <v>2510</v>
      </c>
      <c r="C90" s="2" t="s">
        <v>1616</v>
      </c>
      <c r="D90" s="2"/>
      <c r="E90" s="2" t="s">
        <v>1614</v>
      </c>
      <c r="F90" s="7">
        <v>2001</v>
      </c>
      <c r="G90" s="2" t="s">
        <v>460</v>
      </c>
      <c r="H90" s="2" t="s">
        <v>1529</v>
      </c>
    </row>
    <row r="91" spans="2:8" x14ac:dyDescent="0.25">
      <c r="B91" s="7" t="s">
        <v>2511</v>
      </c>
      <c r="C91" s="2" t="s">
        <v>1617</v>
      </c>
      <c r="D91" s="2"/>
      <c r="E91" s="2" t="s">
        <v>1614</v>
      </c>
      <c r="F91" s="7">
        <v>2001</v>
      </c>
      <c r="G91" s="2" t="s">
        <v>461</v>
      </c>
      <c r="H91" s="2" t="s">
        <v>1618</v>
      </c>
    </row>
    <row r="92" spans="2:8" x14ac:dyDescent="0.25">
      <c r="B92" s="7" t="s">
        <v>2512</v>
      </c>
      <c r="C92" s="2" t="s">
        <v>1619</v>
      </c>
      <c r="D92" s="2"/>
      <c r="E92" s="2" t="s">
        <v>1614</v>
      </c>
      <c r="F92" s="7">
        <v>2001</v>
      </c>
      <c r="G92" s="2" t="s">
        <v>462</v>
      </c>
      <c r="H92" s="2" t="s">
        <v>1620</v>
      </c>
    </row>
    <row r="93" spans="2:8" x14ac:dyDescent="0.25">
      <c r="B93" s="7" t="s">
        <v>2513</v>
      </c>
      <c r="C93" s="2" t="s">
        <v>1621</v>
      </c>
      <c r="D93" s="2"/>
      <c r="E93" s="2" t="s">
        <v>1614</v>
      </c>
      <c r="F93" s="7">
        <v>2002</v>
      </c>
      <c r="G93" s="2" t="s">
        <v>463</v>
      </c>
      <c r="H93" s="2" t="s">
        <v>1622</v>
      </c>
    </row>
    <row r="94" spans="2:8" x14ac:dyDescent="0.25">
      <c r="B94" s="7" t="s">
        <v>2514</v>
      </c>
      <c r="C94" s="2" t="s">
        <v>1623</v>
      </c>
      <c r="D94" s="2"/>
      <c r="E94" s="2" t="s">
        <v>1614</v>
      </c>
      <c r="F94" s="7">
        <v>2001</v>
      </c>
      <c r="G94" s="2" t="s">
        <v>459</v>
      </c>
      <c r="H94" s="2" t="s">
        <v>1204</v>
      </c>
    </row>
    <row r="95" spans="2:8" x14ac:dyDescent="0.25">
      <c r="B95" s="7" t="s">
        <v>2515</v>
      </c>
      <c r="C95" s="2" t="s">
        <v>1623</v>
      </c>
      <c r="D95" s="2"/>
      <c r="E95" s="2" t="s">
        <v>1614</v>
      </c>
      <c r="F95" s="7">
        <v>2001</v>
      </c>
      <c r="G95" s="2" t="s">
        <v>459</v>
      </c>
      <c r="H95" s="2" t="s">
        <v>1204</v>
      </c>
    </row>
    <row r="96" spans="2:8" x14ac:dyDescent="0.25">
      <c r="B96" s="7" t="s">
        <v>2516</v>
      </c>
      <c r="C96" s="2" t="s">
        <v>1558</v>
      </c>
      <c r="D96" s="2"/>
      <c r="E96" s="2" t="s">
        <v>1614</v>
      </c>
      <c r="F96" s="7">
        <v>1997</v>
      </c>
      <c r="G96" s="2" t="s">
        <v>1559</v>
      </c>
      <c r="H96" s="2" t="s">
        <v>177</v>
      </c>
    </row>
    <row r="97" spans="2:8" x14ac:dyDescent="0.25">
      <c r="B97" s="7" t="s">
        <v>2517</v>
      </c>
      <c r="C97" s="2" t="s">
        <v>1560</v>
      </c>
      <c r="D97" s="2"/>
      <c r="E97" s="2" t="s">
        <v>1614</v>
      </c>
      <c r="F97" s="7">
        <v>2003</v>
      </c>
      <c r="G97" s="2" t="s">
        <v>464</v>
      </c>
      <c r="H97" s="2" t="s">
        <v>820</v>
      </c>
    </row>
    <row r="98" spans="2:8" x14ac:dyDescent="0.25">
      <c r="B98" s="7" t="s">
        <v>1991</v>
      </c>
      <c r="C98" s="2" t="s">
        <v>377</v>
      </c>
      <c r="D98" s="2"/>
      <c r="E98" s="2" t="s">
        <v>1614</v>
      </c>
      <c r="F98" s="7">
        <v>2003</v>
      </c>
      <c r="G98" s="2" t="s">
        <v>465</v>
      </c>
      <c r="H98" s="2" t="s">
        <v>1204</v>
      </c>
    </row>
    <row r="99" spans="2:8" x14ac:dyDescent="0.25">
      <c r="B99" s="7" t="s">
        <v>1992</v>
      </c>
      <c r="C99" s="2" t="s">
        <v>1561</v>
      </c>
      <c r="D99" s="2"/>
      <c r="E99" s="2" t="s">
        <v>1614</v>
      </c>
      <c r="F99" s="7">
        <v>2004</v>
      </c>
      <c r="G99" s="2" t="s">
        <v>466</v>
      </c>
      <c r="H99" s="2" t="s">
        <v>1428</v>
      </c>
    </row>
    <row r="100" spans="2:8" x14ac:dyDescent="0.25">
      <c r="B100" s="7" t="s">
        <v>1993</v>
      </c>
      <c r="C100" s="2" t="s">
        <v>1562</v>
      </c>
      <c r="D100" s="2"/>
      <c r="E100" s="2" t="s">
        <v>1614</v>
      </c>
      <c r="F100" s="7">
        <v>2004</v>
      </c>
      <c r="G100" s="2" t="s">
        <v>467</v>
      </c>
      <c r="H100" s="2" t="s">
        <v>1428</v>
      </c>
    </row>
    <row r="101" spans="2:8" x14ac:dyDescent="0.25">
      <c r="B101" s="7" t="s">
        <v>1994</v>
      </c>
      <c r="C101" s="2" t="s">
        <v>1563</v>
      </c>
      <c r="D101" s="2"/>
      <c r="E101" s="2" t="s">
        <v>1614</v>
      </c>
      <c r="F101" s="7">
        <v>2002</v>
      </c>
      <c r="G101" s="2" t="s">
        <v>460</v>
      </c>
      <c r="H101" s="2" t="s">
        <v>1529</v>
      </c>
    </row>
    <row r="102" spans="2:8" x14ac:dyDescent="0.25">
      <c r="B102" s="7" t="s">
        <v>1995</v>
      </c>
      <c r="C102" s="2" t="s">
        <v>1564</v>
      </c>
      <c r="D102" s="2"/>
      <c r="E102" s="2" t="s">
        <v>1614</v>
      </c>
      <c r="F102" s="7">
        <v>2004</v>
      </c>
      <c r="G102" s="2" t="s">
        <v>468</v>
      </c>
      <c r="H102" s="2" t="s">
        <v>1565</v>
      </c>
    </row>
    <row r="103" spans="2:8" x14ac:dyDescent="0.25">
      <c r="B103" s="6" t="s">
        <v>1996</v>
      </c>
      <c r="C103" s="1" t="s">
        <v>1566</v>
      </c>
      <c r="E103" s="1" t="s">
        <v>1614</v>
      </c>
      <c r="F103" s="6">
        <v>2005</v>
      </c>
      <c r="G103" s="1" t="s">
        <v>464</v>
      </c>
      <c r="H103" s="1" t="s">
        <v>820</v>
      </c>
    </row>
    <row r="104" spans="2:8" x14ac:dyDescent="0.25">
      <c r="B104" s="6" t="s">
        <v>2752</v>
      </c>
      <c r="C104" s="1" t="s">
        <v>2737</v>
      </c>
      <c r="D104" s="1" t="s">
        <v>2738</v>
      </c>
      <c r="E104" s="2" t="s">
        <v>1614</v>
      </c>
      <c r="F104" s="6">
        <v>2006</v>
      </c>
      <c r="G104" s="1" t="s">
        <v>2739</v>
      </c>
      <c r="H104" s="1" t="s">
        <v>2740</v>
      </c>
    </row>
    <row r="105" spans="2:8" x14ac:dyDescent="0.25">
      <c r="B105" s="6" t="s">
        <v>2753</v>
      </c>
      <c r="C105" s="1" t="s">
        <v>2741</v>
      </c>
      <c r="D105" s="1" t="s">
        <v>2738</v>
      </c>
      <c r="E105" s="2" t="s">
        <v>1614</v>
      </c>
      <c r="F105" s="6">
        <v>2002</v>
      </c>
      <c r="G105" s="1" t="s">
        <v>2742</v>
      </c>
      <c r="H105" s="1" t="s">
        <v>2743</v>
      </c>
    </row>
    <row r="106" spans="2:8" x14ac:dyDescent="0.25">
      <c r="B106" s="6" t="s">
        <v>2754</v>
      </c>
      <c r="C106" s="1" t="s">
        <v>2744</v>
      </c>
      <c r="D106" s="1" t="s">
        <v>2738</v>
      </c>
      <c r="E106" s="2" t="s">
        <v>1614</v>
      </c>
      <c r="F106" s="6">
        <v>2002</v>
      </c>
      <c r="G106" s="1" t="s">
        <v>2745</v>
      </c>
      <c r="H106" s="1" t="s">
        <v>820</v>
      </c>
    </row>
    <row r="107" spans="2:8" x14ac:dyDescent="0.25">
      <c r="B107" s="6" t="s">
        <v>2755</v>
      </c>
      <c r="C107" s="1" t="s">
        <v>2746</v>
      </c>
      <c r="D107" s="1" t="s">
        <v>2738</v>
      </c>
      <c r="E107" s="2" t="s">
        <v>1614</v>
      </c>
      <c r="F107" s="6">
        <v>2009</v>
      </c>
      <c r="G107" s="1" t="s">
        <v>2747</v>
      </c>
      <c r="H107" s="1" t="s">
        <v>2748</v>
      </c>
    </row>
    <row r="108" spans="2:8" x14ac:dyDescent="0.25">
      <c r="B108" s="6" t="s">
        <v>2756</v>
      </c>
      <c r="C108" s="1" t="s">
        <v>2749</v>
      </c>
      <c r="D108" s="1" t="s">
        <v>2738</v>
      </c>
      <c r="E108" s="2" t="s">
        <v>1614</v>
      </c>
      <c r="F108" s="6">
        <v>1999</v>
      </c>
      <c r="G108" s="1" t="s">
        <v>2750</v>
      </c>
      <c r="H108" s="1" t="s">
        <v>2751</v>
      </c>
    </row>
    <row r="109" spans="2:8" x14ac:dyDescent="0.25">
      <c r="B109" s="18" t="s">
        <v>2787</v>
      </c>
      <c r="C109" s="1" t="s">
        <v>2788</v>
      </c>
      <c r="E109" s="1" t="s">
        <v>2789</v>
      </c>
      <c r="F109" s="6">
        <v>2008</v>
      </c>
      <c r="G109" s="1" t="s">
        <v>2790</v>
      </c>
      <c r="H109" s="1" t="s">
        <v>2791</v>
      </c>
    </row>
    <row r="110" spans="2:8" x14ac:dyDescent="0.25">
      <c r="B110" s="18" t="s">
        <v>2918</v>
      </c>
      <c r="C110" s="1" t="s">
        <v>2919</v>
      </c>
      <c r="D110" s="1" t="s">
        <v>1096</v>
      </c>
      <c r="E110" s="2" t="s">
        <v>1614</v>
      </c>
      <c r="F110" s="6">
        <v>2015</v>
      </c>
      <c r="G110" s="1" t="s">
        <v>2920</v>
      </c>
      <c r="H110" s="1" t="s">
        <v>177</v>
      </c>
    </row>
    <row r="111" spans="2:8" x14ac:dyDescent="0.25">
      <c r="B111" s="18" t="s">
        <v>2992</v>
      </c>
      <c r="C111" s="1" t="s">
        <v>2993</v>
      </c>
      <c r="D111" s="1" t="s">
        <v>1096</v>
      </c>
      <c r="E111" s="2" t="s">
        <v>1614</v>
      </c>
      <c r="F111" s="6">
        <v>2015</v>
      </c>
      <c r="G111" s="1" t="s">
        <v>2994</v>
      </c>
      <c r="H111" s="1" t="s">
        <v>820</v>
      </c>
    </row>
    <row r="112" spans="2:8" x14ac:dyDescent="0.25">
      <c r="B112" s="18" t="s">
        <v>3062</v>
      </c>
      <c r="C112" s="1" t="s">
        <v>3063</v>
      </c>
      <c r="D112" s="1" t="s">
        <v>2738</v>
      </c>
      <c r="E112" s="2" t="s">
        <v>1614</v>
      </c>
      <c r="F112" s="6">
        <v>2017</v>
      </c>
      <c r="G112" s="1" t="s">
        <v>3064</v>
      </c>
      <c r="H112" s="1" t="s">
        <v>820</v>
      </c>
    </row>
    <row r="113" spans="2:8" x14ac:dyDescent="0.25">
      <c r="B113" s="18" t="s">
        <v>3102</v>
      </c>
      <c r="C113" s="1" t="s">
        <v>3114</v>
      </c>
      <c r="D113" s="1" t="s">
        <v>2738</v>
      </c>
      <c r="E113" s="2" t="s">
        <v>1614</v>
      </c>
      <c r="F113" s="6">
        <v>2009</v>
      </c>
      <c r="G113" s="1" t="s">
        <v>3103</v>
      </c>
      <c r="H113" s="1" t="s">
        <v>820</v>
      </c>
    </row>
    <row r="114" spans="2:8" x14ac:dyDescent="0.25">
      <c r="B114" s="18" t="s">
        <v>3104</v>
      </c>
      <c r="C114" s="1" t="s">
        <v>3105</v>
      </c>
      <c r="D114" s="1" t="s">
        <v>2738</v>
      </c>
      <c r="E114" s="2" t="s">
        <v>1614</v>
      </c>
      <c r="F114" s="6">
        <v>2009</v>
      </c>
      <c r="G114" s="1" t="s">
        <v>3106</v>
      </c>
      <c r="H114" s="1" t="s">
        <v>3107</v>
      </c>
    </row>
    <row r="115" spans="2:8" x14ac:dyDescent="0.25">
      <c r="B115" s="18" t="s">
        <v>3108</v>
      </c>
      <c r="C115" s="1" t="s">
        <v>3109</v>
      </c>
      <c r="D115" s="1" t="s">
        <v>2738</v>
      </c>
      <c r="E115" s="2" t="s">
        <v>1614</v>
      </c>
      <c r="F115" s="6">
        <v>2007</v>
      </c>
      <c r="G115" s="1" t="s">
        <v>3110</v>
      </c>
      <c r="H115" s="1" t="s">
        <v>3107</v>
      </c>
    </row>
    <row r="116" spans="2:8" x14ac:dyDescent="0.25">
      <c r="B116" s="18" t="s">
        <v>3111</v>
      </c>
      <c r="C116" s="1" t="s">
        <v>3112</v>
      </c>
      <c r="D116" s="1" t="s">
        <v>2738</v>
      </c>
      <c r="E116" s="2" t="s">
        <v>1614</v>
      </c>
      <c r="F116" s="6">
        <v>2007</v>
      </c>
      <c r="G116" s="1" t="s">
        <v>3113</v>
      </c>
      <c r="H116" s="1" t="s">
        <v>3107</v>
      </c>
    </row>
    <row r="117" spans="2:8" x14ac:dyDescent="0.25">
      <c r="B117" s="7" t="s">
        <v>2464</v>
      </c>
      <c r="C117" s="2" t="s">
        <v>1568</v>
      </c>
      <c r="D117" s="2" t="s">
        <v>1569</v>
      </c>
      <c r="E117" s="2" t="s">
        <v>1570</v>
      </c>
      <c r="F117" s="7">
        <v>1999</v>
      </c>
      <c r="G117" s="2" t="s">
        <v>469</v>
      </c>
      <c r="H117" s="2" t="s">
        <v>816</v>
      </c>
    </row>
    <row r="118" spans="2:8" x14ac:dyDescent="0.25">
      <c r="B118" s="7" t="s">
        <v>2465</v>
      </c>
      <c r="C118" s="2" t="s">
        <v>937</v>
      </c>
      <c r="D118" s="2"/>
      <c r="E118" s="2" t="s">
        <v>1570</v>
      </c>
      <c r="F118" s="7">
        <v>2001</v>
      </c>
      <c r="G118" s="2" t="s">
        <v>470</v>
      </c>
      <c r="H118" s="2" t="s">
        <v>938</v>
      </c>
    </row>
    <row r="119" spans="2:8" x14ac:dyDescent="0.25">
      <c r="B119" s="7" t="s">
        <v>2466</v>
      </c>
      <c r="C119" s="2" t="s">
        <v>1573</v>
      </c>
      <c r="D119" s="2"/>
      <c r="E119" s="2" t="s">
        <v>1570</v>
      </c>
      <c r="F119" s="7">
        <v>1998</v>
      </c>
      <c r="G119" s="2" t="s">
        <v>471</v>
      </c>
      <c r="H119" s="2" t="s">
        <v>1214</v>
      </c>
    </row>
    <row r="120" spans="2:8" x14ac:dyDescent="0.25">
      <c r="B120" s="7" t="s">
        <v>2467</v>
      </c>
      <c r="C120" s="2" t="s">
        <v>1574</v>
      </c>
      <c r="D120" s="2" t="s">
        <v>1569</v>
      </c>
      <c r="E120" s="2" t="s">
        <v>1570</v>
      </c>
      <c r="F120" s="7">
        <v>1997</v>
      </c>
      <c r="G120" s="2" t="s">
        <v>472</v>
      </c>
      <c r="H120" s="2" t="s">
        <v>1575</v>
      </c>
    </row>
    <row r="121" spans="2:8" x14ac:dyDescent="0.25">
      <c r="B121" s="6" t="s">
        <v>2468</v>
      </c>
      <c r="C121" s="1" t="s">
        <v>1576</v>
      </c>
      <c r="E121" s="1" t="s">
        <v>1570</v>
      </c>
      <c r="F121" s="6">
        <v>2001</v>
      </c>
      <c r="G121" s="1" t="s">
        <v>397</v>
      </c>
      <c r="H121" s="1" t="s">
        <v>1577</v>
      </c>
    </row>
    <row r="122" spans="2:8" x14ac:dyDescent="0.25">
      <c r="B122" s="6" t="s">
        <v>2469</v>
      </c>
      <c r="C122" s="1" t="s">
        <v>1507</v>
      </c>
      <c r="E122" s="1" t="s">
        <v>1570</v>
      </c>
      <c r="F122" s="6">
        <v>1999</v>
      </c>
      <c r="G122" s="1" t="s">
        <v>1508</v>
      </c>
      <c r="H122" s="1" t="s">
        <v>1509</v>
      </c>
    </row>
    <row r="123" spans="2:8" x14ac:dyDescent="0.25">
      <c r="B123" s="7" t="s">
        <v>1997</v>
      </c>
      <c r="C123" s="2" t="s">
        <v>1578</v>
      </c>
      <c r="D123" s="2" t="s">
        <v>1569</v>
      </c>
      <c r="E123" s="2" t="s">
        <v>1570</v>
      </c>
      <c r="F123" s="7">
        <v>2000</v>
      </c>
      <c r="G123" s="2" t="s">
        <v>469</v>
      </c>
      <c r="H123" s="2" t="s">
        <v>816</v>
      </c>
    </row>
    <row r="124" spans="2:8" x14ac:dyDescent="0.25">
      <c r="B124" s="7" t="s">
        <v>2518</v>
      </c>
      <c r="C124" s="2" t="s">
        <v>1581</v>
      </c>
      <c r="D124" s="2" t="s">
        <v>939</v>
      </c>
      <c r="E124" s="2" t="s">
        <v>1579</v>
      </c>
      <c r="F124" s="7">
        <v>2000</v>
      </c>
      <c r="G124" s="2"/>
      <c r="H124" s="2" t="s">
        <v>904</v>
      </c>
    </row>
    <row r="125" spans="2:8" x14ac:dyDescent="0.25">
      <c r="B125" s="7" t="s">
        <v>2519</v>
      </c>
      <c r="C125" s="2" t="s">
        <v>940</v>
      </c>
      <c r="D125" s="2" t="s">
        <v>941</v>
      </c>
      <c r="E125" s="2" t="s">
        <v>1579</v>
      </c>
      <c r="F125" s="7">
        <v>2001</v>
      </c>
      <c r="G125" s="2"/>
      <c r="H125" s="2" t="s">
        <v>904</v>
      </c>
    </row>
    <row r="126" spans="2:8" x14ac:dyDescent="0.25">
      <c r="B126" s="7" t="s">
        <v>2520</v>
      </c>
      <c r="C126" s="2" t="s">
        <v>942</v>
      </c>
      <c r="D126" s="2" t="s">
        <v>941</v>
      </c>
      <c r="E126" s="2" t="s">
        <v>1579</v>
      </c>
      <c r="F126" s="7">
        <v>2001</v>
      </c>
      <c r="G126" s="2"/>
      <c r="H126" s="2" t="s">
        <v>904</v>
      </c>
    </row>
    <row r="127" spans="2:8" x14ac:dyDescent="0.25">
      <c r="B127" s="7" t="s">
        <v>2521</v>
      </c>
      <c r="C127" s="2" t="s">
        <v>1605</v>
      </c>
      <c r="D127" s="2" t="s">
        <v>1606</v>
      </c>
      <c r="E127" s="2" t="s">
        <v>1579</v>
      </c>
      <c r="F127" s="7">
        <v>1997</v>
      </c>
      <c r="G127" s="2"/>
      <c r="H127" s="2" t="s">
        <v>904</v>
      </c>
    </row>
    <row r="128" spans="2:8" x14ac:dyDescent="0.25">
      <c r="B128" s="7" t="s">
        <v>2522</v>
      </c>
      <c r="C128" s="2" t="s">
        <v>1607</v>
      </c>
      <c r="D128" s="2" t="s">
        <v>939</v>
      </c>
      <c r="E128" s="2" t="s">
        <v>1579</v>
      </c>
      <c r="F128" s="7">
        <v>1999</v>
      </c>
      <c r="G128" s="2" t="s">
        <v>473</v>
      </c>
      <c r="H128" s="2" t="s">
        <v>1608</v>
      </c>
    </row>
    <row r="129" spans="1:9" x14ac:dyDescent="0.25">
      <c r="B129" s="7" t="s">
        <v>2523</v>
      </c>
      <c r="C129" s="2" t="s">
        <v>1609</v>
      </c>
      <c r="D129" s="2" t="s">
        <v>941</v>
      </c>
      <c r="E129" s="2" t="s">
        <v>1579</v>
      </c>
      <c r="F129" s="7">
        <v>2001</v>
      </c>
      <c r="G129" s="2" t="s">
        <v>473</v>
      </c>
      <c r="H129" s="2" t="s">
        <v>1610</v>
      </c>
    </row>
    <row r="130" spans="1:9" x14ac:dyDescent="0.25">
      <c r="B130" s="7" t="s">
        <v>2524</v>
      </c>
      <c r="C130" s="2" t="s">
        <v>1611</v>
      </c>
      <c r="D130" s="2" t="s">
        <v>939</v>
      </c>
      <c r="E130" s="2" t="s">
        <v>1579</v>
      </c>
      <c r="F130" s="7">
        <v>1999</v>
      </c>
      <c r="G130" s="2" t="s">
        <v>474</v>
      </c>
      <c r="H130" s="2" t="s">
        <v>1612</v>
      </c>
    </row>
    <row r="131" spans="1:9" x14ac:dyDescent="0.25">
      <c r="B131" s="7" t="s">
        <v>1998</v>
      </c>
      <c r="C131" s="2" t="s">
        <v>729</v>
      </c>
      <c r="D131" s="2" t="s">
        <v>727</v>
      </c>
      <c r="E131" s="2" t="s">
        <v>1579</v>
      </c>
      <c r="F131" s="7">
        <v>2003</v>
      </c>
      <c r="G131" s="2" t="s">
        <v>728</v>
      </c>
      <c r="H131" s="2" t="s">
        <v>820</v>
      </c>
    </row>
    <row r="132" spans="1:9" x14ac:dyDescent="0.25">
      <c r="B132" s="7" t="s">
        <v>2424</v>
      </c>
      <c r="C132" s="2" t="s">
        <v>1510</v>
      </c>
      <c r="D132" s="2" t="s">
        <v>1278</v>
      </c>
      <c r="E132" s="2" t="s">
        <v>1579</v>
      </c>
      <c r="F132" s="7">
        <v>2005</v>
      </c>
      <c r="G132" s="2" t="s">
        <v>1511</v>
      </c>
      <c r="H132" s="2"/>
    </row>
    <row r="133" spans="1:9" x14ac:dyDescent="0.25">
      <c r="B133" s="7" t="s">
        <v>2425</v>
      </c>
      <c r="C133" s="2" t="s">
        <v>1280</v>
      </c>
      <c r="D133" s="2" t="s">
        <v>1281</v>
      </c>
      <c r="E133" s="2" t="s">
        <v>1579</v>
      </c>
      <c r="F133" s="7">
        <v>2001</v>
      </c>
      <c r="G133" s="2"/>
      <c r="H133" s="2" t="s">
        <v>904</v>
      </c>
    </row>
    <row r="134" spans="1:9" x14ac:dyDescent="0.25">
      <c r="B134" s="6" t="s">
        <v>2718</v>
      </c>
      <c r="C134" s="1" t="s">
        <v>2717</v>
      </c>
      <c r="D134" s="1" t="s">
        <v>1278</v>
      </c>
      <c r="E134" s="2" t="s">
        <v>1579</v>
      </c>
      <c r="F134" s="1">
        <v>2004</v>
      </c>
      <c r="G134" s="1" t="s">
        <v>678</v>
      </c>
      <c r="H134" s="1" t="s">
        <v>1214</v>
      </c>
    </row>
    <row r="135" spans="1:9" x14ac:dyDescent="0.25">
      <c r="B135" s="6" t="s">
        <v>2968</v>
      </c>
      <c r="C135" s="1" t="s">
        <v>2969</v>
      </c>
      <c r="D135" s="1" t="s">
        <v>1278</v>
      </c>
      <c r="E135" s="2" t="s">
        <v>1579</v>
      </c>
      <c r="F135" s="1">
        <v>2006</v>
      </c>
      <c r="G135" s="1" t="s">
        <v>2970</v>
      </c>
      <c r="H135" s="1" t="s">
        <v>2971</v>
      </c>
    </row>
    <row r="136" spans="1:9" x14ac:dyDescent="0.25">
      <c r="B136" s="6" t="s">
        <v>3083</v>
      </c>
      <c r="C136" s="1" t="s">
        <v>3081</v>
      </c>
      <c r="D136"/>
      <c r="E136"/>
      <c r="F136" s="6">
        <v>2008</v>
      </c>
      <c r="G136" s="1" t="s">
        <v>3082</v>
      </c>
      <c r="H136" s="1" t="s">
        <v>3018</v>
      </c>
      <c r="I136"/>
    </row>
    <row r="137" spans="1:9" x14ac:dyDescent="0.25">
      <c r="B137" s="7" t="s">
        <v>2525</v>
      </c>
      <c r="C137" s="2" t="s">
        <v>1283</v>
      </c>
      <c r="D137" s="2" t="s">
        <v>1284</v>
      </c>
      <c r="E137" s="2" t="s">
        <v>1282</v>
      </c>
      <c r="F137" s="7">
        <v>2001</v>
      </c>
      <c r="G137" s="2" t="s">
        <v>475</v>
      </c>
      <c r="H137" s="2" t="s">
        <v>1285</v>
      </c>
    </row>
    <row r="138" spans="1:9" x14ac:dyDescent="0.25">
      <c r="B138" s="7" t="s">
        <v>2526</v>
      </c>
      <c r="C138" s="2" t="s">
        <v>1286</v>
      </c>
      <c r="D138" s="2"/>
      <c r="E138" s="2" t="s">
        <v>1282</v>
      </c>
      <c r="F138" s="7">
        <v>1998</v>
      </c>
      <c r="G138" s="2" t="s">
        <v>476</v>
      </c>
      <c r="H138" s="2" t="s">
        <v>176</v>
      </c>
    </row>
    <row r="139" spans="1:9" x14ac:dyDescent="0.25">
      <c r="B139" s="7" t="s">
        <v>1999</v>
      </c>
      <c r="C139" s="2" t="s">
        <v>950</v>
      </c>
      <c r="D139" s="2" t="s">
        <v>951</v>
      </c>
      <c r="E139" s="2" t="s">
        <v>1282</v>
      </c>
      <c r="F139" s="7">
        <v>2003</v>
      </c>
      <c r="G139" s="2" t="s">
        <v>477</v>
      </c>
      <c r="H139" s="2" t="s">
        <v>1214</v>
      </c>
    </row>
    <row r="140" spans="1:9" x14ac:dyDescent="0.25">
      <c r="B140" s="7" t="s">
        <v>2000</v>
      </c>
      <c r="C140" s="2" t="s">
        <v>952</v>
      </c>
      <c r="D140" s="2" t="s">
        <v>953</v>
      </c>
      <c r="E140" s="2" t="s">
        <v>1282</v>
      </c>
      <c r="F140" s="7">
        <v>2001</v>
      </c>
      <c r="G140" s="2" t="s">
        <v>953</v>
      </c>
      <c r="H140" s="2" t="s">
        <v>954</v>
      </c>
    </row>
    <row r="141" spans="1:9" x14ac:dyDescent="0.25">
      <c r="B141" s="7" t="s">
        <v>2001</v>
      </c>
      <c r="C141" s="2" t="s">
        <v>952</v>
      </c>
      <c r="D141" s="2" t="s">
        <v>953</v>
      </c>
      <c r="E141" s="2" t="s">
        <v>1282</v>
      </c>
      <c r="F141" s="7">
        <v>2001</v>
      </c>
      <c r="G141" s="2" t="s">
        <v>953</v>
      </c>
      <c r="H141" s="2" t="s">
        <v>954</v>
      </c>
    </row>
    <row r="142" spans="1:9" x14ac:dyDescent="0.25">
      <c r="B142" s="7" t="s">
        <v>2002</v>
      </c>
      <c r="C142" s="2" t="s">
        <v>1512</v>
      </c>
      <c r="D142" s="2" t="s">
        <v>953</v>
      </c>
      <c r="E142" s="2" t="s">
        <v>1282</v>
      </c>
      <c r="F142" s="7">
        <v>2003</v>
      </c>
      <c r="G142" s="2" t="s">
        <v>1513</v>
      </c>
      <c r="H142" s="2"/>
    </row>
    <row r="143" spans="1:9" x14ac:dyDescent="0.25">
      <c r="B143" s="7" t="s">
        <v>2003</v>
      </c>
      <c r="C143" s="2" t="s">
        <v>955</v>
      </c>
      <c r="D143" s="2" t="s">
        <v>956</v>
      </c>
      <c r="E143" s="2" t="s">
        <v>1282</v>
      </c>
      <c r="F143" s="7">
        <v>2004</v>
      </c>
      <c r="G143" s="2" t="s">
        <v>478</v>
      </c>
      <c r="H143" s="2" t="s">
        <v>820</v>
      </c>
    </row>
    <row r="144" spans="1:9" x14ac:dyDescent="0.25">
      <c r="A144" s="1" t="s">
        <v>2681</v>
      </c>
      <c r="B144" s="7" t="s">
        <v>2004</v>
      </c>
      <c r="C144" s="2" t="s">
        <v>51</v>
      </c>
      <c r="D144" s="2"/>
      <c r="E144" s="2" t="s">
        <v>1282</v>
      </c>
      <c r="F144" s="7">
        <v>1993</v>
      </c>
      <c r="G144" s="2"/>
      <c r="H144" s="2"/>
    </row>
    <row r="145" spans="2:8" x14ac:dyDescent="0.25">
      <c r="B145" s="7" t="s">
        <v>2005</v>
      </c>
      <c r="C145" s="2" t="s">
        <v>52</v>
      </c>
      <c r="D145" s="2" t="s">
        <v>1284</v>
      </c>
      <c r="E145" s="2" t="s">
        <v>1282</v>
      </c>
      <c r="F145" s="7">
        <v>2001</v>
      </c>
      <c r="G145" s="2" t="s">
        <v>479</v>
      </c>
      <c r="H145" s="2" t="s">
        <v>1612</v>
      </c>
    </row>
    <row r="146" spans="2:8" x14ac:dyDescent="0.25">
      <c r="B146" s="7" t="s">
        <v>2006</v>
      </c>
      <c r="C146" s="2" t="s">
        <v>53</v>
      </c>
      <c r="D146" s="2"/>
      <c r="E146" s="2" t="s">
        <v>1282</v>
      </c>
      <c r="F146" s="7">
        <v>1997</v>
      </c>
      <c r="G146" s="2" t="s">
        <v>480</v>
      </c>
      <c r="H146" s="2" t="s">
        <v>54</v>
      </c>
    </row>
    <row r="147" spans="2:8" x14ac:dyDescent="0.25">
      <c r="B147" s="7" t="s">
        <v>2007</v>
      </c>
      <c r="C147" s="2" t="s">
        <v>55</v>
      </c>
      <c r="D147" s="2"/>
      <c r="E147" s="2" t="s">
        <v>1282</v>
      </c>
      <c r="F147" s="7">
        <v>2004</v>
      </c>
      <c r="G147" s="2"/>
      <c r="H147" s="2" t="s">
        <v>56</v>
      </c>
    </row>
    <row r="148" spans="2:8" x14ac:dyDescent="0.25">
      <c r="B148" s="7" t="s">
        <v>2008</v>
      </c>
      <c r="C148" s="2" t="s">
        <v>1303</v>
      </c>
      <c r="D148" s="2" t="s">
        <v>1284</v>
      </c>
      <c r="E148" s="2" t="s">
        <v>1282</v>
      </c>
      <c r="F148" s="7">
        <v>2001</v>
      </c>
      <c r="G148" s="2" t="s">
        <v>479</v>
      </c>
      <c r="H148" s="2" t="s">
        <v>1612</v>
      </c>
    </row>
    <row r="149" spans="2:8" x14ac:dyDescent="0.25">
      <c r="B149" s="7" t="s">
        <v>2430</v>
      </c>
      <c r="C149" s="2" t="s">
        <v>2431</v>
      </c>
      <c r="D149" s="2" t="s">
        <v>2432</v>
      </c>
      <c r="E149" s="2" t="s">
        <v>1282</v>
      </c>
      <c r="F149" s="7">
        <v>2005</v>
      </c>
      <c r="G149" s="2"/>
      <c r="H149" s="2" t="s">
        <v>904</v>
      </c>
    </row>
    <row r="150" spans="2:8" x14ac:dyDescent="0.25">
      <c r="B150" s="7" t="s">
        <v>2009</v>
      </c>
      <c r="C150" s="2" t="s">
        <v>1304</v>
      </c>
      <c r="D150" s="2"/>
      <c r="E150" s="2" t="s">
        <v>1282</v>
      </c>
      <c r="F150" s="7">
        <v>2004</v>
      </c>
      <c r="G150" s="2" t="s">
        <v>481</v>
      </c>
      <c r="H150" s="2" t="s">
        <v>1305</v>
      </c>
    </row>
    <row r="151" spans="2:8" x14ac:dyDescent="0.25">
      <c r="B151" s="7" t="s">
        <v>2433</v>
      </c>
      <c r="C151" s="2" t="s">
        <v>2434</v>
      </c>
      <c r="D151" s="2" t="s">
        <v>2432</v>
      </c>
      <c r="E151" s="2" t="s">
        <v>1282</v>
      </c>
      <c r="F151" s="7">
        <v>2005</v>
      </c>
      <c r="G151" s="2" t="s">
        <v>2435</v>
      </c>
      <c r="H151" s="2" t="s">
        <v>820</v>
      </c>
    </row>
    <row r="152" spans="2:8" x14ac:dyDescent="0.25">
      <c r="B152" s="7" t="s">
        <v>2010</v>
      </c>
      <c r="C152" s="2" t="s">
        <v>1307</v>
      </c>
      <c r="D152" s="2" t="s">
        <v>1308</v>
      </c>
      <c r="E152" s="2" t="s">
        <v>1282</v>
      </c>
      <c r="F152" s="7">
        <v>2004</v>
      </c>
      <c r="G152" s="2" t="s">
        <v>477</v>
      </c>
      <c r="H152" s="2" t="s">
        <v>1214</v>
      </c>
    </row>
    <row r="153" spans="2:8" x14ac:dyDescent="0.25">
      <c r="B153" s="7" t="s">
        <v>2011</v>
      </c>
      <c r="C153" s="2" t="s">
        <v>1020</v>
      </c>
      <c r="D153" s="2" t="s">
        <v>1019</v>
      </c>
      <c r="E153" s="2" t="s">
        <v>1282</v>
      </c>
      <c r="F153" s="7">
        <v>2004</v>
      </c>
      <c r="G153" s="2" t="s">
        <v>479</v>
      </c>
      <c r="H153" s="2" t="s">
        <v>1214</v>
      </c>
    </row>
    <row r="154" spans="2:8" x14ac:dyDescent="0.25">
      <c r="B154" s="7" t="s">
        <v>2012</v>
      </c>
      <c r="C154" s="2" t="s">
        <v>1021</v>
      </c>
      <c r="D154" s="2" t="s">
        <v>1019</v>
      </c>
      <c r="E154" s="2" t="s">
        <v>1282</v>
      </c>
      <c r="F154" s="7">
        <v>2005</v>
      </c>
      <c r="G154" s="2" t="s">
        <v>479</v>
      </c>
      <c r="H154" s="2" t="s">
        <v>1214</v>
      </c>
    </row>
    <row r="155" spans="2:8" x14ac:dyDescent="0.25">
      <c r="B155" s="7" t="s">
        <v>2013</v>
      </c>
      <c r="C155" s="2" t="s">
        <v>2792</v>
      </c>
      <c r="D155" s="2" t="s">
        <v>1019</v>
      </c>
      <c r="E155" s="2" t="s">
        <v>1282</v>
      </c>
      <c r="F155" s="7">
        <v>2004</v>
      </c>
      <c r="G155" s="2" t="s">
        <v>2793</v>
      </c>
      <c r="H155" s="2" t="s">
        <v>2794</v>
      </c>
    </row>
    <row r="156" spans="2:8" x14ac:dyDescent="0.25">
      <c r="B156" s="7" t="s">
        <v>2014</v>
      </c>
      <c r="C156" s="2" t="s">
        <v>1022</v>
      </c>
      <c r="D156" s="2"/>
      <c r="E156" s="2" t="s">
        <v>1282</v>
      </c>
      <c r="F156" s="7">
        <v>2003</v>
      </c>
      <c r="G156" s="2" t="s">
        <v>1514</v>
      </c>
      <c r="H156" s="2" t="s">
        <v>176</v>
      </c>
    </row>
    <row r="157" spans="2:8" x14ac:dyDescent="0.25">
      <c r="B157" s="7" t="s">
        <v>2015</v>
      </c>
      <c r="C157" s="2" t="s">
        <v>1023</v>
      </c>
      <c r="D157" s="2"/>
      <c r="E157" s="2" t="s">
        <v>1282</v>
      </c>
      <c r="F157" s="7">
        <v>2001</v>
      </c>
      <c r="G157" s="2" t="s">
        <v>482</v>
      </c>
      <c r="H157" s="2" t="s">
        <v>1287</v>
      </c>
    </row>
    <row r="158" spans="2:8" x14ac:dyDescent="0.25">
      <c r="B158" s="7" t="s">
        <v>2016</v>
      </c>
      <c r="C158" s="2" t="s">
        <v>1024</v>
      </c>
      <c r="D158" s="2" t="s">
        <v>1025</v>
      </c>
      <c r="E158" s="2" t="s">
        <v>1282</v>
      </c>
      <c r="F158" s="7">
        <v>2006</v>
      </c>
      <c r="G158" s="2" t="s">
        <v>477</v>
      </c>
      <c r="H158" s="2" t="s">
        <v>1214</v>
      </c>
    </row>
    <row r="159" spans="2:8" x14ac:dyDescent="0.25">
      <c r="B159" s="7" t="s">
        <v>2017</v>
      </c>
      <c r="C159" s="2" t="s">
        <v>1024</v>
      </c>
      <c r="D159" s="2" t="s">
        <v>1025</v>
      </c>
      <c r="E159" s="2" t="s">
        <v>1282</v>
      </c>
      <c r="F159" s="7">
        <v>2006</v>
      </c>
      <c r="G159" s="2" t="s">
        <v>477</v>
      </c>
      <c r="H159" s="2" t="s">
        <v>1214</v>
      </c>
    </row>
    <row r="160" spans="2:8" x14ac:dyDescent="0.25">
      <c r="B160" s="7" t="s">
        <v>2018</v>
      </c>
      <c r="C160" s="2" t="s">
        <v>378</v>
      </c>
      <c r="D160" s="2" t="s">
        <v>1026</v>
      </c>
      <c r="E160" s="2" t="s">
        <v>1282</v>
      </c>
      <c r="F160" s="7">
        <v>2005</v>
      </c>
      <c r="G160" s="2" t="s">
        <v>484</v>
      </c>
      <c r="H160" s="2" t="s">
        <v>1027</v>
      </c>
    </row>
    <row r="161" spans="1:8" x14ac:dyDescent="0.25">
      <c r="B161" s="7" t="s">
        <v>2019</v>
      </c>
      <c r="C161" s="2" t="s">
        <v>1028</v>
      </c>
      <c r="D161" s="2" t="s">
        <v>1284</v>
      </c>
      <c r="E161" s="2" t="s">
        <v>1282</v>
      </c>
      <c r="F161" s="7">
        <v>2001</v>
      </c>
      <c r="G161" s="2"/>
      <c r="H161" s="2" t="s">
        <v>904</v>
      </c>
    </row>
    <row r="162" spans="1:8" x14ac:dyDescent="0.25">
      <c r="B162" s="7" t="s">
        <v>2020</v>
      </c>
      <c r="C162" s="2" t="s">
        <v>1029</v>
      </c>
      <c r="D162" s="2"/>
      <c r="E162" s="2" t="s">
        <v>1282</v>
      </c>
      <c r="F162" s="7">
        <v>2005</v>
      </c>
      <c r="G162" s="2" t="s">
        <v>485</v>
      </c>
      <c r="H162" s="2" t="s">
        <v>1287</v>
      </c>
    </row>
    <row r="163" spans="1:8" x14ac:dyDescent="0.25">
      <c r="B163" s="7" t="s">
        <v>2021</v>
      </c>
      <c r="C163" s="2" t="s">
        <v>1030</v>
      </c>
      <c r="D163" s="2"/>
      <c r="E163" s="2" t="s">
        <v>1282</v>
      </c>
      <c r="F163" s="7">
        <v>2004</v>
      </c>
      <c r="G163" s="2" t="s">
        <v>486</v>
      </c>
      <c r="H163" s="2" t="s">
        <v>1031</v>
      </c>
    </row>
    <row r="164" spans="1:8" x14ac:dyDescent="0.25">
      <c r="B164" s="7" t="s">
        <v>2022</v>
      </c>
      <c r="C164" s="2" t="s">
        <v>1032</v>
      </c>
      <c r="D164" s="2"/>
      <c r="E164" s="2" t="s">
        <v>1282</v>
      </c>
      <c r="F164" s="7">
        <v>2006</v>
      </c>
      <c r="G164" s="2" t="s">
        <v>487</v>
      </c>
      <c r="H164" s="2" t="s">
        <v>820</v>
      </c>
    </row>
    <row r="165" spans="1:8" x14ac:dyDescent="0.25">
      <c r="B165" s="7" t="s">
        <v>2023</v>
      </c>
      <c r="C165" s="2" t="s">
        <v>1000</v>
      </c>
      <c r="D165" s="2" t="s">
        <v>1019</v>
      </c>
      <c r="E165" s="2" t="s">
        <v>1282</v>
      </c>
      <c r="F165" s="7">
        <v>2004</v>
      </c>
      <c r="G165" s="2" t="s">
        <v>483</v>
      </c>
      <c r="H165" s="2" t="s">
        <v>820</v>
      </c>
    </row>
    <row r="166" spans="1:8" x14ac:dyDescent="0.25">
      <c r="B166" s="7" t="s">
        <v>2436</v>
      </c>
      <c r="C166" s="2" t="s">
        <v>2437</v>
      </c>
      <c r="D166" s="2" t="s">
        <v>1019</v>
      </c>
      <c r="E166" s="2" t="s">
        <v>1282</v>
      </c>
      <c r="F166" s="7">
        <v>2007</v>
      </c>
      <c r="G166" s="2" t="s">
        <v>479</v>
      </c>
      <c r="H166" s="2" t="s">
        <v>1214</v>
      </c>
    </row>
    <row r="167" spans="1:8" x14ac:dyDescent="0.25">
      <c r="B167" s="7" t="s">
        <v>2024</v>
      </c>
      <c r="C167" s="2" t="s">
        <v>1001</v>
      </c>
      <c r="D167" s="2" t="s">
        <v>1002</v>
      </c>
      <c r="E167" s="2" t="s">
        <v>1282</v>
      </c>
      <c r="F167" s="7">
        <v>2007</v>
      </c>
      <c r="G167" s="2" t="s">
        <v>488</v>
      </c>
      <c r="H167" s="2" t="s">
        <v>1031</v>
      </c>
    </row>
    <row r="168" spans="1:8" x14ac:dyDescent="0.25">
      <c r="B168" s="7" t="s">
        <v>2025</v>
      </c>
      <c r="C168" s="2" t="s">
        <v>1003</v>
      </c>
      <c r="D168" s="2" t="s">
        <v>1004</v>
      </c>
      <c r="E168" s="2" t="s">
        <v>1282</v>
      </c>
      <c r="F168" s="7">
        <v>2007</v>
      </c>
      <c r="G168" s="2" t="s">
        <v>489</v>
      </c>
      <c r="H168" s="2" t="s">
        <v>1214</v>
      </c>
    </row>
    <row r="169" spans="1:8" x14ac:dyDescent="0.25">
      <c r="B169" s="7" t="s">
        <v>2026</v>
      </c>
      <c r="C169" s="2" t="s">
        <v>1006</v>
      </c>
      <c r="D169" s="2" t="s">
        <v>1007</v>
      </c>
      <c r="E169" s="2" t="s">
        <v>1282</v>
      </c>
      <c r="F169" s="7">
        <v>2002</v>
      </c>
      <c r="G169" s="2"/>
      <c r="H169" s="2" t="s">
        <v>1008</v>
      </c>
    </row>
    <row r="170" spans="1:8" x14ac:dyDescent="0.25">
      <c r="B170" s="7" t="s">
        <v>2027</v>
      </c>
      <c r="C170" s="2" t="s">
        <v>1005</v>
      </c>
      <c r="D170" s="2"/>
      <c r="E170" s="2" t="s">
        <v>1282</v>
      </c>
      <c r="F170" s="7">
        <v>1997</v>
      </c>
      <c r="G170" s="2" t="s">
        <v>480</v>
      </c>
      <c r="H170" s="2" t="s">
        <v>54</v>
      </c>
    </row>
    <row r="171" spans="1:8" x14ac:dyDescent="0.25">
      <c r="B171" s="7" t="s">
        <v>2028</v>
      </c>
      <c r="C171" s="2" t="s">
        <v>1009</v>
      </c>
      <c r="D171" s="2" t="s">
        <v>1010</v>
      </c>
      <c r="E171" s="2" t="s">
        <v>1282</v>
      </c>
      <c r="F171" s="7">
        <v>2004</v>
      </c>
      <c r="G171" s="2" t="s">
        <v>490</v>
      </c>
      <c r="H171" s="2" t="s">
        <v>888</v>
      </c>
    </row>
    <row r="172" spans="1:8" x14ac:dyDescent="0.25">
      <c r="B172" s="7" t="s">
        <v>2029</v>
      </c>
      <c r="C172" s="2" t="s">
        <v>1011</v>
      </c>
      <c r="D172" s="2"/>
      <c r="E172" s="2" t="s">
        <v>1282</v>
      </c>
      <c r="F172" s="7">
        <v>1997</v>
      </c>
      <c r="G172" s="2" t="s">
        <v>491</v>
      </c>
      <c r="H172" s="2" t="s">
        <v>1424</v>
      </c>
    </row>
    <row r="173" spans="1:8" x14ac:dyDescent="0.25">
      <c r="A173" s="1" t="s">
        <v>2681</v>
      </c>
      <c r="B173" s="7" t="s">
        <v>2030</v>
      </c>
      <c r="C173" s="2" t="s">
        <v>1012</v>
      </c>
      <c r="D173" s="2" t="s">
        <v>1013</v>
      </c>
      <c r="E173" s="2" t="s">
        <v>1282</v>
      </c>
      <c r="F173" s="7">
        <v>1996</v>
      </c>
      <c r="G173" s="2"/>
      <c r="H173" s="2" t="s">
        <v>817</v>
      </c>
    </row>
    <row r="174" spans="1:8" x14ac:dyDescent="0.25">
      <c r="A174" s="1" t="s">
        <v>2681</v>
      </c>
      <c r="B174" s="7" t="s">
        <v>2031</v>
      </c>
      <c r="C174" s="2" t="s">
        <v>1014</v>
      </c>
      <c r="D174" s="2" t="s">
        <v>1013</v>
      </c>
      <c r="E174" s="2" t="s">
        <v>1282</v>
      </c>
      <c r="F174" s="7">
        <v>1996</v>
      </c>
      <c r="G174" s="2" t="s">
        <v>492</v>
      </c>
      <c r="H174" s="2" t="s">
        <v>177</v>
      </c>
    </row>
    <row r="175" spans="1:8" x14ac:dyDescent="0.25">
      <c r="B175" s="7" t="s">
        <v>2032</v>
      </c>
      <c r="C175" s="2" t="s">
        <v>1015</v>
      </c>
      <c r="D175" s="2" t="s">
        <v>1013</v>
      </c>
      <c r="E175" s="2" t="s">
        <v>1282</v>
      </c>
      <c r="F175" s="7">
        <v>2004</v>
      </c>
      <c r="G175" s="2"/>
      <c r="H175" s="2" t="s">
        <v>817</v>
      </c>
    </row>
    <row r="176" spans="1:8" x14ac:dyDescent="0.25">
      <c r="B176" s="7" t="s">
        <v>2033</v>
      </c>
      <c r="C176" s="2" t="s">
        <v>1016</v>
      </c>
      <c r="D176" s="2"/>
      <c r="E176" s="2" t="s">
        <v>1282</v>
      </c>
      <c r="F176" s="7">
        <v>2003</v>
      </c>
      <c r="G176" s="2" t="s">
        <v>493</v>
      </c>
      <c r="H176" s="2" t="s">
        <v>1422</v>
      </c>
    </row>
    <row r="177" spans="2:8" x14ac:dyDescent="0.25">
      <c r="B177" s="6" t="s">
        <v>2034</v>
      </c>
      <c r="C177" s="1" t="s">
        <v>1017</v>
      </c>
      <c r="D177" s="1" t="s">
        <v>1018</v>
      </c>
      <c r="E177" s="1" t="s">
        <v>1282</v>
      </c>
      <c r="F177" s="6">
        <v>2008</v>
      </c>
      <c r="G177" s="1" t="s">
        <v>494</v>
      </c>
      <c r="H177" s="1" t="s">
        <v>820</v>
      </c>
    </row>
    <row r="178" spans="2:8" x14ac:dyDescent="0.25">
      <c r="B178" s="6" t="s">
        <v>2035</v>
      </c>
      <c r="C178" s="1" t="s">
        <v>978</v>
      </c>
      <c r="D178" s="1" t="s">
        <v>979</v>
      </c>
      <c r="E178" s="1" t="s">
        <v>1282</v>
      </c>
      <c r="F178" s="6">
        <v>2009</v>
      </c>
      <c r="H178" s="1" t="s">
        <v>904</v>
      </c>
    </row>
    <row r="179" spans="2:8" x14ac:dyDescent="0.25">
      <c r="B179" s="6" t="s">
        <v>2036</v>
      </c>
      <c r="C179" s="1" t="s">
        <v>947</v>
      </c>
      <c r="D179" s="1" t="s">
        <v>948</v>
      </c>
      <c r="E179" s="1" t="s">
        <v>1282</v>
      </c>
      <c r="F179" s="6">
        <v>2004</v>
      </c>
      <c r="H179" s="1" t="s">
        <v>904</v>
      </c>
    </row>
    <row r="180" spans="2:8" x14ac:dyDescent="0.25">
      <c r="B180" s="6" t="s">
        <v>2037</v>
      </c>
      <c r="C180" s="1" t="s">
        <v>1229</v>
      </c>
      <c r="E180" s="1" t="s">
        <v>1230</v>
      </c>
      <c r="F180" s="6">
        <v>2001</v>
      </c>
      <c r="G180" s="1" t="s">
        <v>495</v>
      </c>
      <c r="H180" s="1" t="s">
        <v>176</v>
      </c>
    </row>
    <row r="181" spans="2:8" x14ac:dyDescent="0.25">
      <c r="B181" s="6" t="s">
        <v>2764</v>
      </c>
      <c r="C181" s="1" t="s">
        <v>2761</v>
      </c>
      <c r="D181" s="1" t="s">
        <v>2762</v>
      </c>
      <c r="E181" s="1" t="s">
        <v>1282</v>
      </c>
      <c r="F181" s="6">
        <v>2004</v>
      </c>
      <c r="G181" s="1" t="s">
        <v>2763</v>
      </c>
      <c r="H181" s="1" t="s">
        <v>1305</v>
      </c>
    </row>
    <row r="182" spans="2:8" x14ac:dyDescent="0.25">
      <c r="B182" s="6" t="s">
        <v>3115</v>
      </c>
      <c r="C182" s="1" t="s">
        <v>3116</v>
      </c>
      <c r="F182" s="6"/>
    </row>
    <row r="183" spans="2:8" x14ac:dyDescent="0.25">
      <c r="B183" s="6" t="s">
        <v>2527</v>
      </c>
      <c r="C183" s="1" t="s">
        <v>981</v>
      </c>
      <c r="E183" s="1" t="s">
        <v>980</v>
      </c>
      <c r="F183" s="6">
        <v>2005</v>
      </c>
      <c r="G183" s="1" t="s">
        <v>496</v>
      </c>
      <c r="H183" s="1" t="s">
        <v>1428</v>
      </c>
    </row>
    <row r="184" spans="2:8" x14ac:dyDescent="0.25">
      <c r="B184" s="7" t="s">
        <v>2528</v>
      </c>
      <c r="C184" s="2" t="s">
        <v>379</v>
      </c>
      <c r="D184" s="2" t="s">
        <v>982</v>
      </c>
      <c r="E184" s="2" t="s">
        <v>980</v>
      </c>
      <c r="F184" s="7">
        <v>2004</v>
      </c>
      <c r="G184" s="2" t="s">
        <v>497</v>
      </c>
      <c r="H184" s="2" t="s">
        <v>983</v>
      </c>
    </row>
    <row r="185" spans="2:8" x14ac:dyDescent="0.25">
      <c r="B185" s="7" t="s">
        <v>2529</v>
      </c>
      <c r="C185" s="2" t="s">
        <v>1694</v>
      </c>
      <c r="D185" s="2"/>
      <c r="E185" s="2" t="s">
        <v>984</v>
      </c>
      <c r="F185" s="7">
        <v>2004</v>
      </c>
      <c r="G185" s="2" t="s">
        <v>498</v>
      </c>
      <c r="H185" s="2" t="s">
        <v>820</v>
      </c>
    </row>
    <row r="186" spans="2:8" x14ac:dyDescent="0.25">
      <c r="B186" s="6" t="s">
        <v>2530</v>
      </c>
      <c r="C186" s="1" t="s">
        <v>1694</v>
      </c>
      <c r="E186" s="1" t="s">
        <v>984</v>
      </c>
      <c r="F186" s="6">
        <v>2006</v>
      </c>
      <c r="G186" s="1" t="s">
        <v>498</v>
      </c>
      <c r="H186" s="1" t="s">
        <v>820</v>
      </c>
    </row>
    <row r="187" spans="2:8" x14ac:dyDescent="0.25">
      <c r="B187" s="6" t="s">
        <v>2438</v>
      </c>
      <c r="C187" s="1" t="s">
        <v>2439</v>
      </c>
      <c r="D187" s="2" t="s">
        <v>2440</v>
      </c>
      <c r="E187" s="1" t="s">
        <v>984</v>
      </c>
      <c r="F187" s="6">
        <v>2002</v>
      </c>
      <c r="G187" s="1" t="s">
        <v>2441</v>
      </c>
      <c r="H187" s="1" t="s">
        <v>823</v>
      </c>
    </row>
    <row r="188" spans="2:8" x14ac:dyDescent="0.25">
      <c r="B188" s="7" t="s">
        <v>2038</v>
      </c>
      <c r="C188" s="2" t="s">
        <v>1667</v>
      </c>
      <c r="D188" s="2" t="s">
        <v>1668</v>
      </c>
      <c r="E188" s="2" t="s">
        <v>984</v>
      </c>
      <c r="F188" s="7">
        <v>1998</v>
      </c>
      <c r="G188" s="2"/>
      <c r="H188" s="2" t="s">
        <v>1666</v>
      </c>
    </row>
    <row r="189" spans="2:8" x14ac:dyDescent="0.25">
      <c r="B189" s="7" t="s">
        <v>2039</v>
      </c>
      <c r="C189" s="2" t="s">
        <v>1669</v>
      </c>
      <c r="D189" s="2" t="s">
        <v>1670</v>
      </c>
      <c r="E189" s="2" t="s">
        <v>984</v>
      </c>
      <c r="F189" s="7">
        <v>2000</v>
      </c>
      <c r="G189" s="2"/>
      <c r="H189" s="2" t="s">
        <v>1666</v>
      </c>
    </row>
    <row r="190" spans="2:8" x14ac:dyDescent="0.25">
      <c r="B190" s="7" t="s">
        <v>2040</v>
      </c>
      <c r="C190" s="2" t="s">
        <v>1671</v>
      </c>
      <c r="D190" s="2" t="s">
        <v>1672</v>
      </c>
      <c r="E190" s="2" t="s">
        <v>984</v>
      </c>
      <c r="F190" s="7">
        <v>2003</v>
      </c>
      <c r="G190" s="2" t="s">
        <v>499</v>
      </c>
      <c r="H190" s="2" t="s">
        <v>820</v>
      </c>
    </row>
    <row r="191" spans="2:8" x14ac:dyDescent="0.25">
      <c r="B191" s="7" t="s">
        <v>2041</v>
      </c>
      <c r="C191" s="2" t="s">
        <v>1673</v>
      </c>
      <c r="D191" s="2" t="s">
        <v>1672</v>
      </c>
      <c r="E191" s="2" t="s">
        <v>984</v>
      </c>
      <c r="F191" s="7">
        <v>2005</v>
      </c>
      <c r="G191" s="2" t="s">
        <v>500</v>
      </c>
      <c r="H191" s="2" t="s">
        <v>820</v>
      </c>
    </row>
    <row r="192" spans="2:8" x14ac:dyDescent="0.25">
      <c r="B192" s="7" t="s">
        <v>2042</v>
      </c>
      <c r="C192" s="2" t="s">
        <v>1674</v>
      </c>
      <c r="D192" s="2" t="s">
        <v>1675</v>
      </c>
      <c r="E192" s="2" t="s">
        <v>984</v>
      </c>
      <c r="F192" s="7">
        <v>2000</v>
      </c>
      <c r="G192" s="2"/>
      <c r="H192" s="2" t="s">
        <v>1676</v>
      </c>
    </row>
    <row r="193" spans="1:8" x14ac:dyDescent="0.25">
      <c r="B193" s="6" t="s">
        <v>2043</v>
      </c>
      <c r="C193" s="1" t="s">
        <v>1677</v>
      </c>
      <c r="D193" s="1" t="s">
        <v>1678</v>
      </c>
      <c r="E193" s="1" t="s">
        <v>984</v>
      </c>
      <c r="F193" s="6">
        <v>2008</v>
      </c>
      <c r="G193" s="1" t="s">
        <v>498</v>
      </c>
      <c r="H193" s="1" t="s">
        <v>820</v>
      </c>
    </row>
    <row r="194" spans="1:8" x14ac:dyDescent="0.25">
      <c r="B194" s="6" t="s">
        <v>3070</v>
      </c>
      <c r="C194" s="1" t="s">
        <v>3071</v>
      </c>
      <c r="D194" s="2" t="s">
        <v>1672</v>
      </c>
      <c r="E194" s="1" t="s">
        <v>984</v>
      </c>
      <c r="F194" s="6">
        <v>2017</v>
      </c>
      <c r="G194" s="1" t="s">
        <v>3072</v>
      </c>
      <c r="H194" s="1" t="s">
        <v>820</v>
      </c>
    </row>
    <row r="195" spans="1:8" x14ac:dyDescent="0.25">
      <c r="B195" s="6" t="s">
        <v>2531</v>
      </c>
      <c r="C195" s="1" t="s">
        <v>1680</v>
      </c>
      <c r="E195" s="1" t="s">
        <v>1679</v>
      </c>
      <c r="F195" s="6">
        <v>1997</v>
      </c>
      <c r="G195" s="1" t="s">
        <v>1681</v>
      </c>
      <c r="H195" s="1" t="s">
        <v>1215</v>
      </c>
    </row>
    <row r="196" spans="1:8" x14ac:dyDescent="0.25">
      <c r="B196" s="7" t="s">
        <v>2532</v>
      </c>
      <c r="C196" s="2" t="s">
        <v>380</v>
      </c>
      <c r="D196" s="2" t="s">
        <v>1683</v>
      </c>
      <c r="E196" s="2" t="s">
        <v>1679</v>
      </c>
      <c r="F196" s="7">
        <v>2000</v>
      </c>
      <c r="G196" s="2" t="s">
        <v>1684</v>
      </c>
      <c r="H196" s="2" t="s">
        <v>1685</v>
      </c>
    </row>
    <row r="197" spans="1:8" x14ac:dyDescent="0.25">
      <c r="B197" s="7" t="s">
        <v>2533</v>
      </c>
      <c r="C197" s="2" t="s">
        <v>1686</v>
      </c>
      <c r="D197" s="2"/>
      <c r="E197" s="2" t="s">
        <v>1679</v>
      </c>
      <c r="F197" s="7">
        <v>2001</v>
      </c>
      <c r="G197" s="2" t="s">
        <v>501</v>
      </c>
      <c r="H197" s="2" t="s">
        <v>1687</v>
      </c>
    </row>
    <row r="198" spans="1:8" x14ac:dyDescent="0.25">
      <c r="B198" s="7" t="s">
        <v>2044</v>
      </c>
      <c r="C198" s="2" t="s">
        <v>1688</v>
      </c>
      <c r="D198" s="2" t="s">
        <v>1683</v>
      </c>
      <c r="E198" s="2" t="s">
        <v>1679</v>
      </c>
      <c r="F198" s="7">
        <v>2001</v>
      </c>
      <c r="G198" s="2" t="s">
        <v>502</v>
      </c>
      <c r="H198" s="2" t="s">
        <v>816</v>
      </c>
    </row>
    <row r="199" spans="1:8" x14ac:dyDescent="0.25">
      <c r="B199" s="7" t="s">
        <v>2045</v>
      </c>
      <c r="C199" s="2" t="s">
        <v>1689</v>
      </c>
      <c r="D199" s="2"/>
      <c r="E199" s="2" t="s">
        <v>1679</v>
      </c>
      <c r="F199" s="7">
        <v>2003</v>
      </c>
      <c r="G199" s="2" t="s">
        <v>503</v>
      </c>
      <c r="H199" s="2" t="s">
        <v>1422</v>
      </c>
    </row>
    <row r="200" spans="1:8" x14ac:dyDescent="0.25">
      <c r="B200" s="7" t="s">
        <v>2046</v>
      </c>
      <c r="C200" s="2" t="s">
        <v>1690</v>
      </c>
      <c r="D200" s="2"/>
      <c r="E200" s="2" t="s">
        <v>1679</v>
      </c>
      <c r="F200" s="7">
        <v>2003</v>
      </c>
      <c r="G200" s="2" t="s">
        <v>504</v>
      </c>
      <c r="H200" s="2" t="s">
        <v>1422</v>
      </c>
    </row>
    <row r="201" spans="1:8" x14ac:dyDescent="0.25">
      <c r="B201" s="7" t="s">
        <v>2047</v>
      </c>
      <c r="C201" s="2" t="s">
        <v>1691</v>
      </c>
      <c r="D201" s="2"/>
      <c r="E201" s="2" t="s">
        <v>1679</v>
      </c>
      <c r="F201" s="7">
        <v>2004</v>
      </c>
      <c r="G201" s="2" t="s">
        <v>505</v>
      </c>
      <c r="H201" s="2" t="s">
        <v>1423</v>
      </c>
    </row>
    <row r="202" spans="1:8" x14ac:dyDescent="0.25">
      <c r="B202" s="7" t="s">
        <v>2048</v>
      </c>
      <c r="C202" s="2" t="s">
        <v>1692</v>
      </c>
      <c r="D202" s="2" t="s">
        <v>1693</v>
      </c>
      <c r="E202" s="2" t="s">
        <v>1679</v>
      </c>
      <c r="F202" s="7">
        <v>2005</v>
      </c>
      <c r="G202" s="2" t="s">
        <v>506</v>
      </c>
      <c r="H202" s="2" t="s">
        <v>176</v>
      </c>
    </row>
    <row r="203" spans="1:8" x14ac:dyDescent="0.25">
      <c r="B203" s="7" t="s">
        <v>2927</v>
      </c>
      <c r="C203" s="2" t="s">
        <v>2921</v>
      </c>
      <c r="D203" s="2"/>
      <c r="E203" s="2" t="s">
        <v>1679</v>
      </c>
      <c r="F203" s="7">
        <v>2006</v>
      </c>
      <c r="G203" s="2" t="s">
        <v>2922</v>
      </c>
      <c r="H203" s="2" t="s">
        <v>2923</v>
      </c>
    </row>
    <row r="204" spans="1:8" x14ac:dyDescent="0.25">
      <c r="B204" s="7" t="s">
        <v>2928</v>
      </c>
      <c r="C204" s="2" t="s">
        <v>2924</v>
      </c>
      <c r="D204" s="2"/>
      <c r="E204" s="2" t="s">
        <v>1679</v>
      </c>
      <c r="F204" s="7">
        <v>2006</v>
      </c>
      <c r="G204" s="2" t="s">
        <v>2925</v>
      </c>
      <c r="H204" s="2" t="s">
        <v>2926</v>
      </c>
    </row>
    <row r="205" spans="1:8" x14ac:dyDescent="0.25">
      <c r="B205" s="7" t="s">
        <v>2534</v>
      </c>
      <c r="C205" s="2" t="s">
        <v>302</v>
      </c>
      <c r="D205" s="2" t="s">
        <v>303</v>
      </c>
      <c r="E205" s="2" t="s">
        <v>304</v>
      </c>
      <c r="F205" s="7">
        <v>2002</v>
      </c>
      <c r="G205" s="2" t="s">
        <v>507</v>
      </c>
      <c r="H205" s="2" t="s">
        <v>305</v>
      </c>
    </row>
    <row r="206" spans="1:8" x14ac:dyDescent="0.25">
      <c r="B206" s="7" t="s">
        <v>2535</v>
      </c>
      <c r="C206" s="2" t="s">
        <v>307</v>
      </c>
      <c r="D206" s="2"/>
      <c r="E206" s="2" t="s">
        <v>304</v>
      </c>
      <c r="F206" s="7">
        <v>2001</v>
      </c>
      <c r="G206" s="2" t="s">
        <v>508</v>
      </c>
      <c r="H206" s="2" t="s">
        <v>1204</v>
      </c>
    </row>
    <row r="207" spans="1:8" x14ac:dyDescent="0.25">
      <c r="B207" s="7" t="s">
        <v>2442</v>
      </c>
      <c r="C207" s="2" t="s">
        <v>2443</v>
      </c>
      <c r="D207" s="2"/>
      <c r="E207" s="1" t="s">
        <v>308</v>
      </c>
      <c r="F207" s="7">
        <v>1999</v>
      </c>
      <c r="G207" s="2"/>
      <c r="H207" s="2" t="s">
        <v>2444</v>
      </c>
    </row>
    <row r="208" spans="1:8" x14ac:dyDescent="0.25">
      <c r="A208" s="1" t="s">
        <v>2681</v>
      </c>
      <c r="B208" s="6" t="s">
        <v>2049</v>
      </c>
      <c r="C208" s="1" t="s">
        <v>311</v>
      </c>
      <c r="D208" s="1" t="s">
        <v>312</v>
      </c>
      <c r="E208" s="1" t="s">
        <v>308</v>
      </c>
      <c r="F208" s="6">
        <v>1994</v>
      </c>
      <c r="G208" s="1" t="s">
        <v>509</v>
      </c>
      <c r="H208" s="1" t="s">
        <v>1529</v>
      </c>
    </row>
    <row r="209" spans="2:8" x14ac:dyDescent="0.25">
      <c r="B209" s="6" t="s">
        <v>2769</v>
      </c>
      <c r="C209" s="1" t="s">
        <v>2765</v>
      </c>
      <c r="D209" s="1" t="s">
        <v>2766</v>
      </c>
      <c r="E209" s="1" t="s">
        <v>2767</v>
      </c>
      <c r="F209" s="6">
        <v>2003</v>
      </c>
      <c r="G209" s="1" t="s">
        <v>2768</v>
      </c>
      <c r="H209" s="1" t="s">
        <v>2768</v>
      </c>
    </row>
    <row r="210" spans="2:8" x14ac:dyDescent="0.25">
      <c r="B210" s="6" t="s">
        <v>3045</v>
      </c>
      <c r="C210" s="1" t="s">
        <v>3046</v>
      </c>
      <c r="D210" s="1" t="s">
        <v>3048</v>
      </c>
      <c r="E210" s="1" t="s">
        <v>2767</v>
      </c>
      <c r="F210" s="6">
        <v>2015</v>
      </c>
      <c r="G210" s="1" t="s">
        <v>3047</v>
      </c>
      <c r="H210" s="1" t="s">
        <v>1448</v>
      </c>
    </row>
    <row r="211" spans="2:8" x14ac:dyDescent="0.25">
      <c r="B211" s="6" t="s">
        <v>2536</v>
      </c>
      <c r="C211" s="1" t="s">
        <v>1729</v>
      </c>
      <c r="D211" s="1" t="s">
        <v>1730</v>
      </c>
      <c r="E211" s="1" t="s">
        <v>308</v>
      </c>
      <c r="F211" s="6">
        <v>1997</v>
      </c>
      <c r="G211" s="1" t="s">
        <v>510</v>
      </c>
      <c r="H211" s="1" t="s">
        <v>1214</v>
      </c>
    </row>
    <row r="212" spans="2:8" x14ac:dyDescent="0.25">
      <c r="B212" s="7" t="s">
        <v>2537</v>
      </c>
      <c r="C212" s="2" t="s">
        <v>1731</v>
      </c>
      <c r="D212" s="2" t="s">
        <v>1730</v>
      </c>
      <c r="E212" s="2" t="s">
        <v>308</v>
      </c>
      <c r="F212" s="7">
        <v>1997</v>
      </c>
      <c r="G212" s="2" t="s">
        <v>511</v>
      </c>
      <c r="H212" s="2" t="s">
        <v>816</v>
      </c>
    </row>
    <row r="213" spans="2:8" x14ac:dyDescent="0.25">
      <c r="B213" s="7" t="s">
        <v>2538</v>
      </c>
      <c r="C213" s="2" t="s">
        <v>1732</v>
      </c>
      <c r="D213" s="2" t="s">
        <v>1730</v>
      </c>
      <c r="E213" s="2" t="s">
        <v>308</v>
      </c>
      <c r="F213" s="7">
        <v>1997</v>
      </c>
      <c r="G213" s="2" t="s">
        <v>512</v>
      </c>
      <c r="H213" s="2" t="s">
        <v>816</v>
      </c>
    </row>
    <row r="214" spans="2:8" x14ac:dyDescent="0.25">
      <c r="B214" s="7" t="s">
        <v>2050</v>
      </c>
      <c r="C214" s="2" t="s">
        <v>1733</v>
      </c>
      <c r="D214" s="2" t="s">
        <v>1734</v>
      </c>
      <c r="E214" s="2" t="s">
        <v>308</v>
      </c>
      <c r="F214" s="7">
        <v>2000</v>
      </c>
      <c r="G214" s="2"/>
      <c r="H214" s="2" t="s">
        <v>1728</v>
      </c>
    </row>
    <row r="215" spans="2:8" x14ac:dyDescent="0.25">
      <c r="B215" s="7" t="s">
        <v>2051</v>
      </c>
      <c r="C215" s="2" t="s">
        <v>1090</v>
      </c>
      <c r="D215" s="2" t="s">
        <v>1734</v>
      </c>
      <c r="E215" s="2" t="s">
        <v>308</v>
      </c>
      <c r="F215" s="7">
        <v>2000</v>
      </c>
      <c r="G215" s="2"/>
      <c r="H215" s="2" t="s">
        <v>1728</v>
      </c>
    </row>
    <row r="216" spans="2:8" x14ac:dyDescent="0.25">
      <c r="B216" s="7" t="s">
        <v>2052</v>
      </c>
      <c r="C216" s="2" t="s">
        <v>1515</v>
      </c>
      <c r="D216" s="2"/>
      <c r="E216" s="2" t="s">
        <v>308</v>
      </c>
      <c r="F216" s="7">
        <v>2000</v>
      </c>
      <c r="G216" s="2"/>
      <c r="H216" s="2" t="s">
        <v>1728</v>
      </c>
    </row>
    <row r="217" spans="2:8" x14ac:dyDescent="0.25">
      <c r="B217" s="7" t="s">
        <v>2053</v>
      </c>
      <c r="C217" s="2" t="s">
        <v>1091</v>
      </c>
      <c r="D217" s="2" t="s">
        <v>1092</v>
      </c>
      <c r="E217" s="2" t="s">
        <v>308</v>
      </c>
      <c r="F217" s="7">
        <v>1998</v>
      </c>
      <c r="G217" s="2"/>
      <c r="H217" s="2" t="s">
        <v>1728</v>
      </c>
    </row>
    <row r="218" spans="2:8" x14ac:dyDescent="0.25">
      <c r="B218" s="6" t="s">
        <v>2539</v>
      </c>
      <c r="C218" s="1" t="s">
        <v>1093</v>
      </c>
      <c r="D218" s="1" t="s">
        <v>1094</v>
      </c>
      <c r="E218" s="1" t="s">
        <v>308</v>
      </c>
      <c r="F218" s="6">
        <v>1998</v>
      </c>
      <c r="G218" s="1" t="s">
        <v>513</v>
      </c>
      <c r="H218" s="1" t="s">
        <v>191</v>
      </c>
    </row>
    <row r="219" spans="2:8" x14ac:dyDescent="0.25">
      <c r="B219" s="6" t="s">
        <v>2540</v>
      </c>
      <c r="C219" s="1" t="s">
        <v>1095</v>
      </c>
      <c r="D219" s="1" t="s">
        <v>1096</v>
      </c>
      <c r="E219" s="1" t="s">
        <v>308</v>
      </c>
      <c r="F219" s="6">
        <v>2002</v>
      </c>
      <c r="G219" s="1" t="s">
        <v>514</v>
      </c>
      <c r="H219" s="1" t="s">
        <v>1097</v>
      </c>
    </row>
    <row r="220" spans="2:8" x14ac:dyDescent="0.25">
      <c r="B220" s="7" t="s">
        <v>2541</v>
      </c>
      <c r="C220" s="2" t="s">
        <v>1100</v>
      </c>
      <c r="D220" s="2" t="s">
        <v>1098</v>
      </c>
      <c r="E220" s="2" t="s">
        <v>308</v>
      </c>
      <c r="F220" s="7">
        <v>2001</v>
      </c>
      <c r="G220" s="2" t="s">
        <v>515</v>
      </c>
      <c r="H220" s="2" t="s">
        <v>1529</v>
      </c>
    </row>
    <row r="221" spans="2:8" x14ac:dyDescent="0.25">
      <c r="B221" s="7" t="s">
        <v>2542</v>
      </c>
      <c r="C221" s="2" t="s">
        <v>1516</v>
      </c>
      <c r="D221" s="2" t="s">
        <v>1096</v>
      </c>
      <c r="E221" s="2" t="s">
        <v>308</v>
      </c>
      <c r="F221" s="7">
        <v>2001</v>
      </c>
      <c r="G221" s="2" t="s">
        <v>1517</v>
      </c>
      <c r="H221" s="2" t="s">
        <v>888</v>
      </c>
    </row>
    <row r="222" spans="2:8" x14ac:dyDescent="0.25">
      <c r="B222" s="7" t="s">
        <v>2543</v>
      </c>
      <c r="C222" s="2" t="s">
        <v>1101</v>
      </c>
      <c r="D222" s="2" t="s">
        <v>1098</v>
      </c>
      <c r="E222" s="2" t="s">
        <v>308</v>
      </c>
      <c r="F222" s="7">
        <v>2002</v>
      </c>
      <c r="G222" s="2" t="s">
        <v>516</v>
      </c>
      <c r="H222" s="2" t="s">
        <v>1031</v>
      </c>
    </row>
    <row r="223" spans="2:8" x14ac:dyDescent="0.25">
      <c r="B223" s="7" t="s">
        <v>2054</v>
      </c>
      <c r="C223" s="2" t="s">
        <v>1103</v>
      </c>
      <c r="D223" s="2" t="s">
        <v>1104</v>
      </c>
      <c r="E223" s="2" t="s">
        <v>308</v>
      </c>
      <c r="F223" s="7">
        <v>1999</v>
      </c>
      <c r="G223" s="2" t="s">
        <v>517</v>
      </c>
      <c r="H223" s="2" t="s">
        <v>904</v>
      </c>
    </row>
    <row r="224" spans="2:8" x14ac:dyDescent="0.25">
      <c r="B224" s="7" t="s">
        <v>2055</v>
      </c>
      <c r="C224" s="2" t="s">
        <v>1105</v>
      </c>
      <c r="D224" s="2" t="s">
        <v>1106</v>
      </c>
      <c r="E224" s="2" t="s">
        <v>308</v>
      </c>
      <c r="F224" s="7">
        <v>2003</v>
      </c>
      <c r="G224" s="2" t="s">
        <v>518</v>
      </c>
      <c r="H224" s="2" t="s">
        <v>820</v>
      </c>
    </row>
    <row r="225" spans="2:8" x14ac:dyDescent="0.25">
      <c r="B225" s="7" t="s">
        <v>2056</v>
      </c>
      <c r="C225" s="2" t="s">
        <v>1107</v>
      </c>
      <c r="D225" s="2" t="s">
        <v>1108</v>
      </c>
      <c r="E225" s="2" t="s">
        <v>308</v>
      </c>
      <c r="F225" s="7">
        <v>2002</v>
      </c>
      <c r="G225" s="2" t="s">
        <v>519</v>
      </c>
      <c r="H225" s="2" t="s">
        <v>820</v>
      </c>
    </row>
    <row r="226" spans="2:8" x14ac:dyDescent="0.25">
      <c r="B226" s="7" t="s">
        <v>2057</v>
      </c>
      <c r="C226" s="2" t="s">
        <v>1109</v>
      </c>
      <c r="D226" s="2" t="s">
        <v>1110</v>
      </c>
      <c r="E226" s="2" t="s">
        <v>308</v>
      </c>
      <c r="F226" s="7">
        <v>2005</v>
      </c>
      <c r="G226" s="2" t="s">
        <v>520</v>
      </c>
      <c r="H226" s="2" t="s">
        <v>176</v>
      </c>
    </row>
    <row r="227" spans="2:8" x14ac:dyDescent="0.25">
      <c r="B227" s="7" t="s">
        <v>2058</v>
      </c>
      <c r="C227" s="2" t="s">
        <v>1111</v>
      </c>
      <c r="D227" s="2" t="s">
        <v>1106</v>
      </c>
      <c r="E227" s="2" t="s">
        <v>308</v>
      </c>
      <c r="F227" s="7">
        <v>2002</v>
      </c>
      <c r="G227" s="2" t="s">
        <v>522</v>
      </c>
      <c r="H227" s="2" t="s">
        <v>1215</v>
      </c>
    </row>
    <row r="228" spans="2:8" x14ac:dyDescent="0.25">
      <c r="B228" s="7" t="s">
        <v>2059</v>
      </c>
      <c r="C228" s="2" t="s">
        <v>1112</v>
      </c>
      <c r="D228" s="2" t="s">
        <v>1113</v>
      </c>
      <c r="E228" s="2" t="s">
        <v>308</v>
      </c>
      <c r="F228" s="7">
        <v>2005</v>
      </c>
      <c r="G228" s="2" t="s">
        <v>523</v>
      </c>
      <c r="H228" s="2" t="s">
        <v>1612</v>
      </c>
    </row>
    <row r="229" spans="2:8" x14ac:dyDescent="0.25">
      <c r="B229" s="7" t="s">
        <v>2060</v>
      </c>
      <c r="C229" s="2" t="s">
        <v>1115</v>
      </c>
      <c r="D229" s="2" t="s">
        <v>1116</v>
      </c>
      <c r="E229" s="2" t="s">
        <v>308</v>
      </c>
      <c r="F229" s="7">
        <v>2002</v>
      </c>
      <c r="G229" s="2" t="s">
        <v>514</v>
      </c>
      <c r="H229" s="2" t="s">
        <v>1117</v>
      </c>
    </row>
    <row r="230" spans="2:8" x14ac:dyDescent="0.25">
      <c r="B230" s="7" t="s">
        <v>2061</v>
      </c>
      <c r="C230" s="2" t="s">
        <v>1118</v>
      </c>
      <c r="D230" s="2" t="s">
        <v>1119</v>
      </c>
      <c r="E230" s="2" t="s">
        <v>308</v>
      </c>
      <c r="F230" s="7">
        <v>2002</v>
      </c>
      <c r="G230" s="2" t="s">
        <v>524</v>
      </c>
      <c r="H230" s="2" t="s">
        <v>1422</v>
      </c>
    </row>
    <row r="231" spans="2:8" x14ac:dyDescent="0.25">
      <c r="B231" s="7" t="s">
        <v>2062</v>
      </c>
      <c r="C231" s="2" t="s">
        <v>1120</v>
      </c>
      <c r="D231" s="2" t="s">
        <v>1121</v>
      </c>
      <c r="E231" s="2" t="s">
        <v>308</v>
      </c>
      <c r="F231" s="7">
        <v>1997</v>
      </c>
      <c r="G231" s="2" t="s">
        <v>525</v>
      </c>
      <c r="H231" s="2" t="s">
        <v>1102</v>
      </c>
    </row>
    <row r="232" spans="2:8" x14ac:dyDescent="0.25">
      <c r="B232" s="6" t="s">
        <v>2063</v>
      </c>
      <c r="C232" s="1" t="s">
        <v>1122</v>
      </c>
      <c r="D232" s="1" t="s">
        <v>1114</v>
      </c>
      <c r="E232" s="1" t="s">
        <v>308</v>
      </c>
      <c r="F232" s="6">
        <v>2005</v>
      </c>
      <c r="G232" s="1" t="s">
        <v>526</v>
      </c>
      <c r="H232" s="1" t="s">
        <v>820</v>
      </c>
    </row>
    <row r="233" spans="2:8" x14ac:dyDescent="0.25">
      <c r="B233" s="6" t="s">
        <v>2064</v>
      </c>
      <c r="C233" s="1" t="s">
        <v>1123</v>
      </c>
      <c r="D233" s="1" t="s">
        <v>1124</v>
      </c>
      <c r="E233" s="1" t="s">
        <v>308</v>
      </c>
      <c r="F233" s="6">
        <v>2005</v>
      </c>
      <c r="G233" s="1" t="s">
        <v>527</v>
      </c>
      <c r="H233" s="1" t="s">
        <v>820</v>
      </c>
    </row>
    <row r="234" spans="2:8" x14ac:dyDescent="0.25">
      <c r="B234" s="6" t="s">
        <v>2065</v>
      </c>
      <c r="C234" s="1" t="s">
        <v>1125</v>
      </c>
      <c r="D234" s="1" t="s">
        <v>1113</v>
      </c>
      <c r="E234" s="1" t="s">
        <v>308</v>
      </c>
      <c r="F234" s="6">
        <v>2005</v>
      </c>
      <c r="G234" s="1" t="s">
        <v>528</v>
      </c>
      <c r="H234" s="1" t="s">
        <v>1428</v>
      </c>
    </row>
    <row r="235" spans="2:8" x14ac:dyDescent="0.25">
      <c r="B235" s="7" t="s">
        <v>2066</v>
      </c>
      <c r="C235" s="2" t="s">
        <v>1118</v>
      </c>
      <c r="D235" s="2" t="s">
        <v>1119</v>
      </c>
      <c r="E235" s="2" t="s">
        <v>308</v>
      </c>
      <c r="F235" s="7">
        <v>2002</v>
      </c>
      <c r="G235" s="2" t="s">
        <v>524</v>
      </c>
      <c r="H235" s="2" t="s">
        <v>1422</v>
      </c>
    </row>
    <row r="236" spans="2:8" x14ac:dyDescent="0.25">
      <c r="B236" s="7" t="s">
        <v>2067</v>
      </c>
      <c r="C236" s="2" t="s">
        <v>1126</v>
      </c>
      <c r="D236" s="2" t="s">
        <v>1119</v>
      </c>
      <c r="E236" s="2" t="s">
        <v>308</v>
      </c>
      <c r="F236" s="7">
        <v>2003</v>
      </c>
      <c r="G236" s="2" t="s">
        <v>529</v>
      </c>
      <c r="H236" s="2" t="s">
        <v>888</v>
      </c>
    </row>
    <row r="237" spans="2:8" x14ac:dyDescent="0.25">
      <c r="B237" s="6" t="s">
        <v>2068</v>
      </c>
      <c r="C237" s="1" t="s">
        <v>381</v>
      </c>
      <c r="D237" s="1" t="s">
        <v>1113</v>
      </c>
      <c r="E237" s="1" t="s">
        <v>308</v>
      </c>
      <c r="F237" s="6">
        <v>2005</v>
      </c>
      <c r="G237" s="1" t="s">
        <v>521</v>
      </c>
      <c r="H237" s="1" t="s">
        <v>820</v>
      </c>
    </row>
    <row r="238" spans="2:8" x14ac:dyDescent="0.25">
      <c r="B238" s="6" t="s">
        <v>2069</v>
      </c>
      <c r="C238" s="1" t="s">
        <v>1127</v>
      </c>
      <c r="D238" s="1" t="s">
        <v>1128</v>
      </c>
      <c r="F238" s="6">
        <v>2007</v>
      </c>
      <c r="G238" s="1" t="s">
        <v>530</v>
      </c>
      <c r="H238" s="1" t="s">
        <v>1612</v>
      </c>
    </row>
    <row r="239" spans="2:8" x14ac:dyDescent="0.25">
      <c r="B239" s="6" t="s">
        <v>2070</v>
      </c>
      <c r="C239" s="2" t="s">
        <v>1129</v>
      </c>
      <c r="D239" s="2" t="s">
        <v>1124</v>
      </c>
      <c r="E239" s="2" t="s">
        <v>308</v>
      </c>
      <c r="F239" s="6">
        <v>2005</v>
      </c>
      <c r="G239" s="1" t="s">
        <v>531</v>
      </c>
      <c r="H239" s="1" t="s">
        <v>177</v>
      </c>
    </row>
    <row r="240" spans="2:8" x14ac:dyDescent="0.25">
      <c r="B240" s="6" t="s">
        <v>2071</v>
      </c>
      <c r="C240" s="2" t="s">
        <v>382</v>
      </c>
      <c r="D240" s="2" t="s">
        <v>1104</v>
      </c>
      <c r="E240" s="2" t="s">
        <v>308</v>
      </c>
      <c r="F240" s="6">
        <v>1999</v>
      </c>
      <c r="G240" s="1" t="s">
        <v>532</v>
      </c>
      <c r="H240" s="1" t="s">
        <v>888</v>
      </c>
    </row>
    <row r="241" spans="2:9" x14ac:dyDescent="0.25">
      <c r="B241" s="6" t="s">
        <v>2072</v>
      </c>
      <c r="C241" s="1" t="s">
        <v>1130</v>
      </c>
      <c r="D241" s="1" t="s">
        <v>1131</v>
      </c>
      <c r="E241" s="1" t="s">
        <v>308</v>
      </c>
      <c r="F241" s="6">
        <v>2008</v>
      </c>
      <c r="G241" s="1" t="s">
        <v>533</v>
      </c>
      <c r="H241" s="1" t="s">
        <v>1612</v>
      </c>
    </row>
    <row r="242" spans="2:9" x14ac:dyDescent="0.25">
      <c r="B242" s="6" t="s">
        <v>2073</v>
      </c>
      <c r="C242" s="1" t="s">
        <v>1132</v>
      </c>
      <c r="D242" s="1" t="s">
        <v>1133</v>
      </c>
      <c r="E242" s="1" t="s">
        <v>308</v>
      </c>
      <c r="F242" s="6">
        <v>2008</v>
      </c>
      <c r="G242" s="1" t="s">
        <v>534</v>
      </c>
      <c r="H242" s="1" t="s">
        <v>820</v>
      </c>
    </row>
    <row r="243" spans="2:9" x14ac:dyDescent="0.25">
      <c r="B243" s="13" t="s">
        <v>2445</v>
      </c>
      <c r="C243" s="12" t="s">
        <v>2446</v>
      </c>
      <c r="D243" s="12" t="s">
        <v>1106</v>
      </c>
      <c r="E243" s="2" t="s">
        <v>308</v>
      </c>
      <c r="F243" s="13">
        <v>2003</v>
      </c>
      <c r="G243" s="12" t="s">
        <v>2447</v>
      </c>
      <c r="H243" s="12" t="s">
        <v>1214</v>
      </c>
    </row>
    <row r="244" spans="2:9" x14ac:dyDescent="0.25">
      <c r="B244" s="6" t="s">
        <v>2773</v>
      </c>
      <c r="C244" s="1" t="s">
        <v>2770</v>
      </c>
      <c r="D244" s="1" t="s">
        <v>2771</v>
      </c>
      <c r="E244" s="1" t="s">
        <v>2767</v>
      </c>
      <c r="F244" s="6">
        <v>2006</v>
      </c>
      <c r="G244" s="1" t="s">
        <v>2772</v>
      </c>
      <c r="H244" s="1" t="s">
        <v>1099</v>
      </c>
    </row>
    <row r="245" spans="2:9" x14ac:dyDescent="0.25">
      <c r="B245" s="6" t="s">
        <v>2776</v>
      </c>
      <c r="C245" s="1" t="s">
        <v>2774</v>
      </c>
      <c r="D245" s="1" t="s">
        <v>2771</v>
      </c>
      <c r="E245" s="1" t="s">
        <v>2767</v>
      </c>
      <c r="F245" s="6">
        <v>2006</v>
      </c>
      <c r="G245" s="1" t="s">
        <v>2775</v>
      </c>
      <c r="H245" s="1" t="s">
        <v>888</v>
      </c>
    </row>
    <row r="246" spans="2:9" x14ac:dyDescent="0.25">
      <c r="B246" s="6" t="s">
        <v>2778</v>
      </c>
      <c r="C246" s="1" t="s">
        <v>2777</v>
      </c>
      <c r="D246" s="1" t="s">
        <v>2771</v>
      </c>
      <c r="E246" s="1" t="s">
        <v>2767</v>
      </c>
      <c r="F246" s="6">
        <v>2002</v>
      </c>
      <c r="G246" s="1" t="s">
        <v>2772</v>
      </c>
      <c r="H246" s="1" t="s">
        <v>1099</v>
      </c>
    </row>
    <row r="247" spans="2:9" x14ac:dyDescent="0.25">
      <c r="B247" s="7" t="s">
        <v>2470</v>
      </c>
      <c r="C247" s="2" t="s">
        <v>1134</v>
      </c>
      <c r="D247" s="2" t="s">
        <v>1795</v>
      </c>
      <c r="E247" s="2" t="s">
        <v>308</v>
      </c>
      <c r="F247" s="7">
        <v>2001</v>
      </c>
      <c r="G247" s="2" t="s">
        <v>535</v>
      </c>
      <c r="H247" s="2" t="s">
        <v>1796</v>
      </c>
    </row>
    <row r="248" spans="2:9" x14ac:dyDescent="0.25">
      <c r="B248" s="6" t="s">
        <v>2471</v>
      </c>
      <c r="C248" s="1" t="s">
        <v>1797</v>
      </c>
      <c r="D248" s="1" t="s">
        <v>1798</v>
      </c>
      <c r="E248" s="1" t="s">
        <v>308</v>
      </c>
      <c r="F248" s="6">
        <v>1997</v>
      </c>
      <c r="G248" s="1" t="s">
        <v>536</v>
      </c>
      <c r="H248" s="1" t="s">
        <v>1215</v>
      </c>
    </row>
    <row r="249" spans="2:9" x14ac:dyDescent="0.25">
      <c r="B249" s="6" t="s">
        <v>2472</v>
      </c>
      <c r="C249" s="1" t="s">
        <v>383</v>
      </c>
      <c r="D249" s="1" t="s">
        <v>1799</v>
      </c>
      <c r="E249" s="1" t="s">
        <v>308</v>
      </c>
      <c r="F249" s="6">
        <v>2005</v>
      </c>
      <c r="G249" s="1" t="s">
        <v>1800</v>
      </c>
      <c r="H249" s="1" t="s">
        <v>1428</v>
      </c>
    </row>
    <row r="250" spans="2:9" x14ac:dyDescent="0.25">
      <c r="B250" s="7" t="s">
        <v>2473</v>
      </c>
      <c r="C250" s="2" t="s">
        <v>1801</v>
      </c>
      <c r="D250" s="2" t="s">
        <v>1802</v>
      </c>
      <c r="E250" s="2" t="s">
        <v>308</v>
      </c>
      <c r="F250" s="7">
        <v>1999</v>
      </c>
      <c r="G250" s="2" t="s">
        <v>537</v>
      </c>
      <c r="H250" s="2" t="s">
        <v>816</v>
      </c>
    </row>
    <row r="251" spans="2:9" x14ac:dyDescent="0.25">
      <c r="B251" s="6" t="s">
        <v>2474</v>
      </c>
      <c r="C251" s="1" t="s">
        <v>1803</v>
      </c>
      <c r="D251" s="1" t="s">
        <v>1799</v>
      </c>
      <c r="E251" s="1" t="s">
        <v>308</v>
      </c>
      <c r="F251" s="6">
        <v>2005</v>
      </c>
      <c r="G251" s="1" t="s">
        <v>538</v>
      </c>
      <c r="H251" s="1" t="s">
        <v>820</v>
      </c>
    </row>
    <row r="252" spans="2:9" x14ac:dyDescent="0.25">
      <c r="B252" s="6" t="s">
        <v>2475</v>
      </c>
      <c r="C252" s="1" t="s">
        <v>384</v>
      </c>
      <c r="D252" s="1" t="s">
        <v>1799</v>
      </c>
      <c r="E252" s="1" t="s">
        <v>308</v>
      </c>
      <c r="F252" s="6">
        <v>2005</v>
      </c>
      <c r="G252" s="1" t="s">
        <v>1800</v>
      </c>
      <c r="H252" s="1" t="s">
        <v>1428</v>
      </c>
    </row>
    <row r="253" spans="2:9" x14ac:dyDescent="0.25">
      <c r="B253" s="6" t="s">
        <v>2476</v>
      </c>
      <c r="C253" s="1" t="s">
        <v>1804</v>
      </c>
      <c r="D253" s="1" t="s">
        <v>1799</v>
      </c>
      <c r="E253" s="1" t="s">
        <v>308</v>
      </c>
      <c r="F253" s="6">
        <v>2006</v>
      </c>
      <c r="G253" s="1" t="s">
        <v>538</v>
      </c>
      <c r="H253" s="1" t="s">
        <v>820</v>
      </c>
    </row>
    <row r="254" spans="2:9" x14ac:dyDescent="0.25">
      <c r="B254" s="6" t="s">
        <v>2477</v>
      </c>
      <c r="C254" s="1" t="s">
        <v>1805</v>
      </c>
      <c r="D254" s="1" t="s">
        <v>1799</v>
      </c>
      <c r="E254" s="1" t="s">
        <v>308</v>
      </c>
      <c r="F254" s="6">
        <v>2006</v>
      </c>
      <c r="G254" s="1" t="s">
        <v>539</v>
      </c>
      <c r="H254" s="1" t="s">
        <v>820</v>
      </c>
    </row>
    <row r="255" spans="2:9" x14ac:dyDescent="0.25">
      <c r="B255" s="6" t="s">
        <v>2979</v>
      </c>
      <c r="C255" s="1" t="s">
        <v>2980</v>
      </c>
      <c r="D255" s="1" t="s">
        <v>2981</v>
      </c>
      <c r="E255" s="1" t="s">
        <v>308</v>
      </c>
      <c r="F255" s="6">
        <v>2016</v>
      </c>
      <c r="G255" s="1" t="s">
        <v>2982</v>
      </c>
      <c r="H255" s="1" t="s">
        <v>1759</v>
      </c>
    </row>
    <row r="256" spans="2:9" x14ac:dyDescent="0.25">
      <c r="B256" s="6" t="s">
        <v>3095</v>
      </c>
      <c r="C256" s="1" t="s">
        <v>3096</v>
      </c>
      <c r="D256"/>
      <c r="E256"/>
      <c r="F256" s="6">
        <v>2010</v>
      </c>
      <c r="G256" s="1" t="s">
        <v>3067</v>
      </c>
      <c r="H256" s="1" t="s">
        <v>820</v>
      </c>
      <c r="I256"/>
    </row>
    <row r="257" spans="2:8" x14ac:dyDescent="0.25">
      <c r="B257" s="7" t="s">
        <v>2544</v>
      </c>
      <c r="C257" s="2" t="s">
        <v>0</v>
      </c>
      <c r="D257" s="2" t="s">
        <v>1</v>
      </c>
      <c r="E257" s="2" t="s">
        <v>308</v>
      </c>
      <c r="F257" s="7">
        <v>2001</v>
      </c>
      <c r="G257" s="2" t="s">
        <v>540</v>
      </c>
      <c r="H257" s="2" t="s">
        <v>888</v>
      </c>
    </row>
    <row r="258" spans="2:8" x14ac:dyDescent="0.25">
      <c r="B258" s="7" t="s">
        <v>2545</v>
      </c>
      <c r="C258" s="2" t="s">
        <v>2</v>
      </c>
      <c r="D258" s="2" t="s">
        <v>1</v>
      </c>
      <c r="E258" s="2" t="s">
        <v>308</v>
      </c>
      <c r="F258" s="7">
        <v>2001</v>
      </c>
      <c r="G258" s="2" t="s">
        <v>541</v>
      </c>
      <c r="H258" s="2" t="s">
        <v>949</v>
      </c>
    </row>
    <row r="259" spans="2:8" x14ac:dyDescent="0.25">
      <c r="B259" s="7" t="s">
        <v>2546</v>
      </c>
      <c r="C259" s="2" t="s">
        <v>3</v>
      </c>
      <c r="D259" s="2" t="s">
        <v>1</v>
      </c>
      <c r="E259" s="2" t="s">
        <v>308</v>
      </c>
      <c r="F259" s="7">
        <v>2000</v>
      </c>
      <c r="G259" s="2" t="s">
        <v>542</v>
      </c>
      <c r="H259" s="2" t="s">
        <v>385</v>
      </c>
    </row>
    <row r="260" spans="2:8" x14ac:dyDescent="0.25">
      <c r="B260" s="7" t="s">
        <v>2547</v>
      </c>
      <c r="C260" s="2" t="s">
        <v>5</v>
      </c>
      <c r="D260" s="2" t="s">
        <v>6</v>
      </c>
      <c r="E260" s="2" t="s">
        <v>308</v>
      </c>
      <c r="F260" s="7">
        <v>2003</v>
      </c>
      <c r="G260" s="2" t="s">
        <v>543</v>
      </c>
      <c r="H260" s="2" t="s">
        <v>820</v>
      </c>
    </row>
    <row r="261" spans="2:8" x14ac:dyDescent="0.25">
      <c r="B261" s="6" t="s">
        <v>2548</v>
      </c>
      <c r="C261" s="1" t="s">
        <v>7</v>
      </c>
      <c r="D261" s="1" t="s">
        <v>6</v>
      </c>
      <c r="E261" s="1" t="s">
        <v>308</v>
      </c>
      <c r="F261" s="6">
        <v>2004</v>
      </c>
      <c r="G261" s="1" t="s">
        <v>544</v>
      </c>
      <c r="H261" s="1" t="s">
        <v>1215</v>
      </c>
    </row>
    <row r="262" spans="2:8" x14ac:dyDescent="0.25">
      <c r="B262" s="6" t="s">
        <v>2549</v>
      </c>
      <c r="C262" s="1" t="s">
        <v>8</v>
      </c>
      <c r="D262" s="1" t="s">
        <v>9</v>
      </c>
      <c r="E262" s="1" t="s">
        <v>308</v>
      </c>
      <c r="F262" s="6">
        <v>2005</v>
      </c>
      <c r="G262" s="1" t="s">
        <v>10</v>
      </c>
      <c r="H262" s="1" t="s">
        <v>1279</v>
      </c>
    </row>
    <row r="263" spans="2:8" x14ac:dyDescent="0.25">
      <c r="B263" s="6" t="s">
        <v>2783</v>
      </c>
      <c r="C263" s="1" t="s">
        <v>2779</v>
      </c>
      <c r="D263" s="1" t="s">
        <v>2782</v>
      </c>
      <c r="E263" s="1" t="s">
        <v>2767</v>
      </c>
      <c r="F263" s="6">
        <v>2001</v>
      </c>
      <c r="G263" s="1" t="s">
        <v>2781</v>
      </c>
      <c r="H263" s="1" t="s">
        <v>1608</v>
      </c>
    </row>
    <row r="264" spans="2:8" x14ac:dyDescent="0.25">
      <c r="B264" s="6" t="s">
        <v>2786</v>
      </c>
      <c r="C264" s="1" t="s">
        <v>2784</v>
      </c>
      <c r="D264" s="1" t="s">
        <v>2780</v>
      </c>
      <c r="E264" s="1" t="s">
        <v>2738</v>
      </c>
      <c r="F264" s="6">
        <v>2007</v>
      </c>
      <c r="G264" s="1" t="s">
        <v>958</v>
      </c>
      <c r="H264" s="1" t="s">
        <v>2785</v>
      </c>
    </row>
    <row r="265" spans="2:8" x14ac:dyDescent="0.25">
      <c r="B265" s="6" t="s">
        <v>2074</v>
      </c>
      <c r="C265" s="1" t="s">
        <v>12</v>
      </c>
      <c r="E265" s="1" t="s">
        <v>11</v>
      </c>
      <c r="F265" s="6">
        <v>2000</v>
      </c>
      <c r="G265" s="1" t="s">
        <v>545</v>
      </c>
      <c r="H265" s="1" t="s">
        <v>1428</v>
      </c>
    </row>
    <row r="266" spans="2:8" x14ac:dyDescent="0.25">
      <c r="B266" s="6" t="s">
        <v>2075</v>
      </c>
      <c r="C266" s="1" t="s">
        <v>13</v>
      </c>
      <c r="E266" s="1" t="s">
        <v>11</v>
      </c>
      <c r="F266" s="6">
        <v>1998</v>
      </c>
      <c r="G266" s="1" t="s">
        <v>546</v>
      </c>
      <c r="H266" s="1" t="s">
        <v>888</v>
      </c>
    </row>
    <row r="267" spans="2:8" x14ac:dyDescent="0.25">
      <c r="B267" s="7" t="s">
        <v>2076</v>
      </c>
      <c r="C267" s="2" t="s">
        <v>570</v>
      </c>
      <c r="D267" s="2"/>
      <c r="E267" s="2" t="s">
        <v>11</v>
      </c>
      <c r="F267" s="7">
        <v>2000</v>
      </c>
      <c r="G267" s="2" t="s">
        <v>547</v>
      </c>
      <c r="H267" s="2" t="s">
        <v>888</v>
      </c>
    </row>
    <row r="268" spans="2:8" x14ac:dyDescent="0.25">
      <c r="B268" s="7" t="s">
        <v>2077</v>
      </c>
      <c r="C268" s="2" t="s">
        <v>14</v>
      </c>
      <c r="D268" s="2"/>
      <c r="E268" s="2" t="s">
        <v>11</v>
      </c>
      <c r="F268" s="7">
        <v>1997</v>
      </c>
      <c r="G268" s="2"/>
      <c r="H268" s="2" t="s">
        <v>1448</v>
      </c>
    </row>
    <row r="269" spans="2:8" x14ac:dyDescent="0.25">
      <c r="B269" s="7" t="s">
        <v>2078</v>
      </c>
      <c r="C269" s="2" t="s">
        <v>1518</v>
      </c>
      <c r="D269" s="2"/>
      <c r="E269" s="2" t="s">
        <v>11</v>
      </c>
      <c r="F269" s="7">
        <v>2000</v>
      </c>
      <c r="G269" s="2" t="s">
        <v>565</v>
      </c>
      <c r="H269" s="2" t="s">
        <v>15</v>
      </c>
    </row>
    <row r="270" spans="2:8" x14ac:dyDescent="0.25">
      <c r="B270" s="7" t="s">
        <v>2079</v>
      </c>
      <c r="C270" s="2" t="s">
        <v>12</v>
      </c>
      <c r="D270" s="2"/>
      <c r="E270" s="2" t="s">
        <v>11</v>
      </c>
      <c r="F270" s="7">
        <v>2000</v>
      </c>
      <c r="G270" s="2" t="s">
        <v>548</v>
      </c>
      <c r="H270" s="2" t="s">
        <v>1428</v>
      </c>
    </row>
    <row r="271" spans="2:8" x14ac:dyDescent="0.25">
      <c r="B271" s="7" t="s">
        <v>2080</v>
      </c>
      <c r="C271" s="2" t="s">
        <v>17</v>
      </c>
      <c r="D271" s="2"/>
      <c r="E271" s="2" t="s">
        <v>11</v>
      </c>
      <c r="F271" s="7">
        <v>2000</v>
      </c>
      <c r="G271" s="2" t="s">
        <v>549</v>
      </c>
      <c r="H271" s="2" t="s">
        <v>1422</v>
      </c>
    </row>
    <row r="272" spans="2:8" x14ac:dyDescent="0.25">
      <c r="B272" s="7" t="s">
        <v>2081</v>
      </c>
      <c r="C272" s="2" t="s">
        <v>18</v>
      </c>
      <c r="D272" s="2"/>
      <c r="E272" s="2" t="s">
        <v>11</v>
      </c>
      <c r="F272" s="7">
        <v>1999</v>
      </c>
      <c r="G272" s="2" t="s">
        <v>547</v>
      </c>
      <c r="H272" s="2" t="s">
        <v>888</v>
      </c>
    </row>
    <row r="273" spans="2:8" x14ac:dyDescent="0.25">
      <c r="B273" s="7" t="s">
        <v>2082</v>
      </c>
      <c r="C273" s="2" t="s">
        <v>19</v>
      </c>
      <c r="D273" s="2"/>
      <c r="E273" s="2" t="s">
        <v>11</v>
      </c>
      <c r="F273" s="7">
        <v>2002</v>
      </c>
      <c r="G273" s="2" t="s">
        <v>548</v>
      </c>
      <c r="H273" s="2" t="s">
        <v>1428</v>
      </c>
    </row>
    <row r="274" spans="2:8" x14ac:dyDescent="0.25">
      <c r="B274" s="7" t="s">
        <v>2083</v>
      </c>
      <c r="C274" s="2" t="s">
        <v>20</v>
      </c>
      <c r="D274" s="2"/>
      <c r="E274" s="2" t="s">
        <v>11</v>
      </c>
      <c r="F274" s="7">
        <v>1998</v>
      </c>
      <c r="G274" s="2" t="s">
        <v>547</v>
      </c>
      <c r="H274" s="2" t="s">
        <v>888</v>
      </c>
    </row>
    <row r="275" spans="2:8" x14ac:dyDescent="0.25">
      <c r="B275" s="7" t="s">
        <v>2084</v>
      </c>
      <c r="C275" s="2" t="s">
        <v>21</v>
      </c>
      <c r="D275" s="2"/>
      <c r="E275" s="2" t="s">
        <v>11</v>
      </c>
      <c r="F275" s="7">
        <v>2000</v>
      </c>
      <c r="G275" s="2" t="s">
        <v>550</v>
      </c>
      <c r="H275" s="2" t="s">
        <v>1422</v>
      </c>
    </row>
    <row r="276" spans="2:8" x14ac:dyDescent="0.25">
      <c r="B276" s="7" t="s">
        <v>2085</v>
      </c>
      <c r="C276" s="2" t="s">
        <v>22</v>
      </c>
      <c r="D276" s="2"/>
      <c r="E276" s="2" t="s">
        <v>11</v>
      </c>
      <c r="F276" s="7">
        <v>2000</v>
      </c>
      <c r="G276" s="2" t="s">
        <v>551</v>
      </c>
      <c r="H276" s="2" t="s">
        <v>1422</v>
      </c>
    </row>
    <row r="277" spans="2:8" x14ac:dyDescent="0.25">
      <c r="B277" s="7" t="s">
        <v>2086</v>
      </c>
      <c r="C277" s="2" t="s">
        <v>23</v>
      </c>
      <c r="D277" s="2"/>
      <c r="E277" s="2" t="s">
        <v>11</v>
      </c>
      <c r="F277" s="7">
        <v>2003</v>
      </c>
      <c r="G277" s="2" t="s">
        <v>552</v>
      </c>
      <c r="H277" s="2" t="s">
        <v>1204</v>
      </c>
    </row>
    <row r="278" spans="2:8" x14ac:dyDescent="0.25">
      <c r="B278" s="7" t="s">
        <v>2087</v>
      </c>
      <c r="C278" s="2" t="s">
        <v>24</v>
      </c>
      <c r="D278" s="2"/>
      <c r="E278" s="2" t="s">
        <v>11</v>
      </c>
      <c r="F278" s="7">
        <v>2004</v>
      </c>
      <c r="G278" s="2" t="s">
        <v>553</v>
      </c>
      <c r="H278" s="2" t="s">
        <v>1219</v>
      </c>
    </row>
    <row r="279" spans="2:8" x14ac:dyDescent="0.25">
      <c r="B279" s="7" t="s">
        <v>2088</v>
      </c>
      <c r="C279" s="2" t="s">
        <v>25</v>
      </c>
      <c r="D279" s="2"/>
      <c r="E279" s="2" t="s">
        <v>11</v>
      </c>
      <c r="F279" s="7">
        <v>2004</v>
      </c>
      <c r="G279" s="2" t="s">
        <v>554</v>
      </c>
      <c r="H279" s="2" t="s">
        <v>1428</v>
      </c>
    </row>
    <row r="280" spans="2:8" x14ac:dyDescent="0.25">
      <c r="B280" s="7" t="s">
        <v>2089</v>
      </c>
      <c r="C280" s="2" t="s">
        <v>26</v>
      </c>
      <c r="D280" s="2"/>
      <c r="E280" s="2" t="s">
        <v>11</v>
      </c>
      <c r="F280" s="7">
        <v>2004</v>
      </c>
      <c r="G280" s="2" t="s">
        <v>548</v>
      </c>
      <c r="H280" s="2" t="s">
        <v>1428</v>
      </c>
    </row>
    <row r="281" spans="2:8" x14ac:dyDescent="0.25">
      <c r="B281" s="7" t="s">
        <v>2090</v>
      </c>
      <c r="C281" s="2" t="s">
        <v>27</v>
      </c>
      <c r="D281" s="2"/>
      <c r="E281" s="2" t="s">
        <v>11</v>
      </c>
      <c r="F281" s="7">
        <v>2004</v>
      </c>
      <c r="G281" s="2" t="s">
        <v>555</v>
      </c>
      <c r="H281" s="2" t="s">
        <v>28</v>
      </c>
    </row>
    <row r="282" spans="2:8" x14ac:dyDescent="0.25">
      <c r="B282" s="7" t="s">
        <v>2091</v>
      </c>
      <c r="C282" s="2" t="s">
        <v>29</v>
      </c>
      <c r="D282" s="2"/>
      <c r="E282" s="2" t="s">
        <v>11</v>
      </c>
      <c r="F282" s="7">
        <v>2005</v>
      </c>
      <c r="G282" s="2" t="s">
        <v>556</v>
      </c>
      <c r="H282" s="2" t="s">
        <v>1305</v>
      </c>
    </row>
    <row r="283" spans="2:8" x14ac:dyDescent="0.25">
      <c r="B283" s="7" t="s">
        <v>2092</v>
      </c>
      <c r="C283" s="2" t="s">
        <v>30</v>
      </c>
      <c r="D283" s="2" t="s">
        <v>31</v>
      </c>
      <c r="E283" s="2" t="s">
        <v>11</v>
      </c>
      <c r="F283" s="7">
        <v>2000</v>
      </c>
      <c r="G283" s="2" t="s">
        <v>557</v>
      </c>
      <c r="H283" s="2" t="s">
        <v>1215</v>
      </c>
    </row>
    <row r="284" spans="2:8" x14ac:dyDescent="0.25">
      <c r="B284" s="7" t="s">
        <v>2093</v>
      </c>
      <c r="C284" s="2" t="s">
        <v>33</v>
      </c>
      <c r="D284" s="2"/>
      <c r="E284" s="2" t="s">
        <v>11</v>
      </c>
      <c r="F284" s="7">
        <v>2005</v>
      </c>
      <c r="G284" s="2" t="s">
        <v>558</v>
      </c>
      <c r="H284" s="2" t="s">
        <v>1612</v>
      </c>
    </row>
    <row r="285" spans="2:8" x14ac:dyDescent="0.25">
      <c r="B285" s="7" t="s">
        <v>2094</v>
      </c>
      <c r="C285" s="2" t="s">
        <v>34</v>
      </c>
      <c r="D285" s="2"/>
      <c r="E285" s="2" t="s">
        <v>11</v>
      </c>
      <c r="F285" s="7">
        <v>2005</v>
      </c>
      <c r="G285" s="2" t="s">
        <v>548</v>
      </c>
      <c r="H285" s="2" t="s">
        <v>1428</v>
      </c>
    </row>
    <row r="286" spans="2:8" x14ac:dyDescent="0.25">
      <c r="B286" s="6" t="s">
        <v>2095</v>
      </c>
      <c r="C286" s="1" t="s">
        <v>33</v>
      </c>
      <c r="E286" s="1" t="s">
        <v>11</v>
      </c>
      <c r="F286" s="6">
        <v>2005</v>
      </c>
      <c r="G286" s="1" t="s">
        <v>558</v>
      </c>
      <c r="H286" s="1" t="s">
        <v>1612</v>
      </c>
    </row>
    <row r="287" spans="2:8" x14ac:dyDescent="0.25">
      <c r="B287" s="6" t="s">
        <v>2096</v>
      </c>
      <c r="C287" s="1" t="s">
        <v>35</v>
      </c>
      <c r="E287" s="1" t="s">
        <v>11</v>
      </c>
      <c r="F287" s="6">
        <v>2005</v>
      </c>
      <c r="G287" s="1" t="s">
        <v>559</v>
      </c>
      <c r="H287" s="1" t="s">
        <v>1428</v>
      </c>
    </row>
    <row r="288" spans="2:8" x14ac:dyDescent="0.25">
      <c r="B288" s="7" t="s">
        <v>2097</v>
      </c>
      <c r="C288" s="2" t="s">
        <v>26</v>
      </c>
      <c r="D288" s="2"/>
      <c r="E288" s="2" t="s">
        <v>11</v>
      </c>
      <c r="F288" s="7">
        <v>2004</v>
      </c>
      <c r="G288" s="2" t="s">
        <v>548</v>
      </c>
      <c r="H288" s="2" t="s">
        <v>1428</v>
      </c>
    </row>
    <row r="289" spans="2:8" x14ac:dyDescent="0.25">
      <c r="B289" s="6" t="s">
        <v>2098</v>
      </c>
      <c r="C289" s="1" t="s">
        <v>571</v>
      </c>
      <c r="E289" s="1" t="s">
        <v>11</v>
      </c>
      <c r="F289" s="6">
        <v>2006</v>
      </c>
      <c r="G289" s="1" t="s">
        <v>560</v>
      </c>
      <c r="H289" s="1" t="s">
        <v>820</v>
      </c>
    </row>
    <row r="290" spans="2:8" x14ac:dyDescent="0.25">
      <c r="B290" s="7" t="s">
        <v>2099</v>
      </c>
      <c r="C290" s="2" t="s">
        <v>33</v>
      </c>
      <c r="D290" s="2"/>
      <c r="E290" s="2" t="s">
        <v>11</v>
      </c>
      <c r="F290" s="7">
        <v>2005</v>
      </c>
      <c r="G290" s="2" t="s">
        <v>558</v>
      </c>
      <c r="H290" s="2" t="s">
        <v>1612</v>
      </c>
    </row>
    <row r="291" spans="2:8" x14ac:dyDescent="0.25">
      <c r="B291" s="7" t="s">
        <v>2100</v>
      </c>
      <c r="C291" s="2" t="s">
        <v>386</v>
      </c>
      <c r="D291" s="2"/>
      <c r="E291" s="2" t="s">
        <v>11</v>
      </c>
      <c r="F291" s="7">
        <v>2000</v>
      </c>
      <c r="G291" s="2" t="s">
        <v>561</v>
      </c>
      <c r="H291" s="2" t="s">
        <v>816</v>
      </c>
    </row>
    <row r="292" spans="2:8" x14ac:dyDescent="0.25">
      <c r="B292" s="7" t="s">
        <v>2101</v>
      </c>
      <c r="C292" s="2" t="s">
        <v>37</v>
      </c>
      <c r="D292" s="2"/>
      <c r="E292" s="2" t="s">
        <v>11</v>
      </c>
      <c r="F292" s="7">
        <v>2004</v>
      </c>
      <c r="G292" s="2" t="s">
        <v>562</v>
      </c>
      <c r="H292" s="2" t="s">
        <v>820</v>
      </c>
    </row>
    <row r="293" spans="2:8" x14ac:dyDescent="0.25">
      <c r="B293" s="7" t="s">
        <v>2102</v>
      </c>
      <c r="C293" s="2" t="s">
        <v>1555</v>
      </c>
      <c r="D293" s="2"/>
      <c r="E293" s="2" t="s">
        <v>11</v>
      </c>
      <c r="F293" s="7">
        <v>1998</v>
      </c>
      <c r="G293" s="2" t="s">
        <v>547</v>
      </c>
      <c r="H293" s="2" t="s">
        <v>888</v>
      </c>
    </row>
    <row r="294" spans="2:8" x14ac:dyDescent="0.25">
      <c r="B294" s="6" t="s">
        <v>2103</v>
      </c>
      <c r="C294" s="1" t="s">
        <v>1641</v>
      </c>
      <c r="E294" s="2" t="s">
        <v>11</v>
      </c>
      <c r="F294" s="6">
        <v>2002</v>
      </c>
      <c r="G294" s="1" t="s">
        <v>563</v>
      </c>
      <c r="H294" s="1" t="s">
        <v>16</v>
      </c>
    </row>
    <row r="295" spans="2:8" x14ac:dyDescent="0.25">
      <c r="B295" s="6" t="s">
        <v>2104</v>
      </c>
      <c r="C295" s="1" t="s">
        <v>1642</v>
      </c>
      <c r="E295" s="2" t="s">
        <v>11</v>
      </c>
      <c r="F295" s="6">
        <v>2005</v>
      </c>
      <c r="G295" s="1" t="s">
        <v>551</v>
      </c>
      <c r="H295" s="1" t="s">
        <v>1428</v>
      </c>
    </row>
    <row r="296" spans="2:8" x14ac:dyDescent="0.25">
      <c r="B296" s="6" t="s">
        <v>2723</v>
      </c>
      <c r="C296" s="1" t="s">
        <v>2724</v>
      </c>
      <c r="E296" s="2" t="s">
        <v>11</v>
      </c>
      <c r="F296" s="1">
        <v>2001</v>
      </c>
      <c r="G296" s="1" t="s">
        <v>223</v>
      </c>
      <c r="H296" s="1" t="s">
        <v>888</v>
      </c>
    </row>
    <row r="297" spans="2:8" x14ac:dyDescent="0.25">
      <c r="B297" s="6" t="s">
        <v>2725</v>
      </c>
      <c r="C297" s="1" t="s">
        <v>26</v>
      </c>
      <c r="E297" s="2" t="s">
        <v>11</v>
      </c>
      <c r="F297" s="1">
        <v>2010</v>
      </c>
      <c r="G297" s="1" t="s">
        <v>2726</v>
      </c>
      <c r="H297" s="1" t="s">
        <v>1428</v>
      </c>
    </row>
    <row r="298" spans="2:8" x14ac:dyDescent="0.25">
      <c r="B298" s="6" t="s">
        <v>2954</v>
      </c>
      <c r="C298" s="1" t="s">
        <v>2959</v>
      </c>
      <c r="E298" s="2" t="s">
        <v>11</v>
      </c>
      <c r="F298" s="1">
        <v>2015</v>
      </c>
      <c r="G298" s="1" t="s">
        <v>2958</v>
      </c>
      <c r="H298" s="1" t="s">
        <v>2957</v>
      </c>
    </row>
    <row r="299" spans="2:8" x14ac:dyDescent="0.25">
      <c r="B299" s="6" t="s">
        <v>2955</v>
      </c>
      <c r="C299" s="1" t="s">
        <v>2956</v>
      </c>
      <c r="E299" s="2" t="s">
        <v>11</v>
      </c>
      <c r="F299" s="1">
        <v>2015</v>
      </c>
      <c r="G299" s="1" t="s">
        <v>2960</v>
      </c>
      <c r="H299" s="1" t="s">
        <v>820</v>
      </c>
    </row>
    <row r="300" spans="2:8" x14ac:dyDescent="0.25">
      <c r="B300" s="6" t="s">
        <v>2985</v>
      </c>
      <c r="C300" s="1" t="s">
        <v>2986</v>
      </c>
      <c r="E300" s="2" t="s">
        <v>11</v>
      </c>
      <c r="F300" s="1">
        <v>2009</v>
      </c>
      <c r="G300" s="1" t="s">
        <v>957</v>
      </c>
      <c r="H300" s="1" t="s">
        <v>820</v>
      </c>
    </row>
    <row r="301" spans="2:8" x14ac:dyDescent="0.25">
      <c r="B301" s="6" t="s">
        <v>3013</v>
      </c>
      <c r="C301" s="1" t="s">
        <v>3014</v>
      </c>
      <c r="E301" s="2" t="s">
        <v>11</v>
      </c>
      <c r="F301" s="1">
        <v>2015</v>
      </c>
      <c r="G301" s="1" t="s">
        <v>3015</v>
      </c>
      <c r="H301" s="1" t="s">
        <v>3016</v>
      </c>
    </row>
    <row r="302" spans="2:8" x14ac:dyDescent="0.25">
      <c r="B302" s="6" t="s">
        <v>3019</v>
      </c>
      <c r="C302" s="1" t="s">
        <v>3017</v>
      </c>
      <c r="E302" s="2" t="s">
        <v>11</v>
      </c>
      <c r="F302" s="1">
        <v>2016</v>
      </c>
      <c r="G302" s="1" t="s">
        <v>2763</v>
      </c>
      <c r="H302" s="1" t="s">
        <v>3018</v>
      </c>
    </row>
    <row r="303" spans="2:8" x14ac:dyDescent="0.25">
      <c r="B303" s="6" t="s">
        <v>3039</v>
      </c>
      <c r="C303" s="1" t="s">
        <v>3040</v>
      </c>
      <c r="E303" s="2" t="s">
        <v>11</v>
      </c>
      <c r="F303" s="6">
        <v>2016</v>
      </c>
      <c r="G303" s="1" t="s">
        <v>443</v>
      </c>
      <c r="H303" s="1" t="s">
        <v>820</v>
      </c>
    </row>
    <row r="304" spans="2:8" x14ac:dyDescent="0.25">
      <c r="B304" s="6" t="s">
        <v>3099</v>
      </c>
      <c r="C304" s="1" t="s">
        <v>3100</v>
      </c>
      <c r="E304" s="2" t="s">
        <v>11</v>
      </c>
      <c r="F304" s="6">
        <v>2015</v>
      </c>
      <c r="G304" s="1" t="s">
        <v>3101</v>
      </c>
      <c r="H304" s="1" t="s">
        <v>820</v>
      </c>
    </row>
    <row r="305" spans="2:8" x14ac:dyDescent="0.25">
      <c r="B305" s="6" t="s">
        <v>2550</v>
      </c>
      <c r="C305" s="1" t="s">
        <v>1556</v>
      </c>
      <c r="E305" s="1" t="s">
        <v>1557</v>
      </c>
      <c r="F305" s="6">
        <v>1997</v>
      </c>
      <c r="G305" s="1" t="s">
        <v>564</v>
      </c>
      <c r="H305" s="1" t="s">
        <v>1422</v>
      </c>
    </row>
    <row r="306" spans="2:8" x14ac:dyDescent="0.25">
      <c r="B306" s="6" t="s">
        <v>2551</v>
      </c>
      <c r="C306" s="1" t="s">
        <v>87</v>
      </c>
      <c r="E306" s="1" t="s">
        <v>88</v>
      </c>
      <c r="F306" s="6">
        <v>2005</v>
      </c>
      <c r="G306" s="1" t="s">
        <v>566</v>
      </c>
      <c r="H306" s="1" t="s">
        <v>820</v>
      </c>
    </row>
    <row r="307" spans="2:8" x14ac:dyDescent="0.25">
      <c r="B307" s="6" t="s">
        <v>2552</v>
      </c>
      <c r="C307" s="1" t="s">
        <v>87</v>
      </c>
      <c r="E307" s="1" t="s">
        <v>88</v>
      </c>
      <c r="F307" s="6">
        <v>2005</v>
      </c>
      <c r="G307" s="1" t="s">
        <v>566</v>
      </c>
      <c r="H307" s="1" t="s">
        <v>820</v>
      </c>
    </row>
    <row r="308" spans="2:8" x14ac:dyDescent="0.25">
      <c r="B308" s="6" t="s">
        <v>2553</v>
      </c>
      <c r="C308" s="1" t="s">
        <v>89</v>
      </c>
      <c r="E308" s="1" t="s">
        <v>88</v>
      </c>
      <c r="F308" s="6">
        <v>2006</v>
      </c>
      <c r="G308" s="1" t="s">
        <v>567</v>
      </c>
      <c r="H308" s="1" t="s">
        <v>820</v>
      </c>
    </row>
    <row r="309" spans="2:8" x14ac:dyDescent="0.25">
      <c r="B309" s="6" t="s">
        <v>2554</v>
      </c>
      <c r="C309" s="1" t="s">
        <v>660</v>
      </c>
      <c r="E309" s="1" t="s">
        <v>88</v>
      </c>
      <c r="F309" s="6">
        <v>2008</v>
      </c>
      <c r="G309" s="1" t="s">
        <v>568</v>
      </c>
      <c r="H309" s="1" t="s">
        <v>888</v>
      </c>
    </row>
    <row r="310" spans="2:8" x14ac:dyDescent="0.25">
      <c r="B310" s="6" t="s">
        <v>2888</v>
      </c>
      <c r="C310" s="1" t="s">
        <v>2889</v>
      </c>
      <c r="D310" s="1" t="s">
        <v>2890</v>
      </c>
      <c r="E310" s="1" t="s">
        <v>2891</v>
      </c>
      <c r="F310" s="6">
        <v>2015</v>
      </c>
      <c r="G310" s="1" t="s">
        <v>1217</v>
      </c>
      <c r="H310" s="1" t="s">
        <v>2892</v>
      </c>
    </row>
    <row r="311" spans="2:8" x14ac:dyDescent="0.25">
      <c r="B311" s="6" t="s">
        <v>2894</v>
      </c>
      <c r="C311" s="1" t="s">
        <v>2893</v>
      </c>
      <c r="D311" s="1" t="s">
        <v>2890</v>
      </c>
      <c r="E311" s="1" t="s">
        <v>2891</v>
      </c>
      <c r="F311" s="6">
        <v>2014</v>
      </c>
      <c r="G311" s="1" t="s">
        <v>1217</v>
      </c>
      <c r="H311" s="1" t="s">
        <v>2892</v>
      </c>
    </row>
    <row r="312" spans="2:8" x14ac:dyDescent="0.25">
      <c r="B312" s="6" t="s">
        <v>2897</v>
      </c>
      <c r="C312" s="1" t="s">
        <v>2895</v>
      </c>
      <c r="D312" s="1" t="s">
        <v>1061</v>
      </c>
      <c r="E312" s="1" t="s">
        <v>2891</v>
      </c>
      <c r="F312" s="6">
        <v>2015</v>
      </c>
      <c r="G312" s="1" t="s">
        <v>2896</v>
      </c>
      <c r="H312" s="1" t="s">
        <v>2892</v>
      </c>
    </row>
    <row r="313" spans="2:8" x14ac:dyDescent="0.25">
      <c r="B313" s="6" t="s">
        <v>2937</v>
      </c>
      <c r="C313" s="1" t="s">
        <v>2932</v>
      </c>
      <c r="F313" s="1">
        <v>2012</v>
      </c>
      <c r="H313" s="1" t="s">
        <v>2933</v>
      </c>
    </row>
    <row r="314" spans="2:8" x14ac:dyDescent="0.25">
      <c r="B314" s="6" t="s">
        <v>2938</v>
      </c>
      <c r="C314" s="1" t="s">
        <v>2934</v>
      </c>
      <c r="F314" s="1">
        <v>2012</v>
      </c>
    </row>
    <row r="315" spans="2:8" x14ac:dyDescent="0.25">
      <c r="B315" s="6" t="s">
        <v>2939</v>
      </c>
      <c r="C315" s="1" t="s">
        <v>2935</v>
      </c>
      <c r="F315" s="1">
        <v>2012</v>
      </c>
      <c r="H315" s="1" t="s">
        <v>2933</v>
      </c>
    </row>
    <row r="316" spans="2:8" x14ac:dyDescent="0.25">
      <c r="B316" s="6" t="s">
        <v>2940</v>
      </c>
      <c r="C316" s="1" t="s">
        <v>2936</v>
      </c>
      <c r="F316" s="1">
        <v>2013</v>
      </c>
      <c r="H316" s="1" t="s">
        <v>2933</v>
      </c>
    </row>
    <row r="317" spans="2:8" x14ac:dyDescent="0.25">
      <c r="B317" s="6" t="s">
        <v>3020</v>
      </c>
      <c r="C317" s="1" t="s">
        <v>3021</v>
      </c>
      <c r="E317" s="1" t="s">
        <v>88</v>
      </c>
      <c r="F317" s="1">
        <v>2015</v>
      </c>
      <c r="G317" s="1" t="s">
        <v>2763</v>
      </c>
      <c r="H317" s="1" t="s">
        <v>3018</v>
      </c>
    </row>
    <row r="318" spans="2:8" x14ac:dyDescent="0.25">
      <c r="B318" s="6" t="s">
        <v>3022</v>
      </c>
      <c r="C318" s="1" t="s">
        <v>3023</v>
      </c>
      <c r="E318" s="2" t="s">
        <v>11</v>
      </c>
      <c r="F318" s="1">
        <v>2017</v>
      </c>
      <c r="G318" s="1" t="s">
        <v>3024</v>
      </c>
      <c r="H318" s="1" t="s">
        <v>3025</v>
      </c>
    </row>
    <row r="319" spans="2:8" x14ac:dyDescent="0.25">
      <c r="B319" s="6" t="s">
        <v>3026</v>
      </c>
      <c r="C319" s="1" t="s">
        <v>3028</v>
      </c>
      <c r="E319" s="2" t="s">
        <v>3027</v>
      </c>
      <c r="F319" s="1">
        <v>2016</v>
      </c>
      <c r="G319" s="1" t="s">
        <v>1217</v>
      </c>
      <c r="H319" s="1" t="s">
        <v>820</v>
      </c>
    </row>
    <row r="320" spans="2:8" x14ac:dyDescent="0.25">
      <c r="B320" s="6" t="s">
        <v>3036</v>
      </c>
      <c r="C320" s="1" t="s">
        <v>3033</v>
      </c>
      <c r="E320" s="1" t="s">
        <v>3049</v>
      </c>
      <c r="F320" s="6">
        <v>2016</v>
      </c>
      <c r="G320" s="1" t="s">
        <v>3034</v>
      </c>
      <c r="H320" s="1" t="s">
        <v>3035</v>
      </c>
    </row>
    <row r="321" spans="2:8" x14ac:dyDescent="0.25">
      <c r="B321" s="7" t="s">
        <v>2555</v>
      </c>
      <c r="C321" s="2" t="s">
        <v>1592</v>
      </c>
      <c r="D321" s="2" t="s">
        <v>1593</v>
      </c>
      <c r="E321" s="2" t="s">
        <v>572</v>
      </c>
      <c r="F321" s="7">
        <v>2002</v>
      </c>
      <c r="G321" s="2" t="s">
        <v>1594</v>
      </c>
      <c r="H321" s="2" t="s">
        <v>1214</v>
      </c>
    </row>
    <row r="322" spans="2:8" x14ac:dyDescent="0.25">
      <c r="B322" s="7" t="s">
        <v>2556</v>
      </c>
      <c r="C322" s="2" t="s">
        <v>1595</v>
      </c>
      <c r="D322" s="2" t="s">
        <v>1593</v>
      </c>
      <c r="E322" s="2" t="s">
        <v>572</v>
      </c>
      <c r="F322" s="7">
        <v>2000</v>
      </c>
      <c r="G322" s="2" t="s">
        <v>1596</v>
      </c>
      <c r="H322" s="2" t="s">
        <v>1204</v>
      </c>
    </row>
    <row r="323" spans="2:8" x14ac:dyDescent="0.25">
      <c r="B323" s="7" t="s">
        <v>2557</v>
      </c>
      <c r="C323" s="2" t="s">
        <v>1597</v>
      </c>
      <c r="D323" s="2" t="s">
        <v>1593</v>
      </c>
      <c r="E323" s="2" t="s">
        <v>572</v>
      </c>
      <c r="F323" s="7">
        <v>2001</v>
      </c>
      <c r="G323" s="2" t="s">
        <v>1598</v>
      </c>
      <c r="H323" s="2" t="s">
        <v>1204</v>
      </c>
    </row>
    <row r="324" spans="2:8" x14ac:dyDescent="0.25">
      <c r="B324" s="7" t="s">
        <v>2558</v>
      </c>
      <c r="C324" s="2" t="s">
        <v>2887</v>
      </c>
      <c r="D324" s="2"/>
      <c r="E324" s="2" t="s">
        <v>572</v>
      </c>
      <c r="F324" s="7">
        <v>2002</v>
      </c>
      <c r="G324" s="2" t="s">
        <v>1599</v>
      </c>
      <c r="H324" s="2" t="s">
        <v>1204</v>
      </c>
    </row>
    <row r="325" spans="2:8" x14ac:dyDescent="0.25">
      <c r="B325" s="7" t="s">
        <v>2559</v>
      </c>
      <c r="C325" s="2" t="s">
        <v>1600</v>
      </c>
      <c r="D325" s="2" t="s">
        <v>1593</v>
      </c>
      <c r="E325" s="2" t="s">
        <v>572</v>
      </c>
      <c r="F325" s="7">
        <v>2001</v>
      </c>
      <c r="G325" s="2" t="s">
        <v>1601</v>
      </c>
      <c r="H325" s="2" t="s">
        <v>816</v>
      </c>
    </row>
    <row r="326" spans="2:8" x14ac:dyDescent="0.25">
      <c r="B326" s="7" t="s">
        <v>2560</v>
      </c>
      <c r="C326" s="2" t="s">
        <v>387</v>
      </c>
      <c r="D326" s="2" t="s">
        <v>1593</v>
      </c>
      <c r="E326" s="2" t="s">
        <v>572</v>
      </c>
      <c r="F326" s="7">
        <v>1999</v>
      </c>
      <c r="G326" s="2" t="s">
        <v>1602</v>
      </c>
      <c r="H326" s="2" t="s">
        <v>1215</v>
      </c>
    </row>
    <row r="327" spans="2:8" x14ac:dyDescent="0.25">
      <c r="B327" s="7" t="s">
        <v>2561</v>
      </c>
      <c r="C327" s="2" t="s">
        <v>1603</v>
      </c>
      <c r="D327" s="2" t="s">
        <v>1593</v>
      </c>
      <c r="E327" s="2" t="s">
        <v>572</v>
      </c>
      <c r="F327" s="7">
        <v>1999</v>
      </c>
      <c r="G327" s="2" t="s">
        <v>1604</v>
      </c>
      <c r="H327" s="2" t="s">
        <v>1305</v>
      </c>
    </row>
    <row r="328" spans="2:8" x14ac:dyDescent="0.25">
      <c r="B328" s="6" t="s">
        <v>2562</v>
      </c>
      <c r="C328" s="1" t="s">
        <v>1254</v>
      </c>
      <c r="D328" s="1" t="s">
        <v>935</v>
      </c>
      <c r="E328" s="1" t="s">
        <v>572</v>
      </c>
      <c r="F328" s="6">
        <v>2004</v>
      </c>
      <c r="G328" s="1" t="s">
        <v>1255</v>
      </c>
      <c r="H328" s="1" t="s">
        <v>820</v>
      </c>
    </row>
    <row r="329" spans="2:8" x14ac:dyDescent="0.25">
      <c r="B329" s="7" t="s">
        <v>2105</v>
      </c>
      <c r="C329" s="2" t="s">
        <v>934</v>
      </c>
      <c r="D329" s="2" t="s">
        <v>1593</v>
      </c>
      <c r="E329" s="2" t="s">
        <v>572</v>
      </c>
      <c r="F329" s="7">
        <v>1999</v>
      </c>
      <c r="G329" s="2" t="s">
        <v>936</v>
      </c>
      <c r="H329" s="2" t="s">
        <v>1215</v>
      </c>
    </row>
    <row r="330" spans="2:8" x14ac:dyDescent="0.25">
      <c r="B330" s="7" t="s">
        <v>2106</v>
      </c>
      <c r="C330" s="2" t="s">
        <v>717</v>
      </c>
      <c r="D330" s="2" t="s">
        <v>1593</v>
      </c>
      <c r="E330" s="2" t="s">
        <v>572</v>
      </c>
      <c r="F330" s="7">
        <v>2009</v>
      </c>
      <c r="G330" s="2" t="s">
        <v>718</v>
      </c>
      <c r="H330" s="2" t="s">
        <v>1428</v>
      </c>
    </row>
    <row r="331" spans="2:8" x14ac:dyDescent="0.25">
      <c r="B331" s="6" t="s">
        <v>2736</v>
      </c>
      <c r="C331" s="1" t="s">
        <v>2732</v>
      </c>
      <c r="D331" s="1" t="s">
        <v>2733</v>
      </c>
      <c r="E331" s="1" t="s">
        <v>2734</v>
      </c>
      <c r="F331" s="1">
        <v>2004</v>
      </c>
      <c r="G331" s="1" t="s">
        <v>2735</v>
      </c>
      <c r="H331" s="1" t="s">
        <v>820</v>
      </c>
    </row>
    <row r="332" spans="2:8" x14ac:dyDescent="0.25">
      <c r="B332" s="7" t="s">
        <v>2563</v>
      </c>
      <c r="C332" s="2" t="s">
        <v>1257</v>
      </c>
      <c r="D332" s="2"/>
      <c r="E332" s="2" t="s">
        <v>1256</v>
      </c>
      <c r="F332" s="7">
        <v>2001</v>
      </c>
      <c r="G332" s="2" t="s">
        <v>1258</v>
      </c>
      <c r="H332" s="2" t="s">
        <v>1529</v>
      </c>
    </row>
    <row r="333" spans="2:8" x14ac:dyDescent="0.25">
      <c r="B333" s="6" t="s">
        <v>1851</v>
      </c>
      <c r="C333" s="1" t="s">
        <v>1251</v>
      </c>
      <c r="E333" s="1" t="s">
        <v>1256</v>
      </c>
      <c r="F333" s="6">
        <v>1998</v>
      </c>
      <c r="G333" s="1" t="s">
        <v>1252</v>
      </c>
      <c r="H333" s="1" t="s">
        <v>1253</v>
      </c>
    </row>
    <row r="334" spans="2:8" x14ac:dyDescent="0.25">
      <c r="B334" s="6" t="s">
        <v>1852</v>
      </c>
      <c r="C334" s="1" t="s">
        <v>755</v>
      </c>
      <c r="E334" s="1" t="s">
        <v>1256</v>
      </c>
      <c r="F334" s="6">
        <v>1999</v>
      </c>
      <c r="G334" s="1" t="s">
        <v>756</v>
      </c>
      <c r="H334" s="1" t="s">
        <v>757</v>
      </c>
    </row>
    <row r="335" spans="2:8" x14ac:dyDescent="0.25">
      <c r="B335" s="6" t="s">
        <v>1853</v>
      </c>
      <c r="C335" s="1" t="s">
        <v>758</v>
      </c>
      <c r="E335" s="1" t="s">
        <v>1256</v>
      </c>
      <c r="F335" s="6">
        <v>2001</v>
      </c>
      <c r="G335" s="1" t="s">
        <v>767</v>
      </c>
      <c r="H335" s="1" t="s">
        <v>1428</v>
      </c>
    </row>
    <row r="336" spans="2:8" x14ac:dyDescent="0.25">
      <c r="B336" s="6" t="s">
        <v>1854</v>
      </c>
      <c r="C336" s="1" t="s">
        <v>765</v>
      </c>
      <c r="E336" s="1" t="s">
        <v>1256</v>
      </c>
      <c r="F336" s="6">
        <v>1998</v>
      </c>
      <c r="G336" s="1" t="s">
        <v>1311</v>
      </c>
      <c r="H336" s="1" t="s">
        <v>1253</v>
      </c>
    </row>
    <row r="337" spans="2:8" x14ac:dyDescent="0.25">
      <c r="B337" s="7" t="s">
        <v>1855</v>
      </c>
      <c r="C337" s="2" t="s">
        <v>3054</v>
      </c>
      <c r="D337" s="2"/>
      <c r="E337" s="2" t="s">
        <v>1256</v>
      </c>
      <c r="F337" s="7">
        <v>2002</v>
      </c>
      <c r="G337" s="2" t="s">
        <v>1312</v>
      </c>
      <c r="H337" s="2" t="s">
        <v>1428</v>
      </c>
    </row>
    <row r="338" spans="2:8" x14ac:dyDescent="0.25">
      <c r="B338" s="7" t="s">
        <v>1856</v>
      </c>
      <c r="C338" s="2" t="s">
        <v>1313</v>
      </c>
      <c r="D338" s="2" t="s">
        <v>1314</v>
      </c>
      <c r="E338" s="2" t="s">
        <v>1256</v>
      </c>
      <c r="F338" s="7">
        <v>1999</v>
      </c>
      <c r="G338" s="2" t="s">
        <v>1315</v>
      </c>
      <c r="H338" s="2" t="s">
        <v>1204</v>
      </c>
    </row>
    <row r="339" spans="2:8" x14ac:dyDescent="0.25">
      <c r="B339" s="7" t="s">
        <v>1857</v>
      </c>
      <c r="C339" s="2" t="s">
        <v>1316</v>
      </c>
      <c r="D339" s="2" t="s">
        <v>1314</v>
      </c>
      <c r="E339" s="2" t="s">
        <v>1256</v>
      </c>
      <c r="F339" s="7">
        <v>1999</v>
      </c>
      <c r="G339" s="2" t="s">
        <v>388</v>
      </c>
      <c r="H339" s="2" t="s">
        <v>1204</v>
      </c>
    </row>
    <row r="340" spans="2:8" x14ac:dyDescent="0.25">
      <c r="B340" s="7" t="s">
        <v>1858</v>
      </c>
      <c r="C340" s="2" t="s">
        <v>1317</v>
      </c>
      <c r="D340" s="2" t="s">
        <v>1318</v>
      </c>
      <c r="E340" s="2" t="s">
        <v>1256</v>
      </c>
      <c r="F340" s="7">
        <v>2000</v>
      </c>
      <c r="G340" s="2" t="s">
        <v>1319</v>
      </c>
      <c r="H340" s="2" t="s">
        <v>1320</v>
      </c>
    </row>
    <row r="341" spans="2:8" x14ac:dyDescent="0.25">
      <c r="B341" s="6" t="s">
        <v>1859</v>
      </c>
      <c r="C341" s="1" t="s">
        <v>1321</v>
      </c>
      <c r="D341" s="1" t="s">
        <v>1322</v>
      </c>
      <c r="E341" s="1" t="s">
        <v>1256</v>
      </c>
      <c r="F341" s="6">
        <v>1998</v>
      </c>
      <c r="G341" s="1" t="s">
        <v>1323</v>
      </c>
      <c r="H341" s="2" t="s">
        <v>1204</v>
      </c>
    </row>
    <row r="342" spans="2:8" x14ac:dyDescent="0.25">
      <c r="B342" s="6" t="s">
        <v>1860</v>
      </c>
      <c r="C342" s="1" t="s">
        <v>1324</v>
      </c>
      <c r="E342" s="1" t="s">
        <v>1256</v>
      </c>
      <c r="F342" s="6">
        <v>2000</v>
      </c>
      <c r="G342" s="1" t="s">
        <v>1325</v>
      </c>
      <c r="H342" s="1" t="s">
        <v>823</v>
      </c>
    </row>
    <row r="343" spans="2:8" x14ac:dyDescent="0.25">
      <c r="B343" s="6" t="s">
        <v>1861</v>
      </c>
      <c r="C343" s="1" t="s">
        <v>1327</v>
      </c>
      <c r="E343" s="1" t="s">
        <v>1256</v>
      </c>
      <c r="F343" s="6">
        <v>1999</v>
      </c>
      <c r="G343" s="1" t="s">
        <v>1328</v>
      </c>
      <c r="H343" s="1" t="s">
        <v>823</v>
      </c>
    </row>
    <row r="344" spans="2:8" x14ac:dyDescent="0.25">
      <c r="B344" s="6" t="s">
        <v>1862</v>
      </c>
      <c r="C344" s="1" t="s">
        <v>1329</v>
      </c>
      <c r="D344" s="1" t="s">
        <v>1330</v>
      </c>
      <c r="E344" s="1" t="s">
        <v>1256</v>
      </c>
      <c r="F344" s="6">
        <v>1998</v>
      </c>
      <c r="G344" s="1" t="s">
        <v>1328</v>
      </c>
      <c r="H344" s="1" t="s">
        <v>1422</v>
      </c>
    </row>
    <row r="345" spans="2:8" x14ac:dyDescent="0.25">
      <c r="B345" s="7" t="s">
        <v>1863</v>
      </c>
      <c r="C345" s="2" t="s">
        <v>1333</v>
      </c>
      <c r="D345" s="2" t="s">
        <v>1314</v>
      </c>
      <c r="E345" s="2" t="s">
        <v>1256</v>
      </c>
      <c r="F345" s="7">
        <v>2002</v>
      </c>
      <c r="G345" s="2" t="s">
        <v>766</v>
      </c>
      <c r="H345" s="2" t="s">
        <v>1215</v>
      </c>
    </row>
    <row r="346" spans="2:8" x14ac:dyDescent="0.25">
      <c r="B346" s="7" t="s">
        <v>1864</v>
      </c>
      <c r="C346" s="2" t="s">
        <v>1336</v>
      </c>
      <c r="D346" s="2"/>
      <c r="E346" s="2" t="s">
        <v>1256</v>
      </c>
      <c r="F346" s="7">
        <v>2002</v>
      </c>
      <c r="G346" s="2" t="s">
        <v>1337</v>
      </c>
      <c r="H346" s="2" t="s">
        <v>1529</v>
      </c>
    </row>
    <row r="347" spans="2:8" x14ac:dyDescent="0.25">
      <c r="B347" s="7" t="s">
        <v>1865</v>
      </c>
      <c r="C347" s="2" t="s">
        <v>1338</v>
      </c>
      <c r="D347" s="2" t="s">
        <v>1330</v>
      </c>
      <c r="E347" s="2" t="s">
        <v>1256</v>
      </c>
      <c r="F347" s="7">
        <v>2001</v>
      </c>
      <c r="G347" s="2"/>
      <c r="H347" s="2"/>
    </row>
    <row r="348" spans="2:8" x14ac:dyDescent="0.25">
      <c r="B348" s="7" t="s">
        <v>1866</v>
      </c>
      <c r="C348" s="2" t="s">
        <v>1339</v>
      </c>
      <c r="D348" s="2" t="s">
        <v>1340</v>
      </c>
      <c r="E348" s="2" t="s">
        <v>1256</v>
      </c>
      <c r="F348" s="7">
        <v>1999</v>
      </c>
      <c r="G348" s="2" t="s">
        <v>1341</v>
      </c>
      <c r="H348" s="2" t="s">
        <v>888</v>
      </c>
    </row>
    <row r="349" spans="2:8" x14ac:dyDescent="0.25">
      <c r="B349" s="7" t="s">
        <v>1867</v>
      </c>
      <c r="C349" s="2" t="s">
        <v>1519</v>
      </c>
      <c r="D349" s="2"/>
      <c r="E349" s="2" t="s">
        <v>1256</v>
      </c>
      <c r="F349" s="7">
        <v>2003</v>
      </c>
      <c r="G349" s="2" t="s">
        <v>1520</v>
      </c>
      <c r="H349" s="2" t="s">
        <v>1428</v>
      </c>
    </row>
    <row r="350" spans="2:8" x14ac:dyDescent="0.25">
      <c r="B350" s="7" t="s">
        <v>1868</v>
      </c>
      <c r="C350" s="2" t="s">
        <v>1342</v>
      </c>
      <c r="D350" s="2" t="s">
        <v>1343</v>
      </c>
      <c r="E350" s="2" t="s">
        <v>1256</v>
      </c>
      <c r="F350" s="7">
        <v>2000</v>
      </c>
      <c r="G350" s="2" t="s">
        <v>1344</v>
      </c>
      <c r="H350" s="1" t="s">
        <v>1320</v>
      </c>
    </row>
    <row r="351" spans="2:8" x14ac:dyDescent="0.25">
      <c r="B351" s="7" t="s">
        <v>1869</v>
      </c>
      <c r="C351" s="2" t="s">
        <v>1331</v>
      </c>
      <c r="D351" s="2" t="s">
        <v>1314</v>
      </c>
      <c r="E351" s="2" t="s">
        <v>1256</v>
      </c>
      <c r="F351" s="7">
        <v>2002</v>
      </c>
      <c r="G351" s="2" t="s">
        <v>1332</v>
      </c>
      <c r="H351" s="2" t="s">
        <v>1610</v>
      </c>
    </row>
    <row r="352" spans="2:8" x14ac:dyDescent="0.25">
      <c r="B352" s="7" t="s">
        <v>1870</v>
      </c>
      <c r="C352" s="2" t="s">
        <v>1345</v>
      </c>
      <c r="D352" s="2"/>
      <c r="E352" s="2" t="s">
        <v>1256</v>
      </c>
      <c r="F352" s="7">
        <v>2001</v>
      </c>
      <c r="G352" s="2" t="s">
        <v>1346</v>
      </c>
      <c r="H352" s="2" t="s">
        <v>1347</v>
      </c>
    </row>
    <row r="353" spans="2:8" x14ac:dyDescent="0.25">
      <c r="B353" s="7" t="s">
        <v>1871</v>
      </c>
      <c r="C353" s="2" t="s">
        <v>1348</v>
      </c>
      <c r="D353" s="2" t="s">
        <v>1349</v>
      </c>
      <c r="E353" s="2" t="s">
        <v>1256</v>
      </c>
      <c r="F353" s="7">
        <v>2000</v>
      </c>
      <c r="G353" s="2" t="s">
        <v>1350</v>
      </c>
      <c r="H353" s="2" t="s">
        <v>1351</v>
      </c>
    </row>
    <row r="354" spans="2:8" x14ac:dyDescent="0.25">
      <c r="B354" s="7" t="s">
        <v>1872</v>
      </c>
      <c r="C354" s="2" t="s">
        <v>129</v>
      </c>
      <c r="D354" s="2"/>
      <c r="E354" s="2" t="s">
        <v>1256</v>
      </c>
      <c r="F354" s="7">
        <v>2001</v>
      </c>
      <c r="G354" s="2" t="s">
        <v>130</v>
      </c>
      <c r="H354" s="2" t="s">
        <v>131</v>
      </c>
    </row>
    <row r="355" spans="2:8" x14ac:dyDescent="0.25">
      <c r="B355" s="7" t="s">
        <v>1873</v>
      </c>
      <c r="C355" s="2" t="s">
        <v>132</v>
      </c>
      <c r="D355" s="2" t="s">
        <v>1226</v>
      </c>
      <c r="E355" s="2" t="s">
        <v>1256</v>
      </c>
      <c r="F355" s="7">
        <v>2003</v>
      </c>
      <c r="G355" s="2" t="s">
        <v>133</v>
      </c>
      <c r="H355" s="2" t="s">
        <v>1428</v>
      </c>
    </row>
    <row r="356" spans="2:8" x14ac:dyDescent="0.25">
      <c r="B356" s="7" t="s">
        <v>1874</v>
      </c>
      <c r="C356" s="2" t="s">
        <v>134</v>
      </c>
      <c r="D356" s="2" t="s">
        <v>135</v>
      </c>
      <c r="E356" s="2" t="s">
        <v>1256</v>
      </c>
      <c r="F356" s="7">
        <v>2003</v>
      </c>
      <c r="G356" s="2" t="s">
        <v>136</v>
      </c>
      <c r="H356" s="2" t="s">
        <v>1428</v>
      </c>
    </row>
    <row r="357" spans="2:8" x14ac:dyDescent="0.25">
      <c r="B357" s="6" t="s">
        <v>1875</v>
      </c>
      <c r="C357" s="1" t="s">
        <v>137</v>
      </c>
      <c r="E357" s="1" t="s">
        <v>1256</v>
      </c>
      <c r="F357" s="6">
        <v>2003</v>
      </c>
      <c r="G357" s="1" t="s">
        <v>138</v>
      </c>
      <c r="H357" s="1" t="s">
        <v>139</v>
      </c>
    </row>
    <row r="358" spans="2:8" x14ac:dyDescent="0.25">
      <c r="B358" s="7" t="s">
        <v>1876</v>
      </c>
      <c r="C358" s="2" t="s">
        <v>141</v>
      </c>
      <c r="D358" s="2" t="s">
        <v>142</v>
      </c>
      <c r="E358" s="2" t="s">
        <v>1256</v>
      </c>
      <c r="F358" s="7">
        <v>2002</v>
      </c>
      <c r="G358" s="2" t="s">
        <v>143</v>
      </c>
      <c r="H358" s="2" t="s">
        <v>1428</v>
      </c>
    </row>
    <row r="359" spans="2:8" x14ac:dyDescent="0.25">
      <c r="B359" s="7" t="s">
        <v>1877</v>
      </c>
      <c r="C359" s="2" t="s">
        <v>144</v>
      </c>
      <c r="D359" s="2"/>
      <c r="E359" s="2" t="s">
        <v>1256</v>
      </c>
      <c r="F359" s="7">
        <v>2001</v>
      </c>
      <c r="G359" s="2" t="s">
        <v>145</v>
      </c>
      <c r="H359" s="2" t="s">
        <v>177</v>
      </c>
    </row>
    <row r="360" spans="2:8" x14ac:dyDescent="0.25">
      <c r="B360" s="7" t="s">
        <v>1878</v>
      </c>
      <c r="C360" s="2" t="s">
        <v>1665</v>
      </c>
      <c r="D360" s="2"/>
      <c r="E360" s="2" t="s">
        <v>1256</v>
      </c>
      <c r="F360" s="7">
        <v>2004</v>
      </c>
      <c r="G360" s="2" t="s">
        <v>832</v>
      </c>
      <c r="H360" s="2" t="s">
        <v>823</v>
      </c>
    </row>
    <row r="361" spans="2:8" x14ac:dyDescent="0.25">
      <c r="B361" s="7" t="s">
        <v>1879</v>
      </c>
      <c r="C361" s="2" t="s">
        <v>1663</v>
      </c>
      <c r="D361" s="2"/>
      <c r="E361" s="2" t="s">
        <v>1256</v>
      </c>
      <c r="F361" s="7">
        <v>2003</v>
      </c>
      <c r="G361" s="2" t="s">
        <v>1664</v>
      </c>
      <c r="H361" s="2" t="s">
        <v>820</v>
      </c>
    </row>
    <row r="362" spans="2:8" x14ac:dyDescent="0.25">
      <c r="B362" s="7" t="s">
        <v>1880</v>
      </c>
      <c r="C362" s="2" t="s">
        <v>215</v>
      </c>
      <c r="D362" s="2"/>
      <c r="E362" s="2" t="s">
        <v>1256</v>
      </c>
      <c r="F362" s="7">
        <v>1997</v>
      </c>
      <c r="G362" s="2"/>
      <c r="H362" s="2" t="s">
        <v>216</v>
      </c>
    </row>
    <row r="363" spans="2:8" x14ac:dyDescent="0.25">
      <c r="B363" s="7" t="s">
        <v>1881</v>
      </c>
      <c r="C363" s="2" t="s">
        <v>217</v>
      </c>
      <c r="D363" s="2"/>
      <c r="E363" s="2" t="s">
        <v>1256</v>
      </c>
      <c r="F363" s="7">
        <v>2004</v>
      </c>
      <c r="G363" s="2" t="s">
        <v>661</v>
      </c>
      <c r="H363" s="2" t="s">
        <v>820</v>
      </c>
    </row>
    <row r="364" spans="2:8" x14ac:dyDescent="0.25">
      <c r="B364" s="7" t="s">
        <v>1882</v>
      </c>
      <c r="C364" s="2" t="s">
        <v>218</v>
      </c>
      <c r="D364" s="2" t="s">
        <v>1226</v>
      </c>
      <c r="E364" s="2" t="s">
        <v>1256</v>
      </c>
      <c r="F364" s="7">
        <v>2004</v>
      </c>
      <c r="G364" s="2" t="s">
        <v>219</v>
      </c>
      <c r="H364" s="2" t="s">
        <v>1204</v>
      </c>
    </row>
    <row r="365" spans="2:8" x14ac:dyDescent="0.25">
      <c r="B365" s="7" t="s">
        <v>1883</v>
      </c>
      <c r="C365" s="2" t="s">
        <v>220</v>
      </c>
      <c r="D365" s="2"/>
      <c r="E365" s="2" t="s">
        <v>1256</v>
      </c>
      <c r="F365" s="7">
        <v>2004</v>
      </c>
      <c r="G365" s="2" t="s">
        <v>221</v>
      </c>
      <c r="H365" s="2" t="s">
        <v>820</v>
      </c>
    </row>
    <row r="366" spans="2:8" x14ac:dyDescent="0.25">
      <c r="B366" s="7" t="s">
        <v>1884</v>
      </c>
      <c r="C366" s="2" t="s">
        <v>222</v>
      </c>
      <c r="D366" s="2"/>
      <c r="E366" s="2" t="s">
        <v>1256</v>
      </c>
      <c r="F366" s="7">
        <v>2005</v>
      </c>
      <c r="G366" s="2" t="s">
        <v>223</v>
      </c>
      <c r="H366" s="2" t="s">
        <v>1428</v>
      </c>
    </row>
    <row r="367" spans="2:8" x14ac:dyDescent="0.25">
      <c r="B367" s="7" t="s">
        <v>1885</v>
      </c>
      <c r="C367" s="2" t="s">
        <v>224</v>
      </c>
      <c r="D367" s="2" t="s">
        <v>1226</v>
      </c>
      <c r="E367" s="2" t="s">
        <v>1256</v>
      </c>
      <c r="F367" s="7">
        <v>2004</v>
      </c>
      <c r="G367" s="2" t="s">
        <v>225</v>
      </c>
      <c r="H367" s="2" t="s">
        <v>1428</v>
      </c>
    </row>
    <row r="368" spans="2:8" x14ac:dyDescent="0.25">
      <c r="B368" s="7" t="s">
        <v>1886</v>
      </c>
      <c r="C368" s="2" t="s">
        <v>226</v>
      </c>
      <c r="D368" s="2" t="s">
        <v>227</v>
      </c>
      <c r="E368" s="2" t="s">
        <v>1256</v>
      </c>
      <c r="F368" s="7">
        <v>2004</v>
      </c>
      <c r="G368" s="2" t="s">
        <v>228</v>
      </c>
      <c r="H368" s="2" t="s">
        <v>820</v>
      </c>
    </row>
    <row r="369" spans="2:8" x14ac:dyDescent="0.25">
      <c r="B369" s="6" t="s">
        <v>1887</v>
      </c>
      <c r="C369" s="1" t="s">
        <v>229</v>
      </c>
      <c r="D369" s="1" t="s">
        <v>230</v>
      </c>
      <c r="E369" s="1" t="s">
        <v>1256</v>
      </c>
      <c r="F369" s="6">
        <v>2005</v>
      </c>
      <c r="G369" s="1" t="s">
        <v>231</v>
      </c>
      <c r="H369" s="1" t="s">
        <v>1428</v>
      </c>
    </row>
    <row r="370" spans="2:8" x14ac:dyDescent="0.25">
      <c r="B370" s="7" t="s">
        <v>1888</v>
      </c>
      <c r="C370" s="2" t="s">
        <v>232</v>
      </c>
      <c r="D370" s="2" t="s">
        <v>233</v>
      </c>
      <c r="E370" s="2" t="s">
        <v>1256</v>
      </c>
      <c r="F370" s="7">
        <v>1997</v>
      </c>
      <c r="G370" s="2" t="s">
        <v>234</v>
      </c>
      <c r="H370" s="2" t="s">
        <v>1529</v>
      </c>
    </row>
    <row r="371" spans="2:8" x14ac:dyDescent="0.25">
      <c r="B371" s="6" t="s">
        <v>1889</v>
      </c>
      <c r="C371" s="1" t="s">
        <v>235</v>
      </c>
      <c r="D371" s="1" t="s">
        <v>230</v>
      </c>
      <c r="E371" s="1" t="s">
        <v>1256</v>
      </c>
      <c r="F371" s="6">
        <v>2005</v>
      </c>
      <c r="G371" s="1" t="s">
        <v>236</v>
      </c>
      <c r="H371" s="1" t="s">
        <v>823</v>
      </c>
    </row>
    <row r="372" spans="2:8" x14ac:dyDescent="0.25">
      <c r="B372" s="7" t="s">
        <v>1819</v>
      </c>
      <c r="C372" s="2" t="s">
        <v>237</v>
      </c>
      <c r="D372" s="2"/>
      <c r="E372" s="2" t="s">
        <v>1256</v>
      </c>
      <c r="F372" s="7">
        <v>1999</v>
      </c>
      <c r="G372" s="2"/>
      <c r="H372" s="2" t="s">
        <v>238</v>
      </c>
    </row>
    <row r="373" spans="2:8" x14ac:dyDescent="0.25">
      <c r="B373" s="6" t="s">
        <v>1820</v>
      </c>
      <c r="C373" s="1" t="s">
        <v>239</v>
      </c>
      <c r="E373" s="1" t="s">
        <v>1256</v>
      </c>
      <c r="F373" s="6">
        <v>2005</v>
      </c>
      <c r="G373" s="1" t="s">
        <v>240</v>
      </c>
      <c r="H373" s="1" t="s">
        <v>820</v>
      </c>
    </row>
    <row r="374" spans="2:8" x14ac:dyDescent="0.25">
      <c r="B374" s="6" t="s">
        <v>1821</v>
      </c>
      <c r="C374" s="1" t="s">
        <v>241</v>
      </c>
      <c r="D374" s="1" t="s">
        <v>1226</v>
      </c>
      <c r="E374" s="1" t="s">
        <v>1256</v>
      </c>
      <c r="F374" s="6">
        <v>2005</v>
      </c>
      <c r="G374" s="1" t="s">
        <v>242</v>
      </c>
      <c r="H374" s="1" t="s">
        <v>820</v>
      </c>
    </row>
    <row r="375" spans="2:8" x14ac:dyDescent="0.25">
      <c r="B375" s="6" t="s">
        <v>1822</v>
      </c>
      <c r="C375" s="1" t="s">
        <v>243</v>
      </c>
      <c r="E375" s="1" t="s">
        <v>1256</v>
      </c>
      <c r="F375" s="6">
        <v>2004</v>
      </c>
      <c r="G375" s="1" t="s">
        <v>244</v>
      </c>
      <c r="H375" s="1" t="s">
        <v>1428</v>
      </c>
    </row>
    <row r="376" spans="2:8" x14ac:dyDescent="0.25">
      <c r="B376" s="6" t="s">
        <v>1824</v>
      </c>
      <c r="C376" s="1" t="s">
        <v>245</v>
      </c>
      <c r="E376" s="1" t="s">
        <v>1256</v>
      </c>
      <c r="F376" s="6">
        <v>2006</v>
      </c>
      <c r="G376" s="1" t="s">
        <v>246</v>
      </c>
      <c r="H376" s="1" t="s">
        <v>1117</v>
      </c>
    </row>
    <row r="377" spans="2:8" x14ac:dyDescent="0.25">
      <c r="B377" s="6" t="s">
        <v>1825</v>
      </c>
      <c r="C377" s="1" t="s">
        <v>247</v>
      </c>
      <c r="E377" s="1" t="s">
        <v>1256</v>
      </c>
      <c r="F377" s="6">
        <v>2006</v>
      </c>
      <c r="G377" s="1" t="s">
        <v>248</v>
      </c>
      <c r="H377" s="1" t="s">
        <v>820</v>
      </c>
    </row>
    <row r="378" spans="2:8" x14ac:dyDescent="0.25">
      <c r="B378" s="7" t="s">
        <v>1823</v>
      </c>
      <c r="C378" s="2" t="s">
        <v>249</v>
      </c>
      <c r="D378" s="2"/>
      <c r="E378" s="2" t="s">
        <v>1256</v>
      </c>
      <c r="F378" s="7">
        <v>1998</v>
      </c>
      <c r="G378" s="2" t="s">
        <v>250</v>
      </c>
      <c r="H378" s="2" t="s">
        <v>251</v>
      </c>
    </row>
    <row r="379" spans="2:8" x14ac:dyDescent="0.25">
      <c r="B379" s="6" t="s">
        <v>1826</v>
      </c>
      <c r="C379" s="1" t="s">
        <v>252</v>
      </c>
      <c r="E379" s="1" t="s">
        <v>1256</v>
      </c>
      <c r="F379" s="6">
        <v>2006</v>
      </c>
      <c r="G379" s="1" t="s">
        <v>253</v>
      </c>
      <c r="H379" s="1" t="s">
        <v>820</v>
      </c>
    </row>
    <row r="380" spans="2:8" x14ac:dyDescent="0.25">
      <c r="B380" s="6" t="s">
        <v>1827</v>
      </c>
      <c r="C380" s="1" t="s">
        <v>254</v>
      </c>
      <c r="E380" s="1" t="s">
        <v>1256</v>
      </c>
      <c r="F380" s="6">
        <v>2005</v>
      </c>
      <c r="G380" s="1" t="s">
        <v>255</v>
      </c>
      <c r="H380" s="1" t="s">
        <v>1279</v>
      </c>
    </row>
    <row r="381" spans="2:8" x14ac:dyDescent="0.25">
      <c r="B381" s="6" t="s">
        <v>1828</v>
      </c>
      <c r="C381" s="1" t="s">
        <v>256</v>
      </c>
      <c r="E381" s="1" t="s">
        <v>1256</v>
      </c>
      <c r="F381" s="6">
        <v>2006</v>
      </c>
      <c r="G381" s="1" t="s">
        <v>257</v>
      </c>
      <c r="H381" s="1" t="s">
        <v>820</v>
      </c>
    </row>
    <row r="382" spans="2:8" x14ac:dyDescent="0.25">
      <c r="B382" s="6" t="s">
        <v>1829</v>
      </c>
      <c r="C382" s="1" t="s">
        <v>258</v>
      </c>
      <c r="D382" s="1" t="s">
        <v>259</v>
      </c>
      <c r="E382" s="1" t="s">
        <v>1256</v>
      </c>
      <c r="F382" s="6">
        <v>2001</v>
      </c>
      <c r="G382" s="1" t="s">
        <v>260</v>
      </c>
      <c r="H382" s="1" t="s">
        <v>1204</v>
      </c>
    </row>
    <row r="383" spans="2:8" x14ac:dyDescent="0.25">
      <c r="B383" s="6" t="s">
        <v>1830</v>
      </c>
      <c r="C383" s="1" t="s">
        <v>580</v>
      </c>
      <c r="E383" s="1" t="s">
        <v>1256</v>
      </c>
      <c r="F383" s="6">
        <v>2001</v>
      </c>
      <c r="G383" s="1" t="s">
        <v>1353</v>
      </c>
      <c r="H383" s="1" t="s">
        <v>15</v>
      </c>
    </row>
    <row r="384" spans="2:8" x14ac:dyDescent="0.25">
      <c r="B384" s="6" t="s">
        <v>1831</v>
      </c>
      <c r="C384" s="1" t="s">
        <v>1450</v>
      </c>
      <c r="D384" s="1" t="s">
        <v>1318</v>
      </c>
      <c r="E384" s="1" t="s">
        <v>1256</v>
      </c>
      <c r="F384" s="6">
        <v>2001</v>
      </c>
      <c r="G384" s="1" t="s">
        <v>1451</v>
      </c>
      <c r="H384" s="1" t="s">
        <v>1215</v>
      </c>
    </row>
    <row r="385" spans="2:8" x14ac:dyDescent="0.25">
      <c r="B385" s="6" t="s">
        <v>1832</v>
      </c>
      <c r="C385" s="1" t="s">
        <v>1455</v>
      </c>
      <c r="D385" s="1" t="s">
        <v>1322</v>
      </c>
      <c r="E385" s="1" t="s">
        <v>1256</v>
      </c>
      <c r="F385" s="6">
        <v>2003</v>
      </c>
      <c r="G385" s="1" t="s">
        <v>1456</v>
      </c>
      <c r="H385" s="1" t="s">
        <v>182</v>
      </c>
    </row>
    <row r="386" spans="2:8" x14ac:dyDescent="0.25">
      <c r="B386" s="6" t="s">
        <v>1833</v>
      </c>
      <c r="C386" s="1" t="s">
        <v>1457</v>
      </c>
      <c r="D386" s="1" t="s">
        <v>1458</v>
      </c>
      <c r="E386" s="1" t="s">
        <v>1256</v>
      </c>
      <c r="F386" s="6">
        <v>2003</v>
      </c>
      <c r="G386" s="1" t="s">
        <v>1459</v>
      </c>
      <c r="H386" s="1" t="s">
        <v>1460</v>
      </c>
    </row>
    <row r="387" spans="2:8" x14ac:dyDescent="0.25">
      <c r="B387" s="6" t="s">
        <v>1834</v>
      </c>
      <c r="C387" s="1" t="s">
        <v>1461</v>
      </c>
      <c r="D387" s="1" t="s">
        <v>1458</v>
      </c>
      <c r="E387" s="1" t="s">
        <v>1256</v>
      </c>
      <c r="F387" s="6">
        <v>2004</v>
      </c>
      <c r="G387" s="1" t="s">
        <v>1462</v>
      </c>
      <c r="H387" s="1" t="s">
        <v>1460</v>
      </c>
    </row>
    <row r="388" spans="2:8" x14ac:dyDescent="0.25">
      <c r="B388" s="6" t="s">
        <v>1835</v>
      </c>
      <c r="C388" s="1" t="s">
        <v>1472</v>
      </c>
      <c r="D388" s="1" t="s">
        <v>1631</v>
      </c>
      <c r="E388" s="1" t="s">
        <v>1256</v>
      </c>
      <c r="F388" s="6">
        <v>2003</v>
      </c>
      <c r="G388" s="1" t="s">
        <v>1473</v>
      </c>
      <c r="H388" s="1" t="s">
        <v>281</v>
      </c>
    </row>
    <row r="389" spans="2:8" x14ac:dyDescent="0.25">
      <c r="B389" s="6" t="s">
        <v>2995</v>
      </c>
      <c r="C389" s="1" t="s">
        <v>2417</v>
      </c>
      <c r="D389" s="1" t="s">
        <v>2414</v>
      </c>
      <c r="E389" s="1" t="s">
        <v>2415</v>
      </c>
      <c r="F389" s="6">
        <v>2012</v>
      </c>
      <c r="G389" s="1" t="s">
        <v>2416</v>
      </c>
      <c r="H389" s="1" t="s">
        <v>1428</v>
      </c>
    </row>
    <row r="390" spans="2:8" x14ac:dyDescent="0.25">
      <c r="B390" s="6" t="s">
        <v>2996</v>
      </c>
      <c r="C390" s="1" t="s">
        <v>2997</v>
      </c>
      <c r="D390" s="1" t="s">
        <v>2998</v>
      </c>
      <c r="E390" s="1" t="s">
        <v>2415</v>
      </c>
      <c r="F390" s="6">
        <v>2007</v>
      </c>
      <c r="G390" s="1" t="s">
        <v>2999</v>
      </c>
      <c r="H390" s="1" t="s">
        <v>820</v>
      </c>
    </row>
    <row r="391" spans="2:8" x14ac:dyDescent="0.25">
      <c r="B391" s="6" t="s">
        <v>3041</v>
      </c>
      <c r="C391" s="1" t="s">
        <v>3042</v>
      </c>
      <c r="D391" s="1" t="s">
        <v>3044</v>
      </c>
      <c r="E391" s="1" t="s">
        <v>1256</v>
      </c>
      <c r="F391" s="6">
        <v>2017</v>
      </c>
      <c r="G391" s="1" t="s">
        <v>3043</v>
      </c>
      <c r="H391" s="1" t="s">
        <v>281</v>
      </c>
    </row>
    <row r="392" spans="2:8" x14ac:dyDescent="0.25">
      <c r="B392" s="6" t="s">
        <v>3055</v>
      </c>
      <c r="C392" s="1" t="s">
        <v>3056</v>
      </c>
      <c r="D392"/>
      <c r="E392" s="1" t="s">
        <v>1256</v>
      </c>
      <c r="F392" s="6">
        <v>2016</v>
      </c>
      <c r="G392" s="1" t="s">
        <v>3057</v>
      </c>
      <c r="H392" s="1" t="s">
        <v>3058</v>
      </c>
    </row>
    <row r="393" spans="2:8" x14ac:dyDescent="0.25">
      <c r="B393" s="6" t="s">
        <v>3075</v>
      </c>
      <c r="C393" s="1" t="s">
        <v>3073</v>
      </c>
      <c r="D393"/>
      <c r="E393" s="1" t="s">
        <v>1256</v>
      </c>
      <c r="F393" s="6">
        <v>2017</v>
      </c>
      <c r="G393" s="1" t="s">
        <v>3074</v>
      </c>
      <c r="H393" s="1" t="s">
        <v>820</v>
      </c>
    </row>
    <row r="394" spans="2:8" x14ac:dyDescent="0.25">
      <c r="B394" s="6" t="s">
        <v>3076</v>
      </c>
      <c r="C394" s="1" t="s">
        <v>3077</v>
      </c>
      <c r="D394"/>
      <c r="E394" s="1" t="s">
        <v>1256</v>
      </c>
      <c r="F394" s="6">
        <v>2016</v>
      </c>
      <c r="G394" s="1" t="s">
        <v>138</v>
      </c>
      <c r="H394" s="1" t="s">
        <v>820</v>
      </c>
    </row>
    <row r="395" spans="2:8" x14ac:dyDescent="0.25">
      <c r="B395" s="7" t="s">
        <v>2564</v>
      </c>
      <c r="C395" s="2" t="s">
        <v>261</v>
      </c>
      <c r="D395" s="2" t="s">
        <v>262</v>
      </c>
      <c r="E395" s="2" t="s">
        <v>263</v>
      </c>
      <c r="F395" s="7">
        <v>2001</v>
      </c>
      <c r="G395" s="2" t="s">
        <v>264</v>
      </c>
      <c r="H395" s="2" t="s">
        <v>265</v>
      </c>
    </row>
    <row r="396" spans="2:8" x14ac:dyDescent="0.25">
      <c r="B396" s="7" t="s">
        <v>2565</v>
      </c>
      <c r="C396" s="2" t="s">
        <v>266</v>
      </c>
      <c r="D396" s="2" t="s">
        <v>267</v>
      </c>
      <c r="E396" s="2" t="s">
        <v>263</v>
      </c>
      <c r="F396" s="7">
        <v>2000</v>
      </c>
      <c r="G396" s="2" t="s">
        <v>268</v>
      </c>
      <c r="H396" s="2" t="s">
        <v>1428</v>
      </c>
    </row>
    <row r="397" spans="2:8" x14ac:dyDescent="0.25">
      <c r="B397" s="6" t="s">
        <v>2566</v>
      </c>
      <c r="C397" s="1" t="s">
        <v>269</v>
      </c>
      <c r="D397" s="1" t="s">
        <v>270</v>
      </c>
      <c r="E397" s="1" t="s">
        <v>263</v>
      </c>
      <c r="F397" s="6">
        <v>1997</v>
      </c>
      <c r="H397" s="1" t="s">
        <v>1448</v>
      </c>
    </row>
    <row r="398" spans="2:8" x14ac:dyDescent="0.25">
      <c r="B398" s="7" t="s">
        <v>2567</v>
      </c>
      <c r="C398" s="2" t="s">
        <v>271</v>
      </c>
      <c r="D398" s="2"/>
      <c r="E398" s="2" t="s">
        <v>263</v>
      </c>
      <c r="F398" s="7">
        <v>2004</v>
      </c>
      <c r="G398" s="2" t="s">
        <v>272</v>
      </c>
      <c r="H398" s="2" t="s">
        <v>1565</v>
      </c>
    </row>
    <row r="399" spans="2:8" x14ac:dyDescent="0.25">
      <c r="B399" s="7" t="s">
        <v>1836</v>
      </c>
      <c r="C399" s="2" t="s">
        <v>273</v>
      </c>
      <c r="D399" s="2" t="s">
        <v>274</v>
      </c>
      <c r="E399" s="2" t="s">
        <v>263</v>
      </c>
      <c r="F399" s="7">
        <v>2004</v>
      </c>
      <c r="G399" s="2" t="s">
        <v>255</v>
      </c>
      <c r="H399" s="2" t="s">
        <v>1279</v>
      </c>
    </row>
    <row r="400" spans="2:8" x14ac:dyDescent="0.25">
      <c r="B400" s="6" t="s">
        <v>1837</v>
      </c>
      <c r="C400" s="1" t="s">
        <v>275</v>
      </c>
      <c r="D400" s="1" t="s">
        <v>276</v>
      </c>
      <c r="E400" s="1" t="s">
        <v>263</v>
      </c>
      <c r="F400" s="6">
        <v>2007</v>
      </c>
      <c r="G400" s="1" t="s">
        <v>277</v>
      </c>
      <c r="H400" s="1" t="s">
        <v>1448</v>
      </c>
    </row>
    <row r="401" spans="2:8" x14ac:dyDescent="0.25">
      <c r="B401" s="13" t="s">
        <v>2410</v>
      </c>
      <c r="C401" s="12" t="s">
        <v>2411</v>
      </c>
      <c r="D401" s="12" t="s">
        <v>2412</v>
      </c>
      <c r="E401" s="2" t="s">
        <v>263</v>
      </c>
      <c r="F401" s="13">
        <v>2011</v>
      </c>
      <c r="G401" s="12" t="s">
        <v>2413</v>
      </c>
      <c r="H401" s="12" t="s">
        <v>1448</v>
      </c>
    </row>
    <row r="402" spans="2:8" s="16" customFormat="1" x14ac:dyDescent="0.25">
      <c r="B402" s="17" t="s">
        <v>2696</v>
      </c>
      <c r="C402" s="16" t="s">
        <v>2694</v>
      </c>
      <c r="D402" s="16" t="s">
        <v>267</v>
      </c>
      <c r="E402" s="16" t="s">
        <v>263</v>
      </c>
      <c r="F402" s="17">
        <v>1999</v>
      </c>
      <c r="G402" s="16" t="s">
        <v>2695</v>
      </c>
      <c r="H402" s="16" t="s">
        <v>1214</v>
      </c>
    </row>
    <row r="403" spans="2:8" x14ac:dyDescent="0.25">
      <c r="B403" s="6" t="s">
        <v>1838</v>
      </c>
      <c r="C403" s="1" t="s">
        <v>283</v>
      </c>
      <c r="D403" s="1" t="s">
        <v>284</v>
      </c>
      <c r="E403" s="1" t="s">
        <v>1256</v>
      </c>
      <c r="F403" s="6">
        <v>1997</v>
      </c>
      <c r="G403" s="1" t="s">
        <v>285</v>
      </c>
      <c r="H403" s="1" t="s">
        <v>1529</v>
      </c>
    </row>
    <row r="404" spans="2:8" x14ac:dyDescent="0.25">
      <c r="B404" s="7" t="s">
        <v>1839</v>
      </c>
      <c r="C404" s="2" t="s">
        <v>286</v>
      </c>
      <c r="D404" s="2" t="s">
        <v>284</v>
      </c>
      <c r="E404" s="2" t="s">
        <v>1256</v>
      </c>
      <c r="F404" s="7">
        <v>1997</v>
      </c>
      <c r="G404" s="2" t="s">
        <v>287</v>
      </c>
      <c r="H404" s="2" t="s">
        <v>1215</v>
      </c>
    </row>
    <row r="405" spans="2:8" x14ac:dyDescent="0.25">
      <c r="B405" s="7" t="s">
        <v>2568</v>
      </c>
      <c r="C405" s="2" t="s">
        <v>278</v>
      </c>
      <c r="D405" s="2" t="s">
        <v>279</v>
      </c>
      <c r="E405" s="2" t="s">
        <v>1256</v>
      </c>
      <c r="F405" s="7">
        <v>2001</v>
      </c>
      <c r="G405" s="2" t="s">
        <v>280</v>
      </c>
      <c r="H405" s="2" t="s">
        <v>281</v>
      </c>
    </row>
    <row r="406" spans="2:8" x14ac:dyDescent="0.25">
      <c r="B406" s="6" t="s">
        <v>2569</v>
      </c>
      <c r="C406" s="1" t="s">
        <v>313</v>
      </c>
      <c r="D406" s="1" t="s">
        <v>288</v>
      </c>
      <c r="E406" s="1" t="s">
        <v>1256</v>
      </c>
      <c r="F406" s="6">
        <v>1997</v>
      </c>
      <c r="G406" s="1" t="s">
        <v>314</v>
      </c>
      <c r="H406" s="1" t="s">
        <v>315</v>
      </c>
    </row>
    <row r="407" spans="2:8" x14ac:dyDescent="0.25">
      <c r="B407" s="6" t="s">
        <v>2570</v>
      </c>
      <c r="C407" s="1" t="s">
        <v>318</v>
      </c>
      <c r="D407" s="1" t="s">
        <v>319</v>
      </c>
      <c r="E407" s="1" t="s">
        <v>316</v>
      </c>
      <c r="F407" s="6">
        <v>2004</v>
      </c>
      <c r="G407" s="1" t="s">
        <v>320</v>
      </c>
      <c r="H407" s="1" t="s">
        <v>820</v>
      </c>
    </row>
    <row r="408" spans="2:8" x14ac:dyDescent="0.25">
      <c r="B408" s="6" t="s">
        <v>2571</v>
      </c>
      <c r="C408" s="1" t="s">
        <v>321</v>
      </c>
      <c r="D408" s="1" t="s">
        <v>319</v>
      </c>
      <c r="E408" s="1" t="s">
        <v>316</v>
      </c>
      <c r="F408" s="6">
        <v>2004</v>
      </c>
      <c r="G408" s="1" t="s">
        <v>322</v>
      </c>
      <c r="H408" s="1" t="s">
        <v>1428</v>
      </c>
    </row>
    <row r="409" spans="2:8" x14ac:dyDescent="0.25">
      <c r="B409" s="6" t="s">
        <v>2572</v>
      </c>
      <c r="C409" s="1" t="s">
        <v>323</v>
      </c>
      <c r="D409" s="1" t="s">
        <v>319</v>
      </c>
      <c r="E409" s="1" t="s">
        <v>316</v>
      </c>
      <c r="F409" s="6">
        <v>2008</v>
      </c>
      <c r="H409" s="1" t="s">
        <v>389</v>
      </c>
    </row>
    <row r="410" spans="2:8" x14ac:dyDescent="0.25">
      <c r="B410" s="6" t="s">
        <v>3050</v>
      </c>
      <c r="C410" s="1" t="s">
        <v>3052</v>
      </c>
      <c r="D410" s="1" t="s">
        <v>3051</v>
      </c>
      <c r="E410" s="1" t="s">
        <v>316</v>
      </c>
      <c r="F410" s="6">
        <v>2016</v>
      </c>
      <c r="G410" s="1" t="s">
        <v>3053</v>
      </c>
      <c r="H410" s="1" t="s">
        <v>820</v>
      </c>
    </row>
    <row r="411" spans="2:8" x14ac:dyDescent="0.25">
      <c r="B411" s="7" t="s">
        <v>2573</v>
      </c>
      <c r="C411" s="2" t="s">
        <v>324</v>
      </c>
      <c r="D411" s="2" t="s">
        <v>325</v>
      </c>
      <c r="E411" s="2" t="s">
        <v>316</v>
      </c>
      <c r="F411" s="7">
        <v>2000</v>
      </c>
      <c r="G411" s="2" t="s">
        <v>326</v>
      </c>
      <c r="H411" s="2" t="s">
        <v>327</v>
      </c>
    </row>
    <row r="412" spans="2:8" x14ac:dyDescent="0.25">
      <c r="B412" s="7" t="s">
        <v>2574</v>
      </c>
      <c r="C412" s="2" t="s">
        <v>328</v>
      </c>
      <c r="D412" s="2" t="s">
        <v>325</v>
      </c>
      <c r="E412" s="2" t="s">
        <v>316</v>
      </c>
      <c r="F412" s="7">
        <v>1997</v>
      </c>
      <c r="G412" s="2"/>
      <c r="H412" s="2" t="s">
        <v>327</v>
      </c>
    </row>
    <row r="413" spans="2:8" x14ac:dyDescent="0.25">
      <c r="B413" s="7" t="s">
        <v>2575</v>
      </c>
      <c r="C413" s="2" t="s">
        <v>329</v>
      </c>
      <c r="D413" s="2" t="s">
        <v>325</v>
      </c>
      <c r="E413" s="2" t="s">
        <v>316</v>
      </c>
      <c r="F413" s="7">
        <v>1997</v>
      </c>
      <c r="G413" s="2" t="s">
        <v>330</v>
      </c>
      <c r="H413" s="2" t="s">
        <v>327</v>
      </c>
    </row>
    <row r="414" spans="2:8" x14ac:dyDescent="0.25">
      <c r="B414" s="6" t="s">
        <v>2576</v>
      </c>
      <c r="C414" s="1" t="s">
        <v>331</v>
      </c>
      <c r="D414" s="1" t="s">
        <v>332</v>
      </c>
      <c r="E414" s="1" t="s">
        <v>316</v>
      </c>
      <c r="F414" s="6">
        <v>2005</v>
      </c>
      <c r="G414" s="1" t="s">
        <v>1567</v>
      </c>
      <c r="H414" s="1" t="s">
        <v>816</v>
      </c>
    </row>
    <row r="415" spans="2:8" x14ac:dyDescent="0.25">
      <c r="B415" s="7" t="s">
        <v>2577</v>
      </c>
      <c r="C415" s="2" t="s">
        <v>333</v>
      </c>
      <c r="D415" s="2" t="s">
        <v>334</v>
      </c>
      <c r="E415" s="2" t="s">
        <v>316</v>
      </c>
      <c r="F415" s="7">
        <v>2003</v>
      </c>
      <c r="G415" s="2"/>
      <c r="H415" s="2" t="s">
        <v>327</v>
      </c>
    </row>
    <row r="416" spans="2:8" x14ac:dyDescent="0.25">
      <c r="B416" s="7" t="s">
        <v>2578</v>
      </c>
      <c r="C416" s="2" t="s">
        <v>335</v>
      </c>
      <c r="D416" s="2" t="s">
        <v>336</v>
      </c>
      <c r="E416" s="2" t="s">
        <v>316</v>
      </c>
      <c r="F416" s="7">
        <v>2000</v>
      </c>
      <c r="G416" s="2"/>
      <c r="H416" s="2" t="s">
        <v>327</v>
      </c>
    </row>
    <row r="417" spans="2:8" x14ac:dyDescent="0.25">
      <c r="B417" s="6" t="s">
        <v>2712</v>
      </c>
      <c r="C417" s="1" t="s">
        <v>2710</v>
      </c>
      <c r="D417" s="1" t="s">
        <v>2711</v>
      </c>
      <c r="E417" s="2" t="s">
        <v>316</v>
      </c>
      <c r="F417" s="1">
        <v>2004</v>
      </c>
      <c r="G417" s="1" t="s">
        <v>958</v>
      </c>
      <c r="H417" s="1" t="s">
        <v>958</v>
      </c>
    </row>
    <row r="418" spans="2:8" x14ac:dyDescent="0.25">
      <c r="B418" s="7" t="s">
        <v>2579</v>
      </c>
      <c r="C418" s="2" t="s">
        <v>337</v>
      </c>
      <c r="D418" s="2" t="s">
        <v>338</v>
      </c>
      <c r="E418" s="2" t="s">
        <v>316</v>
      </c>
      <c r="F418" s="7">
        <v>1999</v>
      </c>
      <c r="G418" s="2" t="s">
        <v>330</v>
      </c>
      <c r="H418" s="2" t="s">
        <v>1204</v>
      </c>
    </row>
    <row r="419" spans="2:8" x14ac:dyDescent="0.25">
      <c r="B419" s="7" t="s">
        <v>1840</v>
      </c>
      <c r="C419" s="2" t="s">
        <v>1038</v>
      </c>
      <c r="D419" s="2" t="s">
        <v>1039</v>
      </c>
      <c r="E419" s="2" t="s">
        <v>316</v>
      </c>
      <c r="F419" s="7">
        <v>2001</v>
      </c>
      <c r="G419" s="2" t="s">
        <v>766</v>
      </c>
      <c r="H419" s="2" t="s">
        <v>1040</v>
      </c>
    </row>
    <row r="420" spans="2:8" x14ac:dyDescent="0.25">
      <c r="B420" s="7" t="s">
        <v>1841</v>
      </c>
      <c r="C420" s="2" t="s">
        <v>1042</v>
      </c>
      <c r="D420" s="2" t="s">
        <v>1043</v>
      </c>
      <c r="E420" s="2" t="s">
        <v>316</v>
      </c>
      <c r="F420" s="7">
        <v>2004</v>
      </c>
      <c r="G420" s="2" t="s">
        <v>1041</v>
      </c>
      <c r="H420" s="2" t="s">
        <v>820</v>
      </c>
    </row>
    <row r="421" spans="2:8" x14ac:dyDescent="0.25">
      <c r="B421" s="7" t="s">
        <v>1842</v>
      </c>
      <c r="C421" s="2" t="s">
        <v>1044</v>
      </c>
      <c r="D421" s="2" t="s">
        <v>1037</v>
      </c>
      <c r="E421" s="2" t="s">
        <v>316</v>
      </c>
      <c r="F421" s="7">
        <v>1997</v>
      </c>
      <c r="G421" s="2" t="s">
        <v>1045</v>
      </c>
      <c r="H421" s="2" t="s">
        <v>1204</v>
      </c>
    </row>
    <row r="422" spans="2:8" x14ac:dyDescent="0.25">
      <c r="B422" s="6" t="s">
        <v>1843</v>
      </c>
      <c r="C422" s="1" t="s">
        <v>1047</v>
      </c>
      <c r="D422" s="1" t="s">
        <v>1043</v>
      </c>
      <c r="E422" s="1" t="s">
        <v>316</v>
      </c>
      <c r="F422" s="6">
        <v>2006</v>
      </c>
      <c r="G422" s="1" t="s">
        <v>1048</v>
      </c>
      <c r="H422" s="1" t="s">
        <v>820</v>
      </c>
    </row>
    <row r="423" spans="2:8" x14ac:dyDescent="0.25">
      <c r="B423" s="6" t="s">
        <v>1844</v>
      </c>
      <c r="C423" s="1" t="s">
        <v>1049</v>
      </c>
      <c r="D423" s="1" t="s">
        <v>1043</v>
      </c>
      <c r="E423" s="1" t="s">
        <v>316</v>
      </c>
      <c r="F423" s="6">
        <v>2005</v>
      </c>
      <c r="G423" s="1" t="s">
        <v>1050</v>
      </c>
      <c r="H423" s="1" t="s">
        <v>820</v>
      </c>
    </row>
    <row r="424" spans="2:8" x14ac:dyDescent="0.25">
      <c r="B424" s="6" t="s">
        <v>1845</v>
      </c>
      <c r="C424" s="1" t="s">
        <v>1051</v>
      </c>
      <c r="D424" s="1" t="s">
        <v>1043</v>
      </c>
      <c r="E424" s="1" t="s">
        <v>316</v>
      </c>
      <c r="F424" s="6">
        <v>2006</v>
      </c>
      <c r="G424" s="1" t="s">
        <v>1052</v>
      </c>
      <c r="H424" s="1" t="s">
        <v>820</v>
      </c>
    </row>
    <row r="425" spans="2:8" x14ac:dyDescent="0.25">
      <c r="B425" s="7" t="s">
        <v>1846</v>
      </c>
      <c r="C425" s="2" t="s">
        <v>1053</v>
      </c>
      <c r="D425" s="2" t="s">
        <v>338</v>
      </c>
      <c r="E425" s="2" t="s">
        <v>316</v>
      </c>
      <c r="F425" s="7">
        <v>1999</v>
      </c>
      <c r="G425" s="2"/>
      <c r="H425" s="2" t="s">
        <v>1448</v>
      </c>
    </row>
    <row r="426" spans="2:8" x14ac:dyDescent="0.25">
      <c r="B426" s="7" t="s">
        <v>1847</v>
      </c>
      <c r="C426" s="2" t="s">
        <v>1054</v>
      </c>
      <c r="D426" s="2" t="s">
        <v>1055</v>
      </c>
      <c r="E426" s="2" t="s">
        <v>316</v>
      </c>
      <c r="F426" s="7">
        <v>1997</v>
      </c>
      <c r="G426" s="2"/>
      <c r="H426" s="2" t="s">
        <v>1448</v>
      </c>
    </row>
    <row r="427" spans="2:8" x14ac:dyDescent="0.25">
      <c r="B427" s="6" t="s">
        <v>1848</v>
      </c>
      <c r="C427" s="1" t="s">
        <v>1056</v>
      </c>
      <c r="D427" s="1" t="s">
        <v>1057</v>
      </c>
      <c r="E427" s="1" t="s">
        <v>316</v>
      </c>
      <c r="F427" s="6">
        <v>2007</v>
      </c>
      <c r="G427" s="1" t="s">
        <v>1058</v>
      </c>
      <c r="H427" s="1" t="s">
        <v>820</v>
      </c>
    </row>
    <row r="428" spans="2:8" x14ac:dyDescent="0.25">
      <c r="B428" s="6" t="s">
        <v>1849</v>
      </c>
      <c r="C428" s="1" t="s">
        <v>1059</v>
      </c>
      <c r="D428" s="1" t="s">
        <v>1057</v>
      </c>
      <c r="E428" s="1" t="s">
        <v>316</v>
      </c>
      <c r="F428" s="6">
        <v>2007</v>
      </c>
      <c r="G428" s="1" t="s">
        <v>1060</v>
      </c>
      <c r="H428" s="1" t="s">
        <v>1448</v>
      </c>
    </row>
    <row r="429" spans="2:8" x14ac:dyDescent="0.25">
      <c r="B429" s="6" t="s">
        <v>1850</v>
      </c>
      <c r="C429" s="1" t="s">
        <v>1808</v>
      </c>
      <c r="D429" s="1" t="s">
        <v>1809</v>
      </c>
      <c r="E429" s="1" t="s">
        <v>316</v>
      </c>
      <c r="F429" s="6">
        <v>2010</v>
      </c>
      <c r="G429" s="1" t="s">
        <v>1810</v>
      </c>
      <c r="H429" s="1" t="s">
        <v>1428</v>
      </c>
    </row>
    <row r="430" spans="2:8" x14ac:dyDescent="0.25">
      <c r="B430" s="6" t="s">
        <v>2884</v>
      </c>
      <c r="C430" s="1" t="s">
        <v>2885</v>
      </c>
      <c r="D430" s="1" t="s">
        <v>1057</v>
      </c>
      <c r="E430" s="1" t="s">
        <v>316</v>
      </c>
      <c r="F430" s="6">
        <v>2007</v>
      </c>
      <c r="G430" s="1" t="s">
        <v>2886</v>
      </c>
      <c r="H430" s="1" t="s">
        <v>1613</v>
      </c>
    </row>
    <row r="431" spans="2:8" x14ac:dyDescent="0.25">
      <c r="B431" s="6" t="s">
        <v>2912</v>
      </c>
      <c r="C431" s="1" t="s">
        <v>2913</v>
      </c>
      <c r="D431" s="1" t="s">
        <v>2914</v>
      </c>
      <c r="E431" s="1" t="s">
        <v>316</v>
      </c>
      <c r="F431" s="6">
        <v>2013</v>
      </c>
      <c r="G431" s="1" t="s">
        <v>1353</v>
      </c>
      <c r="H431" s="1" t="s">
        <v>2892</v>
      </c>
    </row>
    <row r="432" spans="2:8" x14ac:dyDescent="0.25">
      <c r="B432" s="6" t="s">
        <v>2952</v>
      </c>
      <c r="C432" s="1" t="s">
        <v>2953</v>
      </c>
      <c r="D432" s="1" t="s">
        <v>1809</v>
      </c>
      <c r="E432" s="1" t="s">
        <v>316</v>
      </c>
      <c r="F432" s="6">
        <v>2010</v>
      </c>
      <c r="G432" s="1" t="s">
        <v>1353</v>
      </c>
      <c r="H432" s="1" t="s">
        <v>2892</v>
      </c>
    </row>
    <row r="433" spans="2:8" x14ac:dyDescent="0.25">
      <c r="B433" s="6" t="s">
        <v>3059</v>
      </c>
      <c r="C433" s="1" t="s">
        <v>3060</v>
      </c>
      <c r="D433" s="1" t="s">
        <v>3061</v>
      </c>
      <c r="E433" s="1" t="s">
        <v>316</v>
      </c>
      <c r="F433" s="6">
        <v>2016</v>
      </c>
      <c r="G433" s="1" t="s">
        <v>1761</v>
      </c>
      <c r="H433" s="1" t="s">
        <v>820</v>
      </c>
    </row>
    <row r="434" spans="2:8" x14ac:dyDescent="0.25">
      <c r="B434" s="6" t="s">
        <v>3084</v>
      </c>
      <c r="C434" s="1" t="s">
        <v>3085</v>
      </c>
      <c r="D434"/>
      <c r="E434"/>
      <c r="F434" s="6">
        <v>2013</v>
      </c>
      <c r="G434" s="1" t="s">
        <v>3086</v>
      </c>
      <c r="H434" s="1" t="s">
        <v>1422</v>
      </c>
    </row>
    <row r="435" spans="2:8" x14ac:dyDescent="0.25">
      <c r="B435" s="6" t="s">
        <v>3093</v>
      </c>
      <c r="C435" s="1" t="s">
        <v>3094</v>
      </c>
      <c r="D435"/>
      <c r="E435"/>
      <c r="F435" s="6">
        <v>2010</v>
      </c>
      <c r="G435" s="1" t="s">
        <v>1353</v>
      </c>
      <c r="H435" s="1" t="s">
        <v>820</v>
      </c>
    </row>
    <row r="436" spans="2:8" x14ac:dyDescent="0.25">
      <c r="B436" s="6" t="s">
        <v>3097</v>
      </c>
      <c r="C436" s="1" t="s">
        <v>3098</v>
      </c>
      <c r="D436"/>
      <c r="E436"/>
      <c r="F436" s="6">
        <v>2013</v>
      </c>
      <c r="G436" s="1" t="s">
        <v>1353</v>
      </c>
      <c r="H436" s="1" t="s">
        <v>820</v>
      </c>
    </row>
    <row r="437" spans="2:8" x14ac:dyDescent="0.25">
      <c r="B437" s="6" t="s">
        <v>3117</v>
      </c>
      <c r="C437" s="1" t="s">
        <v>3118</v>
      </c>
      <c r="D437"/>
      <c r="E437"/>
      <c r="F437" s="6"/>
    </row>
    <row r="438" spans="2:8" x14ac:dyDescent="0.25">
      <c r="B438" s="6" t="s">
        <v>3123</v>
      </c>
      <c r="C438" s="1" t="s">
        <v>3124</v>
      </c>
      <c r="D438"/>
      <c r="E438"/>
      <c r="F438" s="6"/>
    </row>
    <row r="439" spans="2:8" x14ac:dyDescent="0.25">
      <c r="B439" s="7" t="s">
        <v>2580</v>
      </c>
      <c r="C439" s="2" t="s">
        <v>1062</v>
      </c>
      <c r="D439" s="2" t="s">
        <v>1063</v>
      </c>
      <c r="E439" s="2" t="s">
        <v>316</v>
      </c>
      <c r="F439" s="7">
        <v>2003</v>
      </c>
      <c r="G439" s="2" t="s">
        <v>1064</v>
      </c>
      <c r="H439" s="2" t="s">
        <v>1065</v>
      </c>
    </row>
    <row r="440" spans="2:8" x14ac:dyDescent="0.25">
      <c r="B440" s="7" t="s">
        <v>2581</v>
      </c>
      <c r="C440" s="2" t="s">
        <v>1066</v>
      </c>
      <c r="D440" s="2" t="s">
        <v>1063</v>
      </c>
      <c r="E440" s="2" t="s">
        <v>316</v>
      </c>
      <c r="F440" s="7">
        <v>1999</v>
      </c>
      <c r="G440" s="2" t="s">
        <v>1067</v>
      </c>
      <c r="H440" s="2" t="s">
        <v>888</v>
      </c>
    </row>
    <row r="441" spans="2:8" x14ac:dyDescent="0.25">
      <c r="B441" s="7" t="s">
        <v>2582</v>
      </c>
      <c r="C441" s="2" t="s">
        <v>1068</v>
      </c>
      <c r="D441" s="2" t="s">
        <v>1069</v>
      </c>
      <c r="E441" s="2" t="s">
        <v>316</v>
      </c>
      <c r="F441" s="7">
        <v>2001</v>
      </c>
      <c r="G441" s="2" t="s">
        <v>1070</v>
      </c>
      <c r="H441" s="2" t="s">
        <v>1529</v>
      </c>
    </row>
    <row r="442" spans="2:8" x14ac:dyDescent="0.25">
      <c r="B442" s="6" t="s">
        <v>2583</v>
      </c>
      <c r="C442" s="1" t="s">
        <v>1071</v>
      </c>
      <c r="D442" s="1" t="s">
        <v>1072</v>
      </c>
      <c r="E442" s="1" t="s">
        <v>316</v>
      </c>
      <c r="F442" s="6">
        <v>1997</v>
      </c>
      <c r="G442" s="1" t="s">
        <v>1073</v>
      </c>
      <c r="H442" s="1" t="s">
        <v>888</v>
      </c>
    </row>
    <row r="443" spans="2:8" x14ac:dyDescent="0.25">
      <c r="B443" s="6" t="s">
        <v>2584</v>
      </c>
      <c r="C443" s="1" t="s">
        <v>1074</v>
      </c>
      <c r="D443" s="1" t="s">
        <v>1322</v>
      </c>
      <c r="E443" s="1" t="s">
        <v>1075</v>
      </c>
      <c r="F443" s="6">
        <v>1997</v>
      </c>
      <c r="G443" s="1" t="s">
        <v>1076</v>
      </c>
      <c r="H443" s="1" t="s">
        <v>1215</v>
      </c>
    </row>
    <row r="444" spans="2:8" x14ac:dyDescent="0.25">
      <c r="B444" s="6" t="s">
        <v>2585</v>
      </c>
      <c r="C444" s="1" t="s">
        <v>1077</v>
      </c>
      <c r="D444" s="1" t="s">
        <v>1322</v>
      </c>
      <c r="E444" s="1" t="s">
        <v>1075</v>
      </c>
      <c r="F444" s="6">
        <v>1998</v>
      </c>
      <c r="G444" s="1" t="s">
        <v>1078</v>
      </c>
      <c r="H444" s="1" t="s">
        <v>823</v>
      </c>
    </row>
    <row r="445" spans="2:8" x14ac:dyDescent="0.25">
      <c r="B445" s="6" t="s">
        <v>2586</v>
      </c>
      <c r="C445" s="1" t="s">
        <v>1079</v>
      </c>
      <c r="D445" s="1" t="s">
        <v>1080</v>
      </c>
      <c r="E445" s="1" t="s">
        <v>1075</v>
      </c>
      <c r="F445" s="6">
        <v>1999</v>
      </c>
      <c r="G445" s="1" t="s">
        <v>1081</v>
      </c>
      <c r="H445" s="1" t="s">
        <v>310</v>
      </c>
    </row>
    <row r="446" spans="2:8" x14ac:dyDescent="0.25">
      <c r="B446" s="6" t="s">
        <v>2587</v>
      </c>
      <c r="C446" s="1" t="s">
        <v>1775</v>
      </c>
      <c r="D446" s="1" t="s">
        <v>1322</v>
      </c>
      <c r="E446" s="1" t="s">
        <v>1075</v>
      </c>
      <c r="F446" s="6">
        <v>2000</v>
      </c>
      <c r="G446" s="1" t="s">
        <v>1776</v>
      </c>
      <c r="H446" s="1" t="s">
        <v>1423</v>
      </c>
    </row>
    <row r="447" spans="2:8" x14ac:dyDescent="0.25">
      <c r="B447" s="6" t="s">
        <v>2588</v>
      </c>
      <c r="C447" s="2" t="s">
        <v>1777</v>
      </c>
      <c r="D447" s="2" t="s">
        <v>1778</v>
      </c>
      <c r="E447" s="1" t="s">
        <v>1075</v>
      </c>
      <c r="F447" s="7">
        <v>2000</v>
      </c>
      <c r="G447" s="2" t="s">
        <v>766</v>
      </c>
      <c r="H447" s="2" t="s">
        <v>1779</v>
      </c>
    </row>
    <row r="448" spans="2:8" x14ac:dyDescent="0.25">
      <c r="B448" s="7" t="s">
        <v>2589</v>
      </c>
      <c r="C448" s="2" t="s">
        <v>1780</v>
      </c>
      <c r="D448" s="2" t="s">
        <v>1781</v>
      </c>
      <c r="E448" s="2" t="s">
        <v>1075</v>
      </c>
      <c r="F448" s="7">
        <v>2000</v>
      </c>
      <c r="G448" s="2" t="s">
        <v>1782</v>
      </c>
      <c r="H448" s="2" t="s">
        <v>888</v>
      </c>
    </row>
    <row r="449" spans="2:8" x14ac:dyDescent="0.25">
      <c r="B449" s="7" t="s">
        <v>2590</v>
      </c>
      <c r="C449" s="2" t="s">
        <v>1783</v>
      </c>
      <c r="D449" s="2" t="s">
        <v>1781</v>
      </c>
      <c r="E449" s="2" t="s">
        <v>1075</v>
      </c>
      <c r="F449" s="7">
        <v>2002</v>
      </c>
      <c r="G449" s="2" t="s">
        <v>1784</v>
      </c>
      <c r="H449" s="2" t="s">
        <v>888</v>
      </c>
    </row>
    <row r="450" spans="2:8" x14ac:dyDescent="0.25">
      <c r="B450" s="7" t="s">
        <v>2591</v>
      </c>
      <c r="C450" s="2" t="s">
        <v>1785</v>
      </c>
      <c r="D450" s="2" t="s">
        <v>1786</v>
      </c>
      <c r="E450" s="2" t="s">
        <v>1075</v>
      </c>
      <c r="F450" s="7">
        <v>2000</v>
      </c>
      <c r="G450" s="2" t="s">
        <v>1787</v>
      </c>
      <c r="H450" s="2" t="s">
        <v>1612</v>
      </c>
    </row>
    <row r="451" spans="2:8" x14ac:dyDescent="0.25">
      <c r="B451" s="7" t="s">
        <v>1890</v>
      </c>
      <c r="C451" s="2" t="s">
        <v>1788</v>
      </c>
      <c r="D451" s="2" t="s">
        <v>1789</v>
      </c>
      <c r="E451" s="2" t="s">
        <v>1075</v>
      </c>
      <c r="F451" s="7">
        <v>2002</v>
      </c>
      <c r="G451" s="2" t="s">
        <v>1790</v>
      </c>
      <c r="H451" s="2" t="s">
        <v>177</v>
      </c>
    </row>
    <row r="452" spans="2:8" x14ac:dyDescent="0.25">
      <c r="B452" s="7" t="s">
        <v>1891</v>
      </c>
      <c r="C452" s="2" t="s">
        <v>1791</v>
      </c>
      <c r="D452" s="2"/>
      <c r="E452" s="2" t="s">
        <v>1075</v>
      </c>
      <c r="F452" s="7">
        <v>2001</v>
      </c>
      <c r="G452" s="2" t="s">
        <v>1792</v>
      </c>
      <c r="H452" s="2" t="s">
        <v>1428</v>
      </c>
    </row>
    <row r="453" spans="2:8" x14ac:dyDescent="0.25">
      <c r="B453" s="6" t="s">
        <v>1892</v>
      </c>
      <c r="C453" s="2" t="s">
        <v>1794</v>
      </c>
      <c r="D453" s="2" t="s">
        <v>1322</v>
      </c>
      <c r="E453" s="2" t="s">
        <v>1075</v>
      </c>
      <c r="F453" s="7">
        <v>1999</v>
      </c>
      <c r="G453" s="2" t="s">
        <v>1763</v>
      </c>
      <c r="H453" s="2" t="s">
        <v>823</v>
      </c>
    </row>
    <row r="454" spans="2:8" x14ac:dyDescent="0.25">
      <c r="B454" s="6" t="s">
        <v>1893</v>
      </c>
      <c r="C454" s="2" t="s">
        <v>1521</v>
      </c>
      <c r="D454" s="2"/>
      <c r="E454" s="2" t="s">
        <v>1075</v>
      </c>
      <c r="F454" s="7">
        <v>2000</v>
      </c>
      <c r="G454" s="2" t="s">
        <v>1787</v>
      </c>
      <c r="H454" s="2" t="s">
        <v>1779</v>
      </c>
    </row>
    <row r="455" spans="2:8" x14ac:dyDescent="0.25">
      <c r="B455" s="6" t="s">
        <v>1894</v>
      </c>
      <c r="C455" s="2" t="s">
        <v>1764</v>
      </c>
      <c r="D455" s="2" t="s">
        <v>128</v>
      </c>
      <c r="E455" s="2" t="s">
        <v>1075</v>
      </c>
      <c r="F455" s="7">
        <v>2000</v>
      </c>
      <c r="G455" s="2" t="s">
        <v>1522</v>
      </c>
      <c r="H455" s="2" t="s">
        <v>1428</v>
      </c>
    </row>
    <row r="456" spans="2:8" x14ac:dyDescent="0.25">
      <c r="B456" s="6" t="s">
        <v>1895</v>
      </c>
      <c r="C456" s="2" t="s">
        <v>1765</v>
      </c>
      <c r="D456" s="2" t="s">
        <v>1766</v>
      </c>
      <c r="E456" s="2" t="s">
        <v>1075</v>
      </c>
      <c r="F456" s="7">
        <v>2000</v>
      </c>
      <c r="G456" s="2" t="s">
        <v>1767</v>
      </c>
      <c r="H456" s="2" t="s">
        <v>1793</v>
      </c>
    </row>
    <row r="457" spans="2:8" x14ac:dyDescent="0.25">
      <c r="B457" s="6" t="s">
        <v>1896</v>
      </c>
      <c r="C457" s="2" t="s">
        <v>1768</v>
      </c>
      <c r="D457" s="2" t="s">
        <v>1769</v>
      </c>
      <c r="E457" s="2" t="s">
        <v>1075</v>
      </c>
      <c r="F457" s="7">
        <v>2000</v>
      </c>
      <c r="G457" s="2" t="s">
        <v>766</v>
      </c>
      <c r="H457" s="2" t="s">
        <v>1793</v>
      </c>
    </row>
    <row r="458" spans="2:8" x14ac:dyDescent="0.25">
      <c r="B458" s="6" t="s">
        <v>1897</v>
      </c>
      <c r="C458" s="2" t="s">
        <v>1770</v>
      </c>
      <c r="D458" s="2" t="s">
        <v>1766</v>
      </c>
      <c r="E458" s="2" t="s">
        <v>1075</v>
      </c>
      <c r="F458" s="7">
        <v>2001</v>
      </c>
      <c r="G458" s="2" t="s">
        <v>1771</v>
      </c>
      <c r="H458" s="2" t="s">
        <v>310</v>
      </c>
    </row>
    <row r="459" spans="2:8" x14ac:dyDescent="0.25">
      <c r="B459" s="6" t="s">
        <v>1898</v>
      </c>
      <c r="C459" s="2" t="s">
        <v>1772</v>
      </c>
      <c r="D459" s="2" t="s">
        <v>1773</v>
      </c>
      <c r="E459" s="2" t="s">
        <v>1075</v>
      </c>
      <c r="F459" s="7">
        <v>2000</v>
      </c>
      <c r="G459" s="2" t="s">
        <v>1774</v>
      </c>
      <c r="H459" s="1" t="s">
        <v>1320</v>
      </c>
    </row>
    <row r="460" spans="2:8" x14ac:dyDescent="0.25">
      <c r="B460" s="6" t="s">
        <v>1899</v>
      </c>
      <c r="C460" s="2" t="s">
        <v>623</v>
      </c>
      <c r="D460" s="2" t="s">
        <v>624</v>
      </c>
      <c r="E460" s="2" t="s">
        <v>1075</v>
      </c>
      <c r="F460" s="7">
        <v>2001</v>
      </c>
      <c r="G460" s="2" t="s">
        <v>625</v>
      </c>
      <c r="H460" s="2" t="s">
        <v>888</v>
      </c>
    </row>
    <row r="461" spans="2:8" x14ac:dyDescent="0.25">
      <c r="B461" s="6" t="s">
        <v>1900</v>
      </c>
      <c r="C461" s="1" t="s">
        <v>626</v>
      </c>
      <c r="E461" s="2" t="s">
        <v>1075</v>
      </c>
      <c r="F461" s="6">
        <v>1999</v>
      </c>
      <c r="G461" s="1" t="s">
        <v>627</v>
      </c>
      <c r="H461" s="1" t="s">
        <v>628</v>
      </c>
    </row>
    <row r="462" spans="2:8" x14ac:dyDescent="0.25">
      <c r="B462" s="7" t="s">
        <v>1901</v>
      </c>
      <c r="C462" s="2" t="s">
        <v>629</v>
      </c>
      <c r="D462" s="2"/>
      <c r="E462" s="2" t="s">
        <v>1075</v>
      </c>
      <c r="F462" s="7">
        <v>2000</v>
      </c>
      <c r="G462" s="2" t="s">
        <v>630</v>
      </c>
      <c r="H462" s="2" t="s">
        <v>177</v>
      </c>
    </row>
    <row r="463" spans="2:8" x14ac:dyDescent="0.25">
      <c r="B463" s="7" t="s">
        <v>1902</v>
      </c>
      <c r="C463" s="2" t="s">
        <v>631</v>
      </c>
      <c r="D463" s="2"/>
      <c r="E463" s="2" t="s">
        <v>1075</v>
      </c>
      <c r="F463" s="7">
        <v>2001</v>
      </c>
      <c r="G463" s="2" t="s">
        <v>632</v>
      </c>
      <c r="H463" s="2" t="s">
        <v>1423</v>
      </c>
    </row>
    <row r="464" spans="2:8" x14ac:dyDescent="0.25">
      <c r="B464" s="7" t="s">
        <v>1903</v>
      </c>
      <c r="C464" s="2" t="s">
        <v>633</v>
      </c>
      <c r="D464" s="2" t="s">
        <v>634</v>
      </c>
      <c r="E464" s="2" t="s">
        <v>1075</v>
      </c>
      <c r="F464" s="7">
        <v>2001</v>
      </c>
      <c r="G464" s="2" t="s">
        <v>635</v>
      </c>
      <c r="H464" s="2" t="s">
        <v>1428</v>
      </c>
    </row>
    <row r="465" spans="2:8" x14ac:dyDescent="0.25">
      <c r="B465" s="7" t="s">
        <v>1904</v>
      </c>
      <c r="C465" s="2" t="s">
        <v>636</v>
      </c>
      <c r="D465" s="2"/>
      <c r="E465" s="2" t="s">
        <v>1075</v>
      </c>
      <c r="F465" s="7">
        <v>2002</v>
      </c>
      <c r="G465" s="2" t="s">
        <v>637</v>
      </c>
      <c r="H465" s="2" t="s">
        <v>1204</v>
      </c>
    </row>
    <row r="466" spans="2:8" x14ac:dyDescent="0.25">
      <c r="B466" s="7" t="s">
        <v>1905</v>
      </c>
      <c r="C466" s="2" t="s">
        <v>638</v>
      </c>
      <c r="D466" s="2"/>
      <c r="E466" s="2" t="s">
        <v>1075</v>
      </c>
      <c r="F466" s="7">
        <v>2002</v>
      </c>
      <c r="G466" s="2" t="s">
        <v>639</v>
      </c>
      <c r="H466" s="2" t="s">
        <v>177</v>
      </c>
    </row>
    <row r="467" spans="2:8" x14ac:dyDescent="0.25">
      <c r="B467" s="7" t="s">
        <v>1906</v>
      </c>
      <c r="C467" s="2" t="s">
        <v>640</v>
      </c>
      <c r="D467" s="2" t="s">
        <v>1322</v>
      </c>
      <c r="E467" s="2" t="s">
        <v>1075</v>
      </c>
      <c r="F467" s="7">
        <v>2000</v>
      </c>
      <c r="G467" s="2" t="s">
        <v>641</v>
      </c>
      <c r="H467" s="2" t="s">
        <v>310</v>
      </c>
    </row>
    <row r="468" spans="2:8" x14ac:dyDescent="0.25">
      <c r="B468" s="7" t="s">
        <v>1907</v>
      </c>
      <c r="C468" s="2" t="s">
        <v>581</v>
      </c>
      <c r="D468" s="2"/>
      <c r="E468" s="2" t="s">
        <v>1075</v>
      </c>
      <c r="F468" s="7">
        <v>2002</v>
      </c>
      <c r="G468" s="2" t="s">
        <v>642</v>
      </c>
      <c r="H468" s="2" t="s">
        <v>823</v>
      </c>
    </row>
    <row r="469" spans="2:8" x14ac:dyDescent="0.25">
      <c r="B469" s="7" t="s">
        <v>1908</v>
      </c>
      <c r="C469" s="2" t="s">
        <v>643</v>
      </c>
      <c r="D469" s="2"/>
      <c r="E469" s="2" t="s">
        <v>1075</v>
      </c>
      <c r="F469" s="7">
        <v>2002</v>
      </c>
      <c r="G469" s="2" t="s">
        <v>644</v>
      </c>
      <c r="H469" s="2" t="s">
        <v>306</v>
      </c>
    </row>
    <row r="470" spans="2:8" x14ac:dyDescent="0.25">
      <c r="B470" s="7" t="s">
        <v>1909</v>
      </c>
      <c r="C470" s="2" t="s">
        <v>38</v>
      </c>
      <c r="D470" s="2"/>
      <c r="E470" s="2" t="s">
        <v>1075</v>
      </c>
      <c r="F470" s="7">
        <v>2000</v>
      </c>
      <c r="G470" s="2" t="s">
        <v>39</v>
      </c>
      <c r="H470" s="2" t="s">
        <v>1428</v>
      </c>
    </row>
    <row r="471" spans="2:8" x14ac:dyDescent="0.25">
      <c r="B471" s="7" t="s">
        <v>1910</v>
      </c>
      <c r="C471" s="2" t="s">
        <v>40</v>
      </c>
      <c r="D471" s="2" t="s">
        <v>41</v>
      </c>
      <c r="E471" s="2" t="s">
        <v>1075</v>
      </c>
      <c r="F471" s="7">
        <v>2002</v>
      </c>
      <c r="G471" s="2" t="s">
        <v>42</v>
      </c>
      <c r="H471" s="2" t="s">
        <v>1428</v>
      </c>
    </row>
    <row r="472" spans="2:8" x14ac:dyDescent="0.25">
      <c r="B472" s="7" t="s">
        <v>1911</v>
      </c>
      <c r="C472" s="2" t="s">
        <v>655</v>
      </c>
      <c r="D472" s="2"/>
      <c r="E472" s="2" t="s">
        <v>1075</v>
      </c>
      <c r="F472" s="7">
        <v>1997</v>
      </c>
      <c r="G472" s="2" t="s">
        <v>656</v>
      </c>
      <c r="H472" s="2" t="s">
        <v>1215</v>
      </c>
    </row>
    <row r="473" spans="2:8" x14ac:dyDescent="0.25">
      <c r="B473" s="7" t="s">
        <v>1912</v>
      </c>
      <c r="C473" s="2" t="s">
        <v>657</v>
      </c>
      <c r="D473" s="2"/>
      <c r="E473" s="2" t="s">
        <v>1075</v>
      </c>
      <c r="F473" s="7">
        <v>2002</v>
      </c>
      <c r="G473" s="2" t="s">
        <v>658</v>
      </c>
      <c r="H473" s="2" t="s">
        <v>1214</v>
      </c>
    </row>
    <row r="474" spans="2:8" x14ac:dyDescent="0.25">
      <c r="B474" s="7" t="s">
        <v>1913</v>
      </c>
      <c r="C474" s="2" t="s">
        <v>659</v>
      </c>
      <c r="D474" s="2"/>
      <c r="E474" s="2" t="s">
        <v>1075</v>
      </c>
      <c r="F474" s="7">
        <v>1998</v>
      </c>
      <c r="G474" s="2" t="s">
        <v>390</v>
      </c>
      <c r="H474" s="2" t="s">
        <v>1529</v>
      </c>
    </row>
    <row r="475" spans="2:8" x14ac:dyDescent="0.25">
      <c r="B475" s="7" t="s">
        <v>1914</v>
      </c>
      <c r="C475" s="2" t="s">
        <v>646</v>
      </c>
      <c r="D475" s="2" t="s">
        <v>1322</v>
      </c>
      <c r="E475" s="2" t="s">
        <v>1075</v>
      </c>
      <c r="F475" s="7">
        <v>2001</v>
      </c>
      <c r="G475" s="2" t="s">
        <v>143</v>
      </c>
      <c r="H475" s="2" t="s">
        <v>1422</v>
      </c>
    </row>
    <row r="476" spans="2:8" x14ac:dyDescent="0.25">
      <c r="B476" s="7" t="s">
        <v>1915</v>
      </c>
      <c r="C476" s="2" t="s">
        <v>647</v>
      </c>
      <c r="D476" s="2"/>
      <c r="E476" s="2" t="s">
        <v>648</v>
      </c>
      <c r="F476" s="7">
        <v>2002</v>
      </c>
      <c r="G476" s="2" t="s">
        <v>649</v>
      </c>
      <c r="H476" s="2" t="s">
        <v>1428</v>
      </c>
    </row>
    <row r="477" spans="2:8" x14ac:dyDescent="0.25">
      <c r="B477" s="6" t="s">
        <v>1916</v>
      </c>
      <c r="C477" s="1" t="s">
        <v>1143</v>
      </c>
      <c r="E477" s="1" t="s">
        <v>1075</v>
      </c>
      <c r="F477" s="6">
        <v>2004</v>
      </c>
      <c r="G477" s="1" t="s">
        <v>662</v>
      </c>
      <c r="H477" s="1" t="s">
        <v>820</v>
      </c>
    </row>
    <row r="478" spans="2:8" x14ac:dyDescent="0.25">
      <c r="B478" s="7" t="s">
        <v>1917</v>
      </c>
      <c r="C478" s="2" t="s">
        <v>663</v>
      </c>
      <c r="D478" s="2" t="s">
        <v>624</v>
      </c>
      <c r="E478" s="2" t="s">
        <v>1075</v>
      </c>
      <c r="F478" s="7">
        <v>2000</v>
      </c>
      <c r="G478" s="2" t="s">
        <v>664</v>
      </c>
      <c r="H478" s="2" t="s">
        <v>1779</v>
      </c>
    </row>
    <row r="479" spans="2:8" x14ac:dyDescent="0.25">
      <c r="B479" s="7" t="s">
        <v>1918</v>
      </c>
      <c r="C479" s="2" t="s">
        <v>665</v>
      </c>
      <c r="D479" s="2" t="s">
        <v>1322</v>
      </c>
      <c r="E479" s="2" t="s">
        <v>1075</v>
      </c>
      <c r="F479" s="7">
        <v>2000</v>
      </c>
      <c r="G479" s="2" t="s">
        <v>666</v>
      </c>
      <c r="H479" s="2" t="s">
        <v>1793</v>
      </c>
    </row>
    <row r="480" spans="2:8" x14ac:dyDescent="0.25">
      <c r="B480" s="7" t="s">
        <v>1919</v>
      </c>
      <c r="C480" s="2" t="s">
        <v>667</v>
      </c>
      <c r="D480" s="2"/>
      <c r="E480" s="2" t="s">
        <v>1075</v>
      </c>
      <c r="F480" s="7">
        <v>2006</v>
      </c>
      <c r="G480" s="2" t="s">
        <v>391</v>
      </c>
      <c r="H480" s="2" t="s">
        <v>177</v>
      </c>
    </row>
    <row r="481" spans="2:8" x14ac:dyDescent="0.25">
      <c r="B481" s="7" t="s">
        <v>1920</v>
      </c>
      <c r="C481" s="2" t="s">
        <v>668</v>
      </c>
      <c r="D481" s="2" t="s">
        <v>1322</v>
      </c>
      <c r="E481" s="2" t="s">
        <v>1075</v>
      </c>
      <c r="F481" s="7">
        <v>2005</v>
      </c>
      <c r="G481" s="2" t="s">
        <v>669</v>
      </c>
      <c r="H481" s="2" t="s">
        <v>820</v>
      </c>
    </row>
    <row r="482" spans="2:8" x14ac:dyDescent="0.25">
      <c r="B482" s="7" t="s">
        <v>1921</v>
      </c>
      <c r="C482" s="2" t="s">
        <v>670</v>
      </c>
      <c r="D482" s="2" t="s">
        <v>671</v>
      </c>
      <c r="E482" s="2" t="s">
        <v>1075</v>
      </c>
      <c r="F482" s="7">
        <v>2005</v>
      </c>
      <c r="G482" s="2" t="s">
        <v>672</v>
      </c>
      <c r="H482" s="2" t="s">
        <v>1428</v>
      </c>
    </row>
    <row r="483" spans="2:8" x14ac:dyDescent="0.25">
      <c r="B483" s="7" t="s">
        <v>1922</v>
      </c>
      <c r="C483" s="2" t="s">
        <v>673</v>
      </c>
      <c r="D483" s="2" t="s">
        <v>624</v>
      </c>
      <c r="E483" s="2" t="s">
        <v>1075</v>
      </c>
      <c r="F483" s="7">
        <v>2000</v>
      </c>
      <c r="G483" s="2" t="s">
        <v>1323</v>
      </c>
      <c r="H483" s="2" t="s">
        <v>309</v>
      </c>
    </row>
    <row r="484" spans="2:8" x14ac:dyDescent="0.25">
      <c r="B484" s="7" t="s">
        <v>1923</v>
      </c>
      <c r="C484" s="2" t="s">
        <v>674</v>
      </c>
      <c r="D484" s="2" t="s">
        <v>1322</v>
      </c>
      <c r="E484" s="2" t="s">
        <v>1075</v>
      </c>
      <c r="F484" s="7">
        <v>1999</v>
      </c>
      <c r="G484" s="2" t="s">
        <v>675</v>
      </c>
      <c r="H484" s="2" t="s">
        <v>1144</v>
      </c>
    </row>
    <row r="485" spans="2:8" x14ac:dyDescent="0.25">
      <c r="B485" s="7" t="s">
        <v>1924</v>
      </c>
      <c r="C485" s="2" t="s">
        <v>1145</v>
      </c>
      <c r="D485" s="2"/>
      <c r="E485" s="2" t="s">
        <v>1075</v>
      </c>
      <c r="F485" s="7">
        <v>2006</v>
      </c>
      <c r="G485" s="2" t="s">
        <v>1146</v>
      </c>
      <c r="H485" s="2" t="s">
        <v>820</v>
      </c>
    </row>
    <row r="486" spans="2:8" x14ac:dyDescent="0.25">
      <c r="B486" s="7" t="s">
        <v>1925</v>
      </c>
      <c r="C486" s="2" t="s">
        <v>1147</v>
      </c>
      <c r="D486" s="2"/>
      <c r="E486" s="2" t="s">
        <v>1075</v>
      </c>
      <c r="F486" s="7">
        <v>2003</v>
      </c>
      <c r="G486" s="2" t="s">
        <v>1148</v>
      </c>
      <c r="H486" s="2" t="s">
        <v>1117</v>
      </c>
    </row>
    <row r="487" spans="2:8" x14ac:dyDescent="0.25">
      <c r="B487" s="6" t="s">
        <v>1926</v>
      </c>
      <c r="C487" s="1" t="s">
        <v>1149</v>
      </c>
      <c r="E487" s="1" t="s">
        <v>1075</v>
      </c>
      <c r="F487" s="6">
        <v>2005</v>
      </c>
      <c r="G487" s="1" t="s">
        <v>1150</v>
      </c>
      <c r="H487" s="1" t="s">
        <v>1151</v>
      </c>
    </row>
    <row r="488" spans="2:8" x14ac:dyDescent="0.25">
      <c r="B488" s="7" t="s">
        <v>1927</v>
      </c>
      <c r="C488" s="2" t="s">
        <v>1317</v>
      </c>
      <c r="D488" s="2"/>
      <c r="E488" s="2" t="s">
        <v>1075</v>
      </c>
      <c r="F488" s="7">
        <v>2002</v>
      </c>
      <c r="G488" s="2" t="s">
        <v>1319</v>
      </c>
      <c r="H488" s="2" t="s">
        <v>1428</v>
      </c>
    </row>
    <row r="489" spans="2:8" x14ac:dyDescent="0.25">
      <c r="B489" s="7" t="s">
        <v>1928</v>
      </c>
      <c r="C489" s="2" t="s">
        <v>1152</v>
      </c>
      <c r="D489" s="2" t="s">
        <v>1781</v>
      </c>
      <c r="E489" s="2" t="s">
        <v>1075</v>
      </c>
      <c r="F489" s="7">
        <v>2000</v>
      </c>
      <c r="G489" s="2" t="s">
        <v>1323</v>
      </c>
      <c r="H489" s="2" t="s">
        <v>309</v>
      </c>
    </row>
    <row r="490" spans="2:8" x14ac:dyDescent="0.25">
      <c r="B490" s="7" t="s">
        <v>1929</v>
      </c>
      <c r="C490" s="2" t="s">
        <v>1153</v>
      </c>
      <c r="D490" s="2"/>
      <c r="E490" s="2" t="s">
        <v>1075</v>
      </c>
      <c r="F490" s="7">
        <v>2001</v>
      </c>
      <c r="G490" s="2" t="s">
        <v>1154</v>
      </c>
      <c r="H490" s="2" t="s">
        <v>823</v>
      </c>
    </row>
    <row r="491" spans="2:8" x14ac:dyDescent="0.25">
      <c r="B491" s="7" t="s">
        <v>1930</v>
      </c>
      <c r="C491" s="2" t="s">
        <v>1145</v>
      </c>
      <c r="D491" s="2"/>
      <c r="E491" s="2" t="s">
        <v>1075</v>
      </c>
      <c r="F491" s="7">
        <v>2001</v>
      </c>
      <c r="G491" s="2" t="s">
        <v>1146</v>
      </c>
      <c r="H491" s="2" t="s">
        <v>1610</v>
      </c>
    </row>
    <row r="492" spans="2:8" x14ac:dyDescent="0.25">
      <c r="B492" s="7" t="s">
        <v>1931</v>
      </c>
      <c r="C492" s="2" t="s">
        <v>1155</v>
      </c>
      <c r="D492" s="2"/>
      <c r="E492" s="2" t="s">
        <v>1075</v>
      </c>
      <c r="F492" s="7">
        <v>2002</v>
      </c>
      <c r="G492" s="2" t="s">
        <v>392</v>
      </c>
      <c r="H492" s="2" t="s">
        <v>823</v>
      </c>
    </row>
    <row r="493" spans="2:8" x14ac:dyDescent="0.25">
      <c r="B493" s="7" t="s">
        <v>1932</v>
      </c>
      <c r="C493" s="2" t="s">
        <v>665</v>
      </c>
      <c r="D493" s="2"/>
      <c r="E493" s="2" t="s">
        <v>1075</v>
      </c>
      <c r="F493" s="7">
        <v>2004</v>
      </c>
      <c r="G493" s="2" t="s">
        <v>1523</v>
      </c>
      <c r="H493" s="2" t="s">
        <v>139</v>
      </c>
    </row>
    <row r="494" spans="2:8" x14ac:dyDescent="0.25">
      <c r="B494" s="7" t="s">
        <v>1933</v>
      </c>
      <c r="C494" s="2" t="s">
        <v>1156</v>
      </c>
      <c r="D494" s="2"/>
      <c r="E494" s="2" t="s">
        <v>1075</v>
      </c>
      <c r="F494" s="7">
        <v>2002</v>
      </c>
      <c r="G494" s="2" t="s">
        <v>1157</v>
      </c>
      <c r="H494" s="2" t="s">
        <v>176</v>
      </c>
    </row>
    <row r="495" spans="2:8" x14ac:dyDescent="0.25">
      <c r="B495" s="7" t="s">
        <v>1934</v>
      </c>
      <c r="C495" s="2" t="s">
        <v>1158</v>
      </c>
      <c r="D495" s="2"/>
      <c r="E495" s="2" t="s">
        <v>1075</v>
      </c>
      <c r="F495" s="7">
        <v>1997</v>
      </c>
      <c r="G495" s="2" t="s">
        <v>1159</v>
      </c>
      <c r="H495" s="2" t="s">
        <v>1102</v>
      </c>
    </row>
    <row r="496" spans="2:8" x14ac:dyDescent="0.25">
      <c r="B496" s="7" t="s">
        <v>1935</v>
      </c>
      <c r="C496" s="2" t="s">
        <v>1160</v>
      </c>
      <c r="D496" s="2"/>
      <c r="E496" s="2" t="s">
        <v>1075</v>
      </c>
      <c r="F496" s="7">
        <v>2000</v>
      </c>
      <c r="G496" s="2" t="s">
        <v>1161</v>
      </c>
      <c r="H496" s="2" t="s">
        <v>1428</v>
      </c>
    </row>
    <row r="497" spans="1:8" x14ac:dyDescent="0.25">
      <c r="B497" s="7" t="s">
        <v>1936</v>
      </c>
      <c r="C497" s="2" t="s">
        <v>1162</v>
      </c>
      <c r="D497" s="2" t="s">
        <v>1163</v>
      </c>
      <c r="E497" s="2" t="s">
        <v>1075</v>
      </c>
      <c r="F497" s="7">
        <v>2001</v>
      </c>
      <c r="G497" s="2" t="s">
        <v>1164</v>
      </c>
      <c r="H497" s="2" t="s">
        <v>1529</v>
      </c>
    </row>
    <row r="498" spans="1:8" x14ac:dyDescent="0.25">
      <c r="B498" s="7" t="s">
        <v>1937</v>
      </c>
      <c r="C498" s="2" t="s">
        <v>1165</v>
      </c>
      <c r="D498" s="2" t="s">
        <v>1166</v>
      </c>
      <c r="E498" s="2" t="s">
        <v>1075</v>
      </c>
      <c r="F498" s="7">
        <v>2003</v>
      </c>
      <c r="G498" s="2" t="s">
        <v>1167</v>
      </c>
      <c r="H498" s="2" t="s">
        <v>1215</v>
      </c>
    </row>
    <row r="499" spans="1:8" x14ac:dyDescent="0.25">
      <c r="B499" s="7" t="s">
        <v>1938</v>
      </c>
      <c r="C499" s="2" t="s">
        <v>1168</v>
      </c>
      <c r="D499" s="2"/>
      <c r="E499" s="2" t="s">
        <v>1075</v>
      </c>
      <c r="F499" s="7">
        <v>2004</v>
      </c>
      <c r="G499" s="2" t="s">
        <v>1169</v>
      </c>
      <c r="H499" s="2" t="s">
        <v>1279</v>
      </c>
    </row>
    <row r="500" spans="1:8" x14ac:dyDescent="0.25">
      <c r="B500" s="7" t="s">
        <v>1939</v>
      </c>
      <c r="C500" s="2" t="s">
        <v>113</v>
      </c>
      <c r="D500" s="2"/>
      <c r="E500" s="2" t="s">
        <v>1075</v>
      </c>
      <c r="F500" s="7">
        <v>2001</v>
      </c>
      <c r="G500" s="2" t="s">
        <v>114</v>
      </c>
      <c r="H500" s="2" t="s">
        <v>1577</v>
      </c>
    </row>
    <row r="501" spans="1:8" x14ac:dyDescent="0.25">
      <c r="B501" s="7" t="s">
        <v>1940</v>
      </c>
      <c r="C501" s="2" t="s">
        <v>1142</v>
      </c>
      <c r="D501" s="2"/>
      <c r="E501" s="2" t="s">
        <v>1075</v>
      </c>
      <c r="F501" s="7">
        <v>1999</v>
      </c>
      <c r="G501" s="2" t="s">
        <v>662</v>
      </c>
      <c r="H501" s="2" t="s">
        <v>820</v>
      </c>
    </row>
    <row r="502" spans="1:8" s="14" customFormat="1" x14ac:dyDescent="0.25">
      <c r="A502" s="1"/>
      <c r="B502" s="6" t="s">
        <v>2429</v>
      </c>
      <c r="C502" s="1" t="s">
        <v>2426</v>
      </c>
      <c r="D502" s="1" t="s">
        <v>1428</v>
      </c>
      <c r="E502" s="1" t="s">
        <v>1579</v>
      </c>
      <c r="F502" s="6">
        <v>2013</v>
      </c>
      <c r="G502" s="1" t="s">
        <v>2427</v>
      </c>
      <c r="H502" s="1" t="s">
        <v>2428</v>
      </c>
    </row>
    <row r="503" spans="1:8" x14ac:dyDescent="0.25">
      <c r="B503" s="6" t="s">
        <v>2704</v>
      </c>
      <c r="C503" s="1" t="s">
        <v>2701</v>
      </c>
      <c r="D503" s="1" t="s">
        <v>2702</v>
      </c>
      <c r="E503" s="2" t="s">
        <v>1075</v>
      </c>
      <c r="F503" s="1">
        <v>2001</v>
      </c>
      <c r="G503" s="1" t="s">
        <v>2703</v>
      </c>
      <c r="H503" s="1" t="s">
        <v>1577</v>
      </c>
    </row>
    <row r="504" spans="1:8" x14ac:dyDescent="0.25">
      <c r="B504" s="6" t="s">
        <v>2856</v>
      </c>
      <c r="C504" s="1" t="s">
        <v>2858</v>
      </c>
      <c r="D504" s="1" t="s">
        <v>2859</v>
      </c>
      <c r="E504" s="1" t="s">
        <v>2860</v>
      </c>
      <c r="F504" s="6">
        <v>2001</v>
      </c>
      <c r="G504" s="1" t="s">
        <v>2861</v>
      </c>
      <c r="H504" s="1" t="s">
        <v>1448</v>
      </c>
    </row>
    <row r="505" spans="1:8" x14ac:dyDescent="0.25">
      <c r="B505" s="6" t="s">
        <v>2857</v>
      </c>
      <c r="C505" s="1" t="s">
        <v>2862</v>
      </c>
      <c r="D505" s="1" t="s">
        <v>2863</v>
      </c>
      <c r="E505" s="1" t="s">
        <v>2860</v>
      </c>
      <c r="F505" s="6">
        <v>2008</v>
      </c>
      <c r="G505" s="1" t="s">
        <v>2864</v>
      </c>
      <c r="H505" s="1" t="s">
        <v>820</v>
      </c>
    </row>
    <row r="506" spans="1:8" x14ac:dyDescent="0.25">
      <c r="B506" s="6" t="s">
        <v>2976</v>
      </c>
      <c r="C506" s="1" t="s">
        <v>2977</v>
      </c>
      <c r="E506" s="2" t="s">
        <v>1075</v>
      </c>
      <c r="F506" s="6">
        <v>2015</v>
      </c>
      <c r="G506" s="1" t="s">
        <v>2978</v>
      </c>
      <c r="H506" s="1" t="s">
        <v>1759</v>
      </c>
    </row>
    <row r="507" spans="1:8" x14ac:dyDescent="0.25">
      <c r="B507" s="6" t="s">
        <v>3000</v>
      </c>
      <c r="C507" s="1" t="s">
        <v>3001</v>
      </c>
      <c r="E507" s="2" t="s">
        <v>1075</v>
      </c>
      <c r="F507" s="6">
        <v>2010</v>
      </c>
      <c r="G507" s="1" t="s">
        <v>2999</v>
      </c>
      <c r="H507" s="1" t="s">
        <v>820</v>
      </c>
    </row>
    <row r="508" spans="1:8" x14ac:dyDescent="0.25">
      <c r="B508" s="6" t="s">
        <v>3005</v>
      </c>
      <c r="C508" s="1" t="s">
        <v>3006</v>
      </c>
      <c r="E508" s="2" t="s">
        <v>3007</v>
      </c>
      <c r="F508" s="6">
        <v>2015</v>
      </c>
      <c r="G508" s="1" t="s">
        <v>3008</v>
      </c>
      <c r="H508" s="1" t="s">
        <v>3009</v>
      </c>
    </row>
    <row r="509" spans="1:8" x14ac:dyDescent="0.25">
      <c r="B509" s="7" t="s">
        <v>2592</v>
      </c>
      <c r="C509" s="2" t="s">
        <v>117</v>
      </c>
      <c r="D509" s="2" t="s">
        <v>115</v>
      </c>
      <c r="E509" s="2" t="s">
        <v>116</v>
      </c>
      <c r="F509" s="7">
        <v>2004</v>
      </c>
      <c r="G509" s="2" t="s">
        <v>118</v>
      </c>
      <c r="H509" s="2" t="s">
        <v>1428</v>
      </c>
    </row>
    <row r="510" spans="1:8" x14ac:dyDescent="0.25">
      <c r="B510" s="7" t="s">
        <v>2593</v>
      </c>
      <c r="C510" s="2" t="s">
        <v>2883</v>
      </c>
      <c r="D510" s="2" t="s">
        <v>115</v>
      </c>
      <c r="E510" s="2" t="s">
        <v>116</v>
      </c>
      <c r="F510" s="7">
        <v>2000</v>
      </c>
      <c r="G510" s="2" t="s">
        <v>119</v>
      </c>
      <c r="H510" s="2" t="s">
        <v>120</v>
      </c>
    </row>
    <row r="511" spans="1:8" x14ac:dyDescent="0.25">
      <c r="B511" s="7" t="s">
        <v>2594</v>
      </c>
      <c r="C511" s="2" t="s">
        <v>121</v>
      </c>
      <c r="D511" s="2" t="s">
        <v>115</v>
      </c>
      <c r="E511" s="2" t="s">
        <v>116</v>
      </c>
      <c r="F511" s="7">
        <v>2004</v>
      </c>
      <c r="G511" s="2" t="s">
        <v>122</v>
      </c>
      <c r="H511" s="2" t="s">
        <v>1428</v>
      </c>
    </row>
    <row r="512" spans="1:8" x14ac:dyDescent="0.25">
      <c r="B512" s="7" t="s">
        <v>2595</v>
      </c>
      <c r="C512" s="2" t="s">
        <v>123</v>
      </c>
      <c r="D512" s="2" t="s">
        <v>115</v>
      </c>
      <c r="E512" s="2" t="s">
        <v>116</v>
      </c>
      <c r="F512" s="7">
        <v>1997</v>
      </c>
      <c r="G512" s="2" t="s">
        <v>124</v>
      </c>
      <c r="H512" s="2" t="s">
        <v>1214</v>
      </c>
    </row>
    <row r="513" spans="2:8" x14ac:dyDescent="0.25">
      <c r="B513" s="7" t="s">
        <v>2596</v>
      </c>
      <c r="C513" s="2" t="s">
        <v>1232</v>
      </c>
      <c r="D513" s="2" t="s">
        <v>115</v>
      </c>
      <c r="E513" s="2" t="s">
        <v>1233</v>
      </c>
      <c r="F513" s="7">
        <v>2003</v>
      </c>
      <c r="G513" s="2" t="s">
        <v>1234</v>
      </c>
      <c r="H513" s="2" t="s">
        <v>1235</v>
      </c>
    </row>
    <row r="514" spans="2:8" x14ac:dyDescent="0.25">
      <c r="B514" s="7" t="s">
        <v>2898</v>
      </c>
      <c r="C514" s="1" t="s">
        <v>2899</v>
      </c>
      <c r="D514" s="1" t="s">
        <v>1061</v>
      </c>
      <c r="E514" s="1" t="s">
        <v>2900</v>
      </c>
      <c r="F514" s="6">
        <v>2014</v>
      </c>
      <c r="G514" s="1" t="s">
        <v>2901</v>
      </c>
      <c r="H514" s="1" t="s">
        <v>2892</v>
      </c>
    </row>
    <row r="515" spans="2:8" x14ac:dyDescent="0.25">
      <c r="B515" s="7" t="s">
        <v>3029</v>
      </c>
      <c r="C515" s="1" t="s">
        <v>3030</v>
      </c>
      <c r="D515" s="1" t="s">
        <v>3031</v>
      </c>
      <c r="E515" s="1" t="s">
        <v>3032</v>
      </c>
      <c r="F515" s="6">
        <v>2016</v>
      </c>
      <c r="G515" s="1" t="s">
        <v>2763</v>
      </c>
      <c r="H515" s="1" t="s">
        <v>3018</v>
      </c>
    </row>
    <row r="516" spans="2:8" x14ac:dyDescent="0.25">
      <c r="B516" s="7" t="s">
        <v>3068</v>
      </c>
      <c r="C516" s="1" t="s">
        <v>3069</v>
      </c>
      <c r="D516"/>
      <c r="E516" s="1" t="s">
        <v>2900</v>
      </c>
      <c r="F516" s="6">
        <v>2016</v>
      </c>
      <c r="G516" s="1" t="s">
        <v>700</v>
      </c>
      <c r="H516" s="1" t="s">
        <v>820</v>
      </c>
    </row>
    <row r="517" spans="2:8" x14ac:dyDescent="0.25">
      <c r="B517" s="7" t="s">
        <v>2597</v>
      </c>
      <c r="C517" s="2" t="s">
        <v>1236</v>
      </c>
      <c r="D517" s="2"/>
      <c r="E517" s="2" t="s">
        <v>1237</v>
      </c>
      <c r="F517" s="7">
        <v>2006</v>
      </c>
      <c r="G517" s="2" t="s">
        <v>1238</v>
      </c>
      <c r="H517" s="2" t="s">
        <v>1428</v>
      </c>
    </row>
    <row r="518" spans="2:8" x14ac:dyDescent="0.25">
      <c r="B518" s="7" t="s">
        <v>2598</v>
      </c>
      <c r="C518" s="2" t="s">
        <v>1239</v>
      </c>
      <c r="D518" s="2"/>
      <c r="E518" s="2" t="s">
        <v>1237</v>
      </c>
      <c r="F518" s="7">
        <v>2005</v>
      </c>
      <c r="G518" s="2" t="s">
        <v>1240</v>
      </c>
      <c r="H518" s="2" t="s">
        <v>1428</v>
      </c>
    </row>
    <row r="519" spans="2:8" x14ac:dyDescent="0.25">
      <c r="B519" s="7" t="s">
        <v>2599</v>
      </c>
      <c r="C519" s="2" t="s">
        <v>1241</v>
      </c>
      <c r="D519" s="2"/>
      <c r="E519" s="2" t="s">
        <v>1237</v>
      </c>
      <c r="F519" s="7">
        <v>2005</v>
      </c>
      <c r="G519" s="2" t="s">
        <v>1242</v>
      </c>
      <c r="H519" s="2" t="s">
        <v>1428</v>
      </c>
    </row>
    <row r="520" spans="2:8" x14ac:dyDescent="0.25">
      <c r="B520" s="7" t="s">
        <v>2600</v>
      </c>
      <c r="C520" s="2" t="s">
        <v>1243</v>
      </c>
      <c r="D520" s="2"/>
      <c r="E520" s="2" t="s">
        <v>1237</v>
      </c>
      <c r="F520" s="7">
        <v>2005</v>
      </c>
      <c r="G520" s="2" t="s">
        <v>1244</v>
      </c>
      <c r="H520" s="2" t="s">
        <v>1428</v>
      </c>
    </row>
    <row r="521" spans="2:8" x14ac:dyDescent="0.25">
      <c r="B521" s="7" t="s">
        <v>2107</v>
      </c>
      <c r="C521" s="2" t="s">
        <v>393</v>
      </c>
      <c r="D521" s="2" t="s">
        <v>1247</v>
      </c>
      <c r="E521" s="2" t="s">
        <v>1245</v>
      </c>
      <c r="F521" s="7">
        <v>2001</v>
      </c>
      <c r="G521" s="2" t="s">
        <v>1248</v>
      </c>
      <c r="H521" s="2" t="s">
        <v>1204</v>
      </c>
    </row>
    <row r="522" spans="2:8" x14ac:dyDescent="0.25">
      <c r="B522" s="7" t="s">
        <v>2108</v>
      </c>
      <c r="C522" s="2" t="s">
        <v>1249</v>
      </c>
      <c r="D522" s="2" t="s">
        <v>1250</v>
      </c>
      <c r="E522" s="2" t="s">
        <v>1245</v>
      </c>
      <c r="F522" s="7">
        <v>2001</v>
      </c>
      <c r="G522" s="2" t="s">
        <v>136</v>
      </c>
      <c r="H522" s="2" t="s">
        <v>1428</v>
      </c>
    </row>
    <row r="523" spans="2:8" x14ac:dyDescent="0.25">
      <c r="B523" s="7" t="s">
        <v>2109</v>
      </c>
      <c r="C523" s="2" t="s">
        <v>1481</v>
      </c>
      <c r="D523" s="2" t="s">
        <v>1482</v>
      </c>
      <c r="E523" s="2" t="s">
        <v>1245</v>
      </c>
      <c r="F523" s="7">
        <v>2000</v>
      </c>
      <c r="G523" s="2" t="s">
        <v>985</v>
      </c>
      <c r="H523" s="2" t="s">
        <v>309</v>
      </c>
    </row>
    <row r="524" spans="2:8" x14ac:dyDescent="0.25">
      <c r="B524" s="7" t="s">
        <v>2110</v>
      </c>
      <c r="C524" s="2" t="s">
        <v>986</v>
      </c>
      <c r="D524" s="2" t="s">
        <v>2972</v>
      </c>
      <c r="E524" s="2" t="s">
        <v>1245</v>
      </c>
      <c r="F524" s="7">
        <v>1999</v>
      </c>
      <c r="G524" s="2" t="s">
        <v>987</v>
      </c>
      <c r="H524" s="2" t="s">
        <v>1214</v>
      </c>
    </row>
    <row r="525" spans="2:8" x14ac:dyDescent="0.25">
      <c r="B525" s="7" t="s">
        <v>2111</v>
      </c>
      <c r="C525" s="2" t="s">
        <v>676</v>
      </c>
      <c r="D525" s="2" t="s">
        <v>677</v>
      </c>
      <c r="E525" s="2" t="s">
        <v>1245</v>
      </c>
      <c r="F525" s="7">
        <v>1999</v>
      </c>
      <c r="G525" s="2" t="s">
        <v>678</v>
      </c>
      <c r="H525" s="2" t="s">
        <v>1214</v>
      </c>
    </row>
    <row r="526" spans="2:8" x14ac:dyDescent="0.25">
      <c r="B526" s="7" t="s">
        <v>2112</v>
      </c>
      <c r="C526" s="2" t="s">
        <v>679</v>
      </c>
      <c r="D526" s="2" t="s">
        <v>1349</v>
      </c>
      <c r="E526" s="2" t="s">
        <v>1245</v>
      </c>
      <c r="F526" s="7">
        <v>1999</v>
      </c>
      <c r="G526" s="2" t="s">
        <v>680</v>
      </c>
      <c r="H526" s="2" t="s">
        <v>1214</v>
      </c>
    </row>
    <row r="527" spans="2:8" x14ac:dyDescent="0.25">
      <c r="B527" s="7" t="s">
        <v>2113</v>
      </c>
      <c r="C527" s="2" t="s">
        <v>681</v>
      </c>
      <c r="D527" s="2" t="s">
        <v>1349</v>
      </c>
      <c r="E527" s="2" t="s">
        <v>1245</v>
      </c>
      <c r="F527" s="7">
        <v>2000</v>
      </c>
      <c r="G527" s="2" t="s">
        <v>1350</v>
      </c>
      <c r="H527" s="2" t="s">
        <v>1351</v>
      </c>
    </row>
    <row r="528" spans="2:8" x14ac:dyDescent="0.25">
      <c r="B528" s="7" t="s">
        <v>2114</v>
      </c>
      <c r="C528" s="2" t="s">
        <v>682</v>
      </c>
      <c r="D528" s="2"/>
      <c r="E528" s="2" t="s">
        <v>1245</v>
      </c>
      <c r="F528" s="7">
        <v>2001</v>
      </c>
      <c r="G528" s="2" t="s">
        <v>683</v>
      </c>
      <c r="H528" s="2" t="s">
        <v>306</v>
      </c>
    </row>
    <row r="529" spans="2:8" x14ac:dyDescent="0.25">
      <c r="B529" s="7" t="s">
        <v>2115</v>
      </c>
      <c r="C529" s="2" t="s">
        <v>684</v>
      </c>
      <c r="D529" s="2"/>
      <c r="E529" s="2" t="s">
        <v>1245</v>
      </c>
      <c r="F529" s="7">
        <v>2000</v>
      </c>
      <c r="G529" s="2" t="s">
        <v>685</v>
      </c>
      <c r="H529" s="2" t="s">
        <v>1214</v>
      </c>
    </row>
    <row r="530" spans="2:8" x14ac:dyDescent="0.25">
      <c r="B530" s="7" t="s">
        <v>2116</v>
      </c>
      <c r="C530" s="2" t="s">
        <v>686</v>
      </c>
      <c r="D530" s="2" t="s">
        <v>687</v>
      </c>
      <c r="E530" s="2" t="s">
        <v>1245</v>
      </c>
      <c r="F530" s="7">
        <v>2003</v>
      </c>
      <c r="G530" s="2" t="s">
        <v>43</v>
      </c>
      <c r="H530" s="2" t="s">
        <v>1428</v>
      </c>
    </row>
    <row r="531" spans="2:8" x14ac:dyDescent="0.25">
      <c r="B531" s="7" t="s">
        <v>2117</v>
      </c>
      <c r="C531" s="2" t="s">
        <v>44</v>
      </c>
      <c r="D531" s="2" t="s">
        <v>45</v>
      </c>
      <c r="E531" s="2" t="s">
        <v>1245</v>
      </c>
      <c r="F531" s="7">
        <v>2004</v>
      </c>
      <c r="G531" s="2" t="s">
        <v>43</v>
      </c>
      <c r="H531" s="2" t="s">
        <v>1428</v>
      </c>
    </row>
    <row r="532" spans="2:8" x14ac:dyDescent="0.25">
      <c r="B532" s="6" t="s">
        <v>2118</v>
      </c>
      <c r="C532" s="1" t="s">
        <v>46</v>
      </c>
      <c r="D532" s="1" t="s">
        <v>47</v>
      </c>
      <c r="E532" s="1" t="s">
        <v>1245</v>
      </c>
      <c r="F532" s="6">
        <v>2005</v>
      </c>
      <c r="G532" s="1" t="s">
        <v>48</v>
      </c>
      <c r="H532" s="1" t="s">
        <v>1428</v>
      </c>
    </row>
    <row r="533" spans="2:8" x14ac:dyDescent="0.25">
      <c r="B533" s="7" t="s">
        <v>2119</v>
      </c>
      <c r="C533" s="2" t="s">
        <v>125</v>
      </c>
      <c r="D533" s="2" t="s">
        <v>126</v>
      </c>
      <c r="E533" s="2" t="s">
        <v>1245</v>
      </c>
      <c r="F533" s="7">
        <v>2004</v>
      </c>
      <c r="G533" s="2" t="s">
        <v>127</v>
      </c>
      <c r="H533" s="2" t="s">
        <v>820</v>
      </c>
    </row>
    <row r="534" spans="2:8" x14ac:dyDescent="0.25">
      <c r="B534" s="7" t="s">
        <v>2120</v>
      </c>
      <c r="C534" s="2" t="s">
        <v>1524</v>
      </c>
      <c r="D534" s="2"/>
      <c r="E534" s="2" t="s">
        <v>1245</v>
      </c>
      <c r="F534" s="7">
        <v>2001</v>
      </c>
      <c r="G534" s="2" t="s">
        <v>1525</v>
      </c>
      <c r="H534" s="2" t="s">
        <v>888</v>
      </c>
    </row>
    <row r="535" spans="2:8" x14ac:dyDescent="0.25">
      <c r="B535" s="7" t="s">
        <v>2121</v>
      </c>
      <c r="C535" s="2" t="s">
        <v>50</v>
      </c>
      <c r="D535" s="2"/>
      <c r="E535" s="2" t="s">
        <v>1245</v>
      </c>
      <c r="F535" s="7">
        <v>2003</v>
      </c>
      <c r="G535" s="2" t="s">
        <v>957</v>
      </c>
      <c r="H535" s="2" t="s">
        <v>823</v>
      </c>
    </row>
    <row r="536" spans="2:8" x14ac:dyDescent="0.25">
      <c r="B536" s="7" t="s">
        <v>2122</v>
      </c>
      <c r="C536" s="2" t="s">
        <v>1334</v>
      </c>
      <c r="D536" s="2"/>
      <c r="E536" s="2" t="s">
        <v>1245</v>
      </c>
      <c r="F536" s="7">
        <v>2000</v>
      </c>
      <c r="G536" s="2" t="s">
        <v>1335</v>
      </c>
      <c r="H536" s="2" t="s">
        <v>1422</v>
      </c>
    </row>
    <row r="537" spans="2:8" x14ac:dyDescent="0.25">
      <c r="B537" s="6" t="s">
        <v>2123</v>
      </c>
      <c r="C537" s="1" t="s">
        <v>1170</v>
      </c>
      <c r="E537" s="1" t="s">
        <v>1245</v>
      </c>
      <c r="F537" s="6">
        <v>2006</v>
      </c>
      <c r="G537" s="1" t="s">
        <v>1171</v>
      </c>
      <c r="H537" s="1" t="s">
        <v>1172</v>
      </c>
    </row>
    <row r="538" spans="2:8" x14ac:dyDescent="0.25">
      <c r="B538" s="6" t="s">
        <v>2124</v>
      </c>
      <c r="C538" s="1" t="s">
        <v>1173</v>
      </c>
      <c r="D538" s="1" t="s">
        <v>142</v>
      </c>
      <c r="E538" s="2" t="s">
        <v>1245</v>
      </c>
      <c r="F538" s="6">
        <v>1999</v>
      </c>
      <c r="G538" s="1" t="s">
        <v>1174</v>
      </c>
      <c r="H538" s="1" t="s">
        <v>1214</v>
      </c>
    </row>
    <row r="539" spans="2:8" x14ac:dyDescent="0.25">
      <c r="B539" s="7" t="s">
        <v>2125</v>
      </c>
      <c r="C539" s="2" t="s">
        <v>1175</v>
      </c>
      <c r="D539" s="2" t="s">
        <v>57</v>
      </c>
      <c r="E539" s="2" t="s">
        <v>1245</v>
      </c>
      <c r="F539" s="7">
        <v>1999</v>
      </c>
      <c r="G539" s="2"/>
      <c r="H539" s="2" t="s">
        <v>1246</v>
      </c>
    </row>
    <row r="540" spans="2:8" x14ac:dyDescent="0.25">
      <c r="B540" s="7" t="s">
        <v>2126</v>
      </c>
      <c r="C540" s="2" t="s">
        <v>58</v>
      </c>
      <c r="D540" s="2" t="s">
        <v>59</v>
      </c>
      <c r="E540" s="2" t="s">
        <v>1245</v>
      </c>
      <c r="F540" s="7">
        <v>1999</v>
      </c>
      <c r="G540" s="2"/>
      <c r="H540" s="2" t="s">
        <v>1246</v>
      </c>
    </row>
    <row r="541" spans="2:8" x14ac:dyDescent="0.25">
      <c r="B541" s="7" t="s">
        <v>2127</v>
      </c>
      <c r="C541" s="2" t="s">
        <v>60</v>
      </c>
      <c r="D541" s="2" t="s">
        <v>61</v>
      </c>
      <c r="E541" s="2" t="s">
        <v>1245</v>
      </c>
      <c r="F541" s="7">
        <v>2000</v>
      </c>
      <c r="G541" s="2"/>
      <c r="H541" s="2" t="s">
        <v>62</v>
      </c>
    </row>
    <row r="542" spans="2:8" x14ac:dyDescent="0.25">
      <c r="B542" s="7" t="s">
        <v>2128</v>
      </c>
      <c r="C542" s="2" t="s">
        <v>63</v>
      </c>
      <c r="D542" s="2" t="s">
        <v>47</v>
      </c>
      <c r="E542" s="2" t="s">
        <v>1245</v>
      </c>
      <c r="F542" s="7">
        <v>2001</v>
      </c>
      <c r="G542" s="2" t="s">
        <v>64</v>
      </c>
      <c r="H542" s="2" t="s">
        <v>901</v>
      </c>
    </row>
    <row r="543" spans="2:8" x14ac:dyDescent="0.25">
      <c r="B543" s="7" t="s">
        <v>2129</v>
      </c>
      <c r="C543" s="2" t="s">
        <v>65</v>
      </c>
      <c r="D543" s="2" t="s">
        <v>66</v>
      </c>
      <c r="E543" s="2" t="s">
        <v>1245</v>
      </c>
      <c r="F543" s="7">
        <v>2002</v>
      </c>
      <c r="G543" s="2" t="s">
        <v>67</v>
      </c>
      <c r="H543" s="2" t="s">
        <v>820</v>
      </c>
    </row>
    <row r="544" spans="2:8" x14ac:dyDescent="0.25">
      <c r="B544" s="7" t="s">
        <v>2130</v>
      </c>
      <c r="C544" s="2" t="s">
        <v>68</v>
      </c>
      <c r="D544" s="2" t="s">
        <v>69</v>
      </c>
      <c r="E544" s="2" t="s">
        <v>1245</v>
      </c>
      <c r="F544" s="7">
        <v>2006</v>
      </c>
      <c r="G544" s="2" t="s">
        <v>70</v>
      </c>
      <c r="H544" s="2" t="s">
        <v>820</v>
      </c>
    </row>
    <row r="545" spans="2:8" x14ac:dyDescent="0.25">
      <c r="B545" s="7" t="s">
        <v>2131</v>
      </c>
      <c r="C545" s="2" t="s">
        <v>71</v>
      </c>
      <c r="D545" s="2" t="s">
        <v>47</v>
      </c>
      <c r="E545" s="2" t="s">
        <v>1245</v>
      </c>
      <c r="F545" s="7">
        <v>2004</v>
      </c>
      <c r="G545" s="2" t="s">
        <v>72</v>
      </c>
      <c r="H545" s="2" t="s">
        <v>1214</v>
      </c>
    </row>
    <row r="546" spans="2:8" x14ac:dyDescent="0.25">
      <c r="B546" s="7" t="s">
        <v>2132</v>
      </c>
      <c r="C546" s="2" t="s">
        <v>73</v>
      </c>
      <c r="D546" s="2" t="s">
        <v>47</v>
      </c>
      <c r="E546" s="2" t="s">
        <v>1245</v>
      </c>
      <c r="F546" s="7">
        <v>2003</v>
      </c>
      <c r="G546" s="2" t="s">
        <v>74</v>
      </c>
      <c r="H546" s="2" t="s">
        <v>1428</v>
      </c>
    </row>
    <row r="547" spans="2:8" x14ac:dyDescent="0.25">
      <c r="B547" s="7" t="s">
        <v>2133</v>
      </c>
      <c r="C547" s="2" t="s">
        <v>75</v>
      </c>
      <c r="D547" s="2" t="s">
        <v>135</v>
      </c>
      <c r="E547" s="2" t="s">
        <v>1245</v>
      </c>
      <c r="F547" s="7">
        <v>2003</v>
      </c>
      <c r="G547" s="2" t="s">
        <v>735</v>
      </c>
      <c r="H547" s="2" t="s">
        <v>582</v>
      </c>
    </row>
    <row r="548" spans="2:8" x14ac:dyDescent="0.25">
      <c r="B548" s="7" t="s">
        <v>2134</v>
      </c>
      <c r="C548" s="2" t="s">
        <v>737</v>
      </c>
      <c r="D548" s="2" t="s">
        <v>135</v>
      </c>
      <c r="E548" s="2" t="s">
        <v>1245</v>
      </c>
      <c r="F548" s="7">
        <v>2004</v>
      </c>
      <c r="G548" s="2" t="s">
        <v>738</v>
      </c>
      <c r="H548" s="2" t="s">
        <v>582</v>
      </c>
    </row>
    <row r="549" spans="2:8" x14ac:dyDescent="0.25">
      <c r="B549" s="7" t="s">
        <v>2135</v>
      </c>
      <c r="C549" s="2" t="s">
        <v>739</v>
      </c>
      <c r="D549" s="2" t="s">
        <v>740</v>
      </c>
      <c r="E549" s="2" t="s">
        <v>1245</v>
      </c>
      <c r="F549" s="7">
        <v>2004</v>
      </c>
      <c r="G549" s="2" t="s">
        <v>741</v>
      </c>
      <c r="H549" s="2" t="s">
        <v>177</v>
      </c>
    </row>
    <row r="550" spans="2:8" x14ac:dyDescent="0.25">
      <c r="B550" s="7" t="s">
        <v>2136</v>
      </c>
      <c r="C550" s="2" t="s">
        <v>394</v>
      </c>
      <c r="D550" s="2" t="s">
        <v>740</v>
      </c>
      <c r="E550" s="2" t="s">
        <v>1245</v>
      </c>
      <c r="F550" s="7">
        <v>2004</v>
      </c>
      <c r="G550" s="2"/>
      <c r="H550" s="2" t="s">
        <v>736</v>
      </c>
    </row>
    <row r="551" spans="2:8" x14ac:dyDescent="0.25">
      <c r="B551" s="7" t="s">
        <v>2137</v>
      </c>
      <c r="C551" s="2" t="s">
        <v>583</v>
      </c>
      <c r="D551" s="2" t="s">
        <v>742</v>
      </c>
      <c r="E551" s="2" t="s">
        <v>1245</v>
      </c>
      <c r="F551" s="7">
        <v>2003</v>
      </c>
      <c r="G551" s="2" t="s">
        <v>743</v>
      </c>
      <c r="H551" s="2" t="s">
        <v>177</v>
      </c>
    </row>
    <row r="552" spans="2:8" x14ac:dyDescent="0.25">
      <c r="B552" s="7" t="s">
        <v>2138</v>
      </c>
      <c r="C552" s="2" t="s">
        <v>584</v>
      </c>
      <c r="D552" s="2" t="s">
        <v>742</v>
      </c>
      <c r="E552" s="2" t="s">
        <v>1245</v>
      </c>
      <c r="F552" s="7">
        <v>2003</v>
      </c>
      <c r="G552" s="2" t="s">
        <v>744</v>
      </c>
      <c r="H552" s="2" t="s">
        <v>736</v>
      </c>
    </row>
    <row r="553" spans="2:8" x14ac:dyDescent="0.25">
      <c r="B553" s="7" t="s">
        <v>2139</v>
      </c>
      <c r="C553" s="2" t="s">
        <v>585</v>
      </c>
      <c r="D553" s="2" t="s">
        <v>742</v>
      </c>
      <c r="E553" s="2" t="s">
        <v>1245</v>
      </c>
      <c r="F553" s="7">
        <v>2001</v>
      </c>
      <c r="G553" s="2" t="s">
        <v>745</v>
      </c>
      <c r="H553" s="2" t="s">
        <v>736</v>
      </c>
    </row>
    <row r="554" spans="2:8" x14ac:dyDescent="0.25">
      <c r="B554" s="7" t="s">
        <v>2140</v>
      </c>
      <c r="C554" s="2" t="s">
        <v>586</v>
      </c>
      <c r="D554" s="2" t="s">
        <v>742</v>
      </c>
      <c r="E554" s="2" t="s">
        <v>1245</v>
      </c>
      <c r="F554" s="7">
        <v>2003</v>
      </c>
      <c r="G554" s="2" t="s">
        <v>744</v>
      </c>
      <c r="H554" s="2" t="s">
        <v>736</v>
      </c>
    </row>
    <row r="555" spans="2:8" x14ac:dyDescent="0.25">
      <c r="B555" s="7" t="s">
        <v>2141</v>
      </c>
      <c r="C555" s="2" t="s">
        <v>587</v>
      </c>
      <c r="D555" s="2" t="s">
        <v>742</v>
      </c>
      <c r="E555" s="2" t="s">
        <v>1245</v>
      </c>
      <c r="F555" s="7">
        <v>2003</v>
      </c>
      <c r="G555" s="2" t="s">
        <v>746</v>
      </c>
      <c r="H555" s="2" t="s">
        <v>747</v>
      </c>
    </row>
    <row r="556" spans="2:8" x14ac:dyDescent="0.25">
      <c r="B556" s="7" t="s">
        <v>2142</v>
      </c>
      <c r="C556" s="2" t="s">
        <v>588</v>
      </c>
      <c r="D556" s="2" t="s">
        <v>742</v>
      </c>
      <c r="E556" s="2" t="s">
        <v>1245</v>
      </c>
      <c r="F556" s="7">
        <v>2003</v>
      </c>
      <c r="G556" s="2" t="s">
        <v>748</v>
      </c>
      <c r="H556" s="2" t="s">
        <v>177</v>
      </c>
    </row>
    <row r="557" spans="2:8" x14ac:dyDescent="0.25">
      <c r="B557" s="7" t="s">
        <v>2143</v>
      </c>
      <c r="C557" s="2" t="s">
        <v>749</v>
      </c>
      <c r="D557" s="2" t="s">
        <v>750</v>
      </c>
      <c r="E557" s="2" t="s">
        <v>1245</v>
      </c>
      <c r="F557" s="7">
        <v>2004</v>
      </c>
      <c r="G557" s="2" t="s">
        <v>751</v>
      </c>
      <c r="H557" s="2" t="s">
        <v>752</v>
      </c>
    </row>
    <row r="558" spans="2:8" x14ac:dyDescent="0.25">
      <c r="B558" s="7" t="s">
        <v>2144</v>
      </c>
      <c r="C558" s="2" t="s">
        <v>753</v>
      </c>
      <c r="D558" s="2" t="s">
        <v>750</v>
      </c>
      <c r="E558" s="2" t="s">
        <v>1245</v>
      </c>
      <c r="F558" s="7">
        <v>2003</v>
      </c>
      <c r="G558" s="2" t="s">
        <v>754</v>
      </c>
      <c r="H558" s="2" t="s">
        <v>1214</v>
      </c>
    </row>
    <row r="559" spans="2:8" x14ac:dyDescent="0.25">
      <c r="B559" s="7" t="s">
        <v>2145</v>
      </c>
      <c r="C559" s="2" t="s">
        <v>759</v>
      </c>
      <c r="D559" s="2" t="s">
        <v>760</v>
      </c>
      <c r="E559" s="2" t="s">
        <v>1245</v>
      </c>
      <c r="F559" s="7">
        <v>2001</v>
      </c>
      <c r="G559" s="2" t="s">
        <v>761</v>
      </c>
      <c r="H559" s="2" t="s">
        <v>1577</v>
      </c>
    </row>
    <row r="560" spans="2:8" x14ac:dyDescent="0.25">
      <c r="B560" s="6" t="s">
        <v>2146</v>
      </c>
      <c r="C560" s="1" t="s">
        <v>884</v>
      </c>
      <c r="D560" s="1" t="s">
        <v>885</v>
      </c>
      <c r="E560" s="1" t="s">
        <v>1245</v>
      </c>
      <c r="F560" s="6">
        <v>2007</v>
      </c>
      <c r="G560" s="1" t="s">
        <v>886</v>
      </c>
      <c r="H560" s="1" t="s">
        <v>1099</v>
      </c>
    </row>
    <row r="561" spans="2:9" x14ac:dyDescent="0.25">
      <c r="B561" s="6" t="s">
        <v>2147</v>
      </c>
      <c r="C561" s="1" t="s">
        <v>713</v>
      </c>
      <c r="D561" s="2" t="s">
        <v>1247</v>
      </c>
      <c r="E561" s="1" t="s">
        <v>1245</v>
      </c>
      <c r="F561" s="6">
        <v>2000</v>
      </c>
      <c r="G561" s="1" t="s">
        <v>714</v>
      </c>
      <c r="H561" s="2" t="s">
        <v>1117</v>
      </c>
    </row>
    <row r="562" spans="2:9" x14ac:dyDescent="0.25">
      <c r="B562" s="6" t="s">
        <v>2691</v>
      </c>
      <c r="C562" s="1" t="s">
        <v>1173</v>
      </c>
      <c r="D562" s="2" t="s">
        <v>142</v>
      </c>
      <c r="E562" s="1" t="s">
        <v>1245</v>
      </c>
      <c r="F562" s="6">
        <v>2000</v>
      </c>
      <c r="G562" s="1" t="s">
        <v>1174</v>
      </c>
      <c r="H562" s="2" t="s">
        <v>1214</v>
      </c>
    </row>
    <row r="563" spans="2:9" x14ac:dyDescent="0.25">
      <c r="B563" s="6" t="s">
        <v>2692</v>
      </c>
      <c r="C563" s="1" t="s">
        <v>2693</v>
      </c>
      <c r="D563" s="2" t="s">
        <v>1247</v>
      </c>
      <c r="E563" s="1" t="s">
        <v>1245</v>
      </c>
      <c r="F563" s="6">
        <v>2001</v>
      </c>
      <c r="G563" s="1" t="s">
        <v>680</v>
      </c>
      <c r="H563" s="2" t="s">
        <v>1214</v>
      </c>
    </row>
    <row r="564" spans="2:9" x14ac:dyDescent="0.25">
      <c r="B564" s="6" t="s">
        <v>3002</v>
      </c>
      <c r="C564" s="1" t="s">
        <v>3003</v>
      </c>
      <c r="D564" s="2" t="s">
        <v>142</v>
      </c>
      <c r="E564" s="1" t="s">
        <v>1245</v>
      </c>
      <c r="F564" s="6">
        <v>2010</v>
      </c>
      <c r="G564" s="1" t="s">
        <v>886</v>
      </c>
      <c r="H564" s="2" t="s">
        <v>3004</v>
      </c>
    </row>
    <row r="565" spans="2:9" x14ac:dyDescent="0.25">
      <c r="B565" s="6" t="s">
        <v>3087</v>
      </c>
      <c r="C565" s="1" t="s">
        <v>3088</v>
      </c>
      <c r="D565"/>
      <c r="E565"/>
      <c r="F565" s="6">
        <v>2007</v>
      </c>
      <c r="G565" s="1" t="s">
        <v>3089</v>
      </c>
      <c r="H565" s="1" t="s">
        <v>820</v>
      </c>
      <c r="I565"/>
    </row>
    <row r="566" spans="2:9" x14ac:dyDescent="0.25">
      <c r="B566" s="6" t="s">
        <v>2601</v>
      </c>
      <c r="C566" s="1" t="s">
        <v>573</v>
      </c>
      <c r="E566" s="1" t="s">
        <v>648</v>
      </c>
      <c r="F566" s="6">
        <v>1998</v>
      </c>
      <c r="G566" s="1" t="s">
        <v>762</v>
      </c>
      <c r="H566" s="1" t="s">
        <v>816</v>
      </c>
    </row>
    <row r="567" spans="2:9" x14ac:dyDescent="0.25">
      <c r="B567" s="6" t="s">
        <v>2148</v>
      </c>
      <c r="C567" s="1" t="s">
        <v>146</v>
      </c>
      <c r="E567" s="1" t="s">
        <v>648</v>
      </c>
      <c r="F567" s="6">
        <v>1999</v>
      </c>
      <c r="G567" s="1" t="s">
        <v>211</v>
      </c>
      <c r="H567" s="1" t="s">
        <v>816</v>
      </c>
    </row>
    <row r="568" spans="2:9" x14ac:dyDescent="0.25">
      <c r="B568" s="7" t="s">
        <v>2149</v>
      </c>
      <c r="C568" s="2" t="s">
        <v>395</v>
      </c>
      <c r="D568" s="2" t="s">
        <v>212</v>
      </c>
      <c r="E568" s="2" t="s">
        <v>648</v>
      </c>
      <c r="F568" s="7">
        <v>2000</v>
      </c>
      <c r="G568" s="2" t="s">
        <v>213</v>
      </c>
      <c r="H568" s="2" t="s">
        <v>1219</v>
      </c>
    </row>
    <row r="569" spans="2:9" x14ac:dyDescent="0.25">
      <c r="B569" s="7" t="s">
        <v>2150</v>
      </c>
      <c r="C569" s="2" t="s">
        <v>214</v>
      </c>
      <c r="D569" s="2" t="s">
        <v>212</v>
      </c>
      <c r="E569" s="2" t="s">
        <v>648</v>
      </c>
      <c r="F569" s="7">
        <v>2000</v>
      </c>
      <c r="G569" s="2" t="s">
        <v>1288</v>
      </c>
      <c r="H569" s="2" t="s">
        <v>1219</v>
      </c>
    </row>
    <row r="570" spans="2:9" x14ac:dyDescent="0.25">
      <c r="B570" s="7" t="s">
        <v>2151</v>
      </c>
      <c r="C570" s="2" t="s">
        <v>1289</v>
      </c>
      <c r="D570" s="2"/>
      <c r="E570" s="2" t="s">
        <v>648</v>
      </c>
      <c r="F570" s="7">
        <v>1998</v>
      </c>
      <c r="G570" s="2" t="s">
        <v>1290</v>
      </c>
      <c r="H570" s="2" t="s">
        <v>1291</v>
      </c>
    </row>
    <row r="571" spans="2:9" x14ac:dyDescent="0.25">
      <c r="B571" s="7" t="s">
        <v>2152</v>
      </c>
      <c r="C571" s="2" t="s">
        <v>598</v>
      </c>
      <c r="D571" s="2"/>
      <c r="E571" s="2" t="s">
        <v>648</v>
      </c>
      <c r="F571" s="7">
        <v>2000</v>
      </c>
      <c r="G571" s="2"/>
      <c r="H571" s="2" t="s">
        <v>202</v>
      </c>
    </row>
    <row r="572" spans="2:9" x14ac:dyDescent="0.25">
      <c r="B572" s="6" t="s">
        <v>2153</v>
      </c>
      <c r="C572" s="1" t="s">
        <v>1292</v>
      </c>
      <c r="D572" s="1" t="s">
        <v>1293</v>
      </c>
      <c r="E572" s="1" t="s">
        <v>648</v>
      </c>
      <c r="F572" s="6">
        <v>1999</v>
      </c>
      <c r="G572" s="1" t="s">
        <v>1294</v>
      </c>
      <c r="H572" s="1" t="s">
        <v>310</v>
      </c>
    </row>
    <row r="573" spans="2:9" x14ac:dyDescent="0.25">
      <c r="B573" s="7" t="s">
        <v>2154</v>
      </c>
      <c r="C573" s="2" t="s">
        <v>1295</v>
      </c>
      <c r="D573" s="2"/>
      <c r="E573" s="2" t="s">
        <v>648</v>
      </c>
      <c r="F573" s="7">
        <v>2000</v>
      </c>
      <c r="G573" s="2" t="s">
        <v>396</v>
      </c>
      <c r="H573" s="2" t="s">
        <v>1296</v>
      </c>
    </row>
    <row r="574" spans="2:9" x14ac:dyDescent="0.25">
      <c r="B574" s="7" t="s">
        <v>2155</v>
      </c>
      <c r="C574" s="2" t="s">
        <v>594</v>
      </c>
      <c r="D574" s="2"/>
      <c r="E574" s="2" t="s">
        <v>648</v>
      </c>
      <c r="F574" s="7">
        <v>2003</v>
      </c>
      <c r="G574" s="2" t="s">
        <v>597</v>
      </c>
      <c r="H574" s="2" t="s">
        <v>1422</v>
      </c>
    </row>
    <row r="575" spans="2:9" x14ac:dyDescent="0.25">
      <c r="B575" s="7" t="s">
        <v>2156</v>
      </c>
      <c r="C575" s="2" t="s">
        <v>596</v>
      </c>
      <c r="D575" s="2"/>
      <c r="E575" s="2" t="s">
        <v>648</v>
      </c>
      <c r="F575" s="7">
        <v>2000</v>
      </c>
      <c r="G575" s="2"/>
      <c r="H575" s="2" t="s">
        <v>202</v>
      </c>
    </row>
    <row r="576" spans="2:9" x14ac:dyDescent="0.25">
      <c r="B576" s="7" t="s">
        <v>2157</v>
      </c>
      <c r="C576" s="2" t="s">
        <v>1297</v>
      </c>
      <c r="D576" s="2" t="s">
        <v>212</v>
      </c>
      <c r="E576" s="2" t="s">
        <v>648</v>
      </c>
      <c r="F576" s="7">
        <v>2000</v>
      </c>
      <c r="G576" s="2" t="s">
        <v>766</v>
      </c>
      <c r="H576" s="2" t="s">
        <v>1204</v>
      </c>
    </row>
    <row r="577" spans="2:8" x14ac:dyDescent="0.25">
      <c r="B577" s="7" t="s">
        <v>2158</v>
      </c>
      <c r="C577" s="2" t="s">
        <v>1298</v>
      </c>
      <c r="D577" s="2" t="s">
        <v>212</v>
      </c>
      <c r="E577" s="2" t="s">
        <v>648</v>
      </c>
      <c r="F577" s="7">
        <v>2000</v>
      </c>
      <c r="G577" s="2" t="s">
        <v>766</v>
      </c>
      <c r="H577" s="2" t="s">
        <v>1204</v>
      </c>
    </row>
    <row r="578" spans="2:8" x14ac:dyDescent="0.25">
      <c r="B578" s="7" t="s">
        <v>2159</v>
      </c>
      <c r="C578" s="1" t="s">
        <v>1299</v>
      </c>
      <c r="E578" s="2" t="s">
        <v>648</v>
      </c>
      <c r="F578" s="6">
        <v>1998</v>
      </c>
      <c r="G578" s="1" t="s">
        <v>1311</v>
      </c>
      <c r="H578" s="1" t="s">
        <v>1253</v>
      </c>
    </row>
    <row r="579" spans="2:8" x14ac:dyDescent="0.25">
      <c r="B579" s="7" t="s">
        <v>2160</v>
      </c>
      <c r="C579" s="2" t="s">
        <v>1300</v>
      </c>
      <c r="D579" s="2"/>
      <c r="E579" s="2" t="s">
        <v>1256</v>
      </c>
      <c r="F579" s="7">
        <v>2000</v>
      </c>
      <c r="G579" s="2" t="s">
        <v>397</v>
      </c>
      <c r="H579" s="2" t="s">
        <v>816</v>
      </c>
    </row>
    <row r="580" spans="2:8" x14ac:dyDescent="0.25">
      <c r="B580" s="7" t="s">
        <v>2161</v>
      </c>
      <c r="C580" s="2" t="s">
        <v>1301</v>
      </c>
      <c r="D580" s="2"/>
      <c r="E580" s="1" t="s">
        <v>1256</v>
      </c>
      <c r="F580" s="7">
        <v>1998</v>
      </c>
      <c r="G580" s="2" t="s">
        <v>1302</v>
      </c>
      <c r="H580" s="2" t="s">
        <v>888</v>
      </c>
    </row>
    <row r="581" spans="2:8" x14ac:dyDescent="0.25">
      <c r="B581" s="7" t="s">
        <v>2448</v>
      </c>
      <c r="C581" s="2" t="s">
        <v>2449</v>
      </c>
      <c r="D581" s="2"/>
      <c r="F581" s="7">
        <v>2000</v>
      </c>
      <c r="G581" s="2"/>
      <c r="H581" s="2" t="s">
        <v>1204</v>
      </c>
    </row>
    <row r="582" spans="2:8" x14ac:dyDescent="0.25">
      <c r="B582" s="7" t="s">
        <v>2162</v>
      </c>
      <c r="C582" s="2" t="s">
        <v>1645</v>
      </c>
      <c r="D582" s="2" t="s">
        <v>1646</v>
      </c>
      <c r="E582" s="2" t="s">
        <v>648</v>
      </c>
      <c r="F582" s="7">
        <v>1999</v>
      </c>
      <c r="G582" s="2" t="s">
        <v>1647</v>
      </c>
      <c r="H582" s="2" t="s">
        <v>1448</v>
      </c>
    </row>
    <row r="583" spans="2:8" x14ac:dyDescent="0.25">
      <c r="B583" s="7" t="s">
        <v>2163</v>
      </c>
      <c r="C583" s="2" t="s">
        <v>620</v>
      </c>
      <c r="D583" s="2" t="s">
        <v>1646</v>
      </c>
      <c r="E583" s="2" t="s">
        <v>648</v>
      </c>
      <c r="F583" s="7">
        <v>1999</v>
      </c>
      <c r="G583" s="2" t="s">
        <v>1648</v>
      </c>
      <c r="H583" s="2" t="s">
        <v>1448</v>
      </c>
    </row>
    <row r="584" spans="2:8" x14ac:dyDescent="0.25">
      <c r="B584" s="7" t="s">
        <v>2164</v>
      </c>
      <c r="C584" s="2" t="s">
        <v>1649</v>
      </c>
      <c r="D584" s="2" t="s">
        <v>1646</v>
      </c>
      <c r="E584" s="2" t="s">
        <v>648</v>
      </c>
      <c r="F584" s="7">
        <v>1999</v>
      </c>
      <c r="G584" s="2" t="s">
        <v>1650</v>
      </c>
      <c r="H584" s="2" t="s">
        <v>177</v>
      </c>
    </row>
    <row r="585" spans="2:8" x14ac:dyDescent="0.25">
      <c r="B585" s="7" t="s">
        <v>2165</v>
      </c>
      <c r="C585" s="2" t="s">
        <v>1651</v>
      </c>
      <c r="D585" s="2" t="s">
        <v>1646</v>
      </c>
      <c r="E585" s="2" t="s">
        <v>648</v>
      </c>
      <c r="F585" s="7">
        <v>2000</v>
      </c>
      <c r="G585" s="2" t="s">
        <v>1652</v>
      </c>
      <c r="H585" s="2" t="s">
        <v>1529</v>
      </c>
    </row>
    <row r="586" spans="2:8" x14ac:dyDescent="0.25">
      <c r="B586" s="7" t="s">
        <v>2166</v>
      </c>
      <c r="C586" s="2" t="s">
        <v>1653</v>
      </c>
      <c r="D586" s="2" t="s">
        <v>1646</v>
      </c>
      <c r="E586" s="2" t="s">
        <v>648</v>
      </c>
      <c r="F586" s="7">
        <v>1997</v>
      </c>
      <c r="G586" s="2" t="s">
        <v>766</v>
      </c>
      <c r="H586" s="2" t="s">
        <v>1448</v>
      </c>
    </row>
    <row r="587" spans="2:8" x14ac:dyDescent="0.25">
      <c r="B587" s="7" t="s">
        <v>2167</v>
      </c>
      <c r="C587" s="2" t="s">
        <v>1654</v>
      </c>
      <c r="D587" s="2" t="s">
        <v>1646</v>
      </c>
      <c r="E587" s="2" t="s">
        <v>648</v>
      </c>
      <c r="F587" s="7">
        <v>1998</v>
      </c>
      <c r="G587" s="2" t="s">
        <v>766</v>
      </c>
      <c r="H587" s="2" t="s">
        <v>1448</v>
      </c>
    </row>
    <row r="588" spans="2:8" x14ac:dyDescent="0.25">
      <c r="B588" s="7" t="s">
        <v>2168</v>
      </c>
      <c r="C588" s="2" t="s">
        <v>1655</v>
      </c>
      <c r="D588" s="2" t="s">
        <v>1656</v>
      </c>
      <c r="E588" s="2" t="s">
        <v>648</v>
      </c>
      <c r="F588" s="7">
        <v>1998</v>
      </c>
      <c r="G588" s="2" t="s">
        <v>766</v>
      </c>
      <c r="H588" s="2" t="s">
        <v>1448</v>
      </c>
    </row>
    <row r="589" spans="2:8" x14ac:dyDescent="0.25">
      <c r="B589" s="7" t="s">
        <v>2169</v>
      </c>
      <c r="C589" s="2" t="s">
        <v>1657</v>
      </c>
      <c r="D589" s="2" t="s">
        <v>1646</v>
      </c>
      <c r="E589" s="2" t="s">
        <v>648</v>
      </c>
      <c r="F589" s="7">
        <v>1998</v>
      </c>
      <c r="G589" s="2" t="s">
        <v>1658</v>
      </c>
      <c r="H589" s="2" t="s">
        <v>816</v>
      </c>
    </row>
    <row r="590" spans="2:8" x14ac:dyDescent="0.25">
      <c r="B590" s="7" t="s">
        <v>2170</v>
      </c>
      <c r="C590" s="2" t="s">
        <v>1659</v>
      </c>
      <c r="D590" s="2" t="s">
        <v>1141</v>
      </c>
      <c r="E590" s="2" t="s">
        <v>648</v>
      </c>
      <c r="F590" s="7">
        <v>1998</v>
      </c>
      <c r="G590" s="2" t="s">
        <v>1660</v>
      </c>
      <c r="H590" s="2" t="s">
        <v>816</v>
      </c>
    </row>
    <row r="591" spans="2:8" x14ac:dyDescent="0.25">
      <c r="B591" s="7" t="s">
        <v>2171</v>
      </c>
      <c r="C591" s="2" t="s">
        <v>1661</v>
      </c>
      <c r="D591" s="2" t="s">
        <v>1141</v>
      </c>
      <c r="E591" s="2" t="s">
        <v>648</v>
      </c>
      <c r="F591" s="7">
        <v>1998</v>
      </c>
      <c r="G591" s="2" t="s">
        <v>1662</v>
      </c>
      <c r="H591" s="2" t="s">
        <v>309</v>
      </c>
    </row>
    <row r="592" spans="2:8" x14ac:dyDescent="0.25">
      <c r="B592" s="7" t="s">
        <v>2172</v>
      </c>
      <c r="C592" s="2" t="s">
        <v>827</v>
      </c>
      <c r="D592" s="2" t="s">
        <v>828</v>
      </c>
      <c r="E592" s="2" t="s">
        <v>648</v>
      </c>
      <c r="F592" s="7">
        <v>2001</v>
      </c>
      <c r="G592" s="2" t="s">
        <v>829</v>
      </c>
      <c r="H592" s="2" t="s">
        <v>1610</v>
      </c>
    </row>
    <row r="593" spans="2:8" x14ac:dyDescent="0.25">
      <c r="B593" s="7" t="s">
        <v>2173</v>
      </c>
      <c r="C593" s="2" t="s">
        <v>830</v>
      </c>
      <c r="D593" s="2"/>
      <c r="E593" s="2" t="s">
        <v>648</v>
      </c>
      <c r="F593" s="7">
        <v>2004</v>
      </c>
      <c r="G593" s="2" t="s">
        <v>831</v>
      </c>
      <c r="H593" s="2" t="s">
        <v>398</v>
      </c>
    </row>
    <row r="594" spans="2:8" x14ac:dyDescent="0.25">
      <c r="B594" s="7" t="s">
        <v>2174</v>
      </c>
      <c r="C594" s="2" t="s">
        <v>1483</v>
      </c>
      <c r="D594" s="2" t="s">
        <v>1484</v>
      </c>
      <c r="E594" s="2" t="s">
        <v>648</v>
      </c>
      <c r="F594" s="7">
        <v>2004</v>
      </c>
      <c r="G594" s="2" t="s">
        <v>1485</v>
      </c>
      <c r="H594" s="2" t="s">
        <v>1428</v>
      </c>
    </row>
    <row r="595" spans="2:8" x14ac:dyDescent="0.25">
      <c r="B595" s="6" t="s">
        <v>2175</v>
      </c>
      <c r="C595" s="1" t="s">
        <v>1486</v>
      </c>
      <c r="E595" s="1" t="s">
        <v>648</v>
      </c>
      <c r="F595" s="6">
        <v>2005</v>
      </c>
      <c r="G595" s="1" t="s">
        <v>762</v>
      </c>
      <c r="H595" s="1" t="s">
        <v>820</v>
      </c>
    </row>
    <row r="596" spans="2:8" x14ac:dyDescent="0.25">
      <c r="B596" s="6" t="s">
        <v>2176</v>
      </c>
      <c r="C596" s="1" t="s">
        <v>1487</v>
      </c>
      <c r="E596" s="1" t="s">
        <v>648</v>
      </c>
      <c r="F596" s="6">
        <v>2004</v>
      </c>
      <c r="G596" s="1" t="s">
        <v>1488</v>
      </c>
      <c r="H596" s="1" t="s">
        <v>1428</v>
      </c>
    </row>
    <row r="597" spans="2:8" x14ac:dyDescent="0.25">
      <c r="B597" s="7" t="s">
        <v>2177</v>
      </c>
      <c r="C597" s="2" t="s">
        <v>1489</v>
      </c>
      <c r="D597" s="2"/>
      <c r="E597" s="2" t="s">
        <v>648</v>
      </c>
      <c r="F597" s="7">
        <v>2002</v>
      </c>
      <c r="G597" s="2"/>
      <c r="H597" s="2" t="s">
        <v>1529</v>
      </c>
    </row>
    <row r="598" spans="2:8" x14ac:dyDescent="0.25">
      <c r="B598" s="7" t="s">
        <v>3065</v>
      </c>
      <c r="C598" s="1" t="s">
        <v>3066</v>
      </c>
      <c r="D598"/>
      <c r="E598" s="2" t="s">
        <v>648</v>
      </c>
      <c r="F598" s="6">
        <v>2016</v>
      </c>
      <c r="G598" s="1" t="s">
        <v>3067</v>
      </c>
      <c r="H598" s="1" t="s">
        <v>820</v>
      </c>
    </row>
    <row r="599" spans="2:8" x14ac:dyDescent="0.25">
      <c r="B599" s="6" t="s">
        <v>2602</v>
      </c>
      <c r="C599" s="1" t="s">
        <v>1490</v>
      </c>
      <c r="D599" s="1" t="s">
        <v>1491</v>
      </c>
      <c r="E599" s="1" t="s">
        <v>648</v>
      </c>
      <c r="F599" s="6">
        <v>1999</v>
      </c>
      <c r="G599" s="1" t="s">
        <v>1492</v>
      </c>
      <c r="H599" s="1" t="s">
        <v>1422</v>
      </c>
    </row>
    <row r="600" spans="2:8" x14ac:dyDescent="0.25">
      <c r="B600" s="6" t="s">
        <v>2603</v>
      </c>
      <c r="C600" s="1" t="s">
        <v>1493</v>
      </c>
      <c r="D600" s="1" t="s">
        <v>1491</v>
      </c>
      <c r="E600" s="1" t="s">
        <v>648</v>
      </c>
      <c r="F600" s="6">
        <v>2000</v>
      </c>
      <c r="G600" s="1" t="s">
        <v>1494</v>
      </c>
      <c r="H600" s="1" t="s">
        <v>1296</v>
      </c>
    </row>
    <row r="601" spans="2:8" x14ac:dyDescent="0.25">
      <c r="B601" s="7" t="s">
        <v>2604</v>
      </c>
      <c r="C601" s="2" t="s">
        <v>1495</v>
      </c>
      <c r="D601" s="2" t="s">
        <v>1496</v>
      </c>
      <c r="E601" s="1" t="s">
        <v>648</v>
      </c>
      <c r="F601" s="7">
        <v>2000</v>
      </c>
      <c r="G601" s="2" t="s">
        <v>1497</v>
      </c>
      <c r="H601" s="2" t="s">
        <v>1422</v>
      </c>
    </row>
    <row r="602" spans="2:8" x14ac:dyDescent="0.25">
      <c r="B602" s="7" t="s">
        <v>2605</v>
      </c>
      <c r="C602" s="2" t="s">
        <v>1498</v>
      </c>
      <c r="D602" s="2" t="s">
        <v>1491</v>
      </c>
      <c r="E602" s="1" t="s">
        <v>648</v>
      </c>
      <c r="F602" s="7">
        <v>1998</v>
      </c>
      <c r="G602" s="2" t="s">
        <v>1499</v>
      </c>
      <c r="H602" s="2" t="s">
        <v>1500</v>
      </c>
    </row>
    <row r="603" spans="2:8" x14ac:dyDescent="0.25">
      <c r="B603" s="7" t="s">
        <v>2178</v>
      </c>
      <c r="C603" s="2" t="s">
        <v>1501</v>
      </c>
      <c r="D603" s="2"/>
      <c r="E603" s="2" t="s">
        <v>648</v>
      </c>
      <c r="F603" s="7">
        <v>2001</v>
      </c>
      <c r="G603" s="2" t="s">
        <v>1502</v>
      </c>
      <c r="H603" s="2" t="s">
        <v>1428</v>
      </c>
    </row>
    <row r="604" spans="2:8" x14ac:dyDescent="0.25">
      <c r="B604" s="7" t="s">
        <v>2179</v>
      </c>
      <c r="C604" s="2" t="s">
        <v>1503</v>
      </c>
      <c r="D604" s="2"/>
      <c r="E604" s="2" t="s">
        <v>648</v>
      </c>
      <c r="F604" s="7">
        <v>2000</v>
      </c>
      <c r="G604" s="2" t="s">
        <v>1504</v>
      </c>
      <c r="H604" s="2" t="s">
        <v>888</v>
      </c>
    </row>
    <row r="605" spans="2:8" x14ac:dyDescent="0.25">
      <c r="B605" s="7" t="s">
        <v>2180</v>
      </c>
      <c r="C605" s="2" t="s">
        <v>1505</v>
      </c>
      <c r="D605" s="2"/>
      <c r="E605" s="1" t="s">
        <v>648</v>
      </c>
      <c r="F605" s="7">
        <v>2001</v>
      </c>
      <c r="G605" s="2" t="s">
        <v>1506</v>
      </c>
      <c r="H605" s="1" t="s">
        <v>1422</v>
      </c>
    </row>
    <row r="606" spans="2:8" x14ac:dyDescent="0.25">
      <c r="B606" s="7" t="s">
        <v>2181</v>
      </c>
      <c r="C606" s="2" t="s">
        <v>1526</v>
      </c>
      <c r="D606" s="2"/>
      <c r="E606" s="1" t="s">
        <v>648</v>
      </c>
      <c r="F606" s="7">
        <v>1998</v>
      </c>
      <c r="G606" s="2" t="s">
        <v>1527</v>
      </c>
      <c r="H606" s="1" t="s">
        <v>1422</v>
      </c>
    </row>
    <row r="607" spans="2:8" x14ac:dyDescent="0.25">
      <c r="B607" s="7" t="s">
        <v>2182</v>
      </c>
      <c r="C607" s="2" t="s">
        <v>1528</v>
      </c>
      <c r="D607" s="2"/>
      <c r="E607" s="1" t="s">
        <v>648</v>
      </c>
      <c r="F607" s="7">
        <v>2000</v>
      </c>
      <c r="G607" s="2" t="s">
        <v>833</v>
      </c>
      <c r="H607" s="2" t="s">
        <v>834</v>
      </c>
    </row>
    <row r="608" spans="2:8" x14ac:dyDescent="0.25">
      <c r="B608" s="7" t="s">
        <v>2183</v>
      </c>
      <c r="C608" s="2" t="s">
        <v>1301</v>
      </c>
      <c r="D608" s="2"/>
      <c r="E608" s="1" t="s">
        <v>648</v>
      </c>
      <c r="F608" s="7">
        <v>1998</v>
      </c>
      <c r="G608" s="2" t="s">
        <v>1504</v>
      </c>
      <c r="H608" s="2" t="s">
        <v>888</v>
      </c>
    </row>
    <row r="609" spans="2:8" x14ac:dyDescent="0.25">
      <c r="B609" s="7" t="s">
        <v>2184</v>
      </c>
      <c r="C609" s="2" t="s">
        <v>835</v>
      </c>
      <c r="D609" s="2" t="s">
        <v>836</v>
      </c>
      <c r="E609" s="2" t="s">
        <v>648</v>
      </c>
      <c r="F609" s="7">
        <v>1999</v>
      </c>
      <c r="G609" s="2" t="s">
        <v>837</v>
      </c>
      <c r="H609" s="2" t="s">
        <v>1422</v>
      </c>
    </row>
    <row r="610" spans="2:8" x14ac:dyDescent="0.25">
      <c r="B610" s="7" t="s">
        <v>2185</v>
      </c>
      <c r="C610" s="2" t="s">
        <v>838</v>
      </c>
      <c r="D610" s="2" t="s">
        <v>839</v>
      </c>
      <c r="E610" s="2" t="s">
        <v>648</v>
      </c>
      <c r="F610" s="7">
        <v>1998</v>
      </c>
      <c r="G610" s="2"/>
      <c r="H610" s="2" t="s">
        <v>1448</v>
      </c>
    </row>
    <row r="611" spans="2:8" x14ac:dyDescent="0.25">
      <c r="B611" s="7" t="s">
        <v>2186</v>
      </c>
      <c r="C611" s="2" t="s">
        <v>840</v>
      </c>
      <c r="D611" s="2" t="s">
        <v>841</v>
      </c>
      <c r="E611" s="2" t="s">
        <v>648</v>
      </c>
      <c r="F611" s="7">
        <v>1999</v>
      </c>
      <c r="G611" s="2" t="s">
        <v>842</v>
      </c>
      <c r="H611" s="2" t="s">
        <v>888</v>
      </c>
    </row>
    <row r="612" spans="2:8" x14ac:dyDescent="0.25">
      <c r="B612" s="7" t="s">
        <v>2187</v>
      </c>
      <c r="C612" s="2" t="s">
        <v>843</v>
      </c>
      <c r="D612" s="2" t="s">
        <v>844</v>
      </c>
      <c r="E612" s="2" t="s">
        <v>648</v>
      </c>
      <c r="F612" s="7">
        <v>1998</v>
      </c>
      <c r="G612" s="2" t="s">
        <v>845</v>
      </c>
      <c r="H612" s="2" t="s">
        <v>1215</v>
      </c>
    </row>
    <row r="613" spans="2:8" x14ac:dyDescent="0.25">
      <c r="B613" s="7" t="s">
        <v>2188</v>
      </c>
      <c r="C613" s="2" t="s">
        <v>846</v>
      </c>
      <c r="D613" s="2" t="s">
        <v>847</v>
      </c>
      <c r="E613" s="2" t="s">
        <v>648</v>
      </c>
      <c r="F613" s="7">
        <v>1999</v>
      </c>
      <c r="G613" s="2" t="s">
        <v>848</v>
      </c>
      <c r="H613" s="2" t="s">
        <v>1215</v>
      </c>
    </row>
    <row r="614" spans="2:8" x14ac:dyDescent="0.25">
      <c r="B614" s="7" t="s">
        <v>2189</v>
      </c>
      <c r="C614" s="2" t="s">
        <v>849</v>
      </c>
      <c r="D614" s="2" t="s">
        <v>847</v>
      </c>
      <c r="E614" s="2" t="s">
        <v>648</v>
      </c>
      <c r="F614" s="7">
        <v>1999</v>
      </c>
      <c r="G614" s="2"/>
      <c r="H614" s="2" t="s">
        <v>1448</v>
      </c>
    </row>
    <row r="615" spans="2:8" x14ac:dyDescent="0.25">
      <c r="B615" s="7" t="s">
        <v>2190</v>
      </c>
      <c r="C615" s="2" t="s">
        <v>850</v>
      </c>
      <c r="D615" s="2" t="s">
        <v>851</v>
      </c>
      <c r="E615" s="2" t="s">
        <v>648</v>
      </c>
      <c r="F615" s="7">
        <v>1999</v>
      </c>
      <c r="G615" s="2" t="s">
        <v>852</v>
      </c>
      <c r="H615" s="2" t="s">
        <v>1215</v>
      </c>
    </row>
    <row r="616" spans="2:8" x14ac:dyDescent="0.25">
      <c r="B616" s="7" t="s">
        <v>2191</v>
      </c>
      <c r="C616" s="2" t="s">
        <v>399</v>
      </c>
      <c r="D616" s="2"/>
      <c r="E616" s="2" t="s">
        <v>648</v>
      </c>
      <c r="F616" s="7">
        <v>2003</v>
      </c>
      <c r="G616" s="2" t="s">
        <v>853</v>
      </c>
      <c r="H616" s="2" t="s">
        <v>1422</v>
      </c>
    </row>
    <row r="617" spans="2:8" x14ac:dyDescent="0.25">
      <c r="B617" s="7" t="s">
        <v>2192</v>
      </c>
      <c r="C617" s="2" t="s">
        <v>854</v>
      </c>
      <c r="D617" s="2"/>
      <c r="E617" s="2" t="s">
        <v>648</v>
      </c>
      <c r="F617" s="7">
        <v>1998</v>
      </c>
      <c r="G617" s="2" t="s">
        <v>855</v>
      </c>
      <c r="H617" s="2" t="s">
        <v>1448</v>
      </c>
    </row>
    <row r="618" spans="2:8" x14ac:dyDescent="0.25">
      <c r="B618" s="7" t="s">
        <v>2193</v>
      </c>
      <c r="C618" s="2" t="s">
        <v>856</v>
      </c>
      <c r="D618" s="2" t="s">
        <v>857</v>
      </c>
      <c r="E618" s="2" t="s">
        <v>648</v>
      </c>
      <c r="F618" s="7">
        <v>1999</v>
      </c>
      <c r="G618" s="2" t="s">
        <v>858</v>
      </c>
      <c r="H618" s="2" t="s">
        <v>1428</v>
      </c>
    </row>
    <row r="619" spans="2:8" x14ac:dyDescent="0.25">
      <c r="B619" s="7" t="s">
        <v>2194</v>
      </c>
      <c r="C619" s="2" t="s">
        <v>400</v>
      </c>
      <c r="D619" s="2" t="s">
        <v>859</v>
      </c>
      <c r="E619" s="2" t="s">
        <v>648</v>
      </c>
      <c r="F619" s="7">
        <v>1999</v>
      </c>
      <c r="G619" s="2" t="s">
        <v>860</v>
      </c>
      <c r="H619" s="2" t="s">
        <v>816</v>
      </c>
    </row>
    <row r="620" spans="2:8" x14ac:dyDescent="0.25">
      <c r="B620" s="7" t="s">
        <v>2195</v>
      </c>
      <c r="C620" s="2" t="s">
        <v>861</v>
      </c>
      <c r="D620" s="2" t="s">
        <v>859</v>
      </c>
      <c r="E620" s="2" t="s">
        <v>648</v>
      </c>
      <c r="F620" s="7">
        <v>1998</v>
      </c>
      <c r="G620" s="2" t="s">
        <v>1658</v>
      </c>
      <c r="H620" s="2" t="s">
        <v>816</v>
      </c>
    </row>
    <row r="621" spans="2:8" x14ac:dyDescent="0.25">
      <c r="B621" s="7" t="s">
        <v>2196</v>
      </c>
      <c r="C621" s="2" t="s">
        <v>862</v>
      </c>
      <c r="D621" s="2" t="s">
        <v>859</v>
      </c>
      <c r="E621" s="2" t="s">
        <v>648</v>
      </c>
      <c r="F621" s="7">
        <v>1998</v>
      </c>
      <c r="G621" s="2" t="s">
        <v>863</v>
      </c>
      <c r="H621" s="2" t="s">
        <v>816</v>
      </c>
    </row>
    <row r="622" spans="2:8" x14ac:dyDescent="0.25">
      <c r="B622" s="7" t="s">
        <v>2197</v>
      </c>
      <c r="C622" s="2" t="s">
        <v>864</v>
      </c>
      <c r="D622" s="2" t="s">
        <v>865</v>
      </c>
      <c r="E622" s="2" t="s">
        <v>648</v>
      </c>
      <c r="F622" s="7">
        <v>1999</v>
      </c>
      <c r="G622" s="2" t="s">
        <v>866</v>
      </c>
      <c r="H622" s="2" t="s">
        <v>816</v>
      </c>
    </row>
    <row r="623" spans="2:8" x14ac:dyDescent="0.25">
      <c r="B623" s="7" t="s">
        <v>2198</v>
      </c>
      <c r="C623" s="2" t="s">
        <v>867</v>
      </c>
      <c r="D623" s="2" t="s">
        <v>868</v>
      </c>
      <c r="E623" s="2" t="s">
        <v>648</v>
      </c>
      <c r="F623" s="7">
        <v>1999</v>
      </c>
      <c r="G623" s="2" t="s">
        <v>869</v>
      </c>
      <c r="H623" s="2" t="s">
        <v>1448</v>
      </c>
    </row>
    <row r="624" spans="2:8" x14ac:dyDescent="0.25">
      <c r="B624" s="7" t="s">
        <v>2199</v>
      </c>
      <c r="C624" s="2" t="s">
        <v>870</v>
      </c>
      <c r="D624" s="2" t="s">
        <v>871</v>
      </c>
      <c r="E624" s="2" t="s">
        <v>648</v>
      </c>
      <c r="F624" s="7">
        <v>1998</v>
      </c>
      <c r="G624" s="2"/>
      <c r="H624" s="2"/>
    </row>
    <row r="625" spans="1:8" x14ac:dyDescent="0.25">
      <c r="B625" s="7" t="s">
        <v>2200</v>
      </c>
      <c r="C625" s="2" t="s">
        <v>872</v>
      </c>
      <c r="D625" s="2" t="s">
        <v>873</v>
      </c>
      <c r="E625" s="2" t="s">
        <v>648</v>
      </c>
      <c r="F625" s="7">
        <v>2003</v>
      </c>
      <c r="G625" s="2" t="s">
        <v>874</v>
      </c>
      <c r="H625" s="2" t="s">
        <v>820</v>
      </c>
    </row>
    <row r="626" spans="1:8" x14ac:dyDescent="0.25">
      <c r="B626" s="6" t="s">
        <v>2201</v>
      </c>
      <c r="C626" s="1" t="s">
        <v>875</v>
      </c>
      <c r="D626" s="1" t="s">
        <v>873</v>
      </c>
      <c r="E626" s="1" t="s">
        <v>648</v>
      </c>
      <c r="F626" s="6">
        <v>2005</v>
      </c>
      <c r="G626" s="1" t="s">
        <v>876</v>
      </c>
      <c r="H626" s="1" t="s">
        <v>820</v>
      </c>
    </row>
    <row r="627" spans="1:8" x14ac:dyDescent="0.25">
      <c r="B627" s="6" t="s">
        <v>2202</v>
      </c>
      <c r="C627" s="1" t="s">
        <v>401</v>
      </c>
      <c r="D627" s="1" t="s">
        <v>1643</v>
      </c>
      <c r="E627" s="1" t="s">
        <v>648</v>
      </c>
      <c r="F627" s="6">
        <v>2004</v>
      </c>
      <c r="G627" s="1" t="s">
        <v>1644</v>
      </c>
      <c r="H627" s="1" t="s">
        <v>888</v>
      </c>
    </row>
    <row r="628" spans="1:8" x14ac:dyDescent="0.25">
      <c r="B628" s="6" t="s">
        <v>2606</v>
      </c>
      <c r="C628" s="1" t="s">
        <v>599</v>
      </c>
      <c r="D628" s="3"/>
      <c r="E628" s="1" t="s">
        <v>877</v>
      </c>
      <c r="F628" s="6">
        <v>2003</v>
      </c>
      <c r="G628" s="1" t="s">
        <v>595</v>
      </c>
      <c r="H628" s="1" t="s">
        <v>1422</v>
      </c>
    </row>
    <row r="629" spans="1:8" x14ac:dyDescent="0.25">
      <c r="B629" s="6" t="s">
        <v>2607</v>
      </c>
      <c r="C629" s="1" t="s">
        <v>878</v>
      </c>
      <c r="D629" s="1" t="s">
        <v>879</v>
      </c>
      <c r="E629" s="1" t="s">
        <v>877</v>
      </c>
      <c r="F629" s="6">
        <v>2000</v>
      </c>
      <c r="G629" s="1" t="s">
        <v>32</v>
      </c>
      <c r="H629" s="1" t="s">
        <v>888</v>
      </c>
    </row>
    <row r="630" spans="1:8" x14ac:dyDescent="0.25">
      <c r="B630" s="7" t="s">
        <v>2608</v>
      </c>
      <c r="C630" s="2" t="s">
        <v>880</v>
      </c>
      <c r="D630" s="2" t="s">
        <v>881</v>
      </c>
      <c r="E630" s="2" t="s">
        <v>877</v>
      </c>
      <c r="F630" s="7">
        <v>1999</v>
      </c>
      <c r="G630" s="2" t="s">
        <v>1326</v>
      </c>
      <c r="H630" s="2" t="s">
        <v>1612</v>
      </c>
    </row>
    <row r="631" spans="1:8" x14ac:dyDescent="0.25">
      <c r="B631" s="7" t="s">
        <v>2609</v>
      </c>
      <c r="C631" s="2" t="s">
        <v>1814</v>
      </c>
      <c r="D631" s="2" t="s">
        <v>881</v>
      </c>
      <c r="E631" s="2" t="s">
        <v>877</v>
      </c>
      <c r="F631" s="7">
        <v>1998</v>
      </c>
      <c r="G631" s="2" t="s">
        <v>1815</v>
      </c>
      <c r="H631" s="2" t="s">
        <v>1423</v>
      </c>
    </row>
    <row r="632" spans="1:8" x14ac:dyDescent="0.25">
      <c r="B632" s="6" t="s">
        <v>2610</v>
      </c>
      <c r="C632" s="1" t="s">
        <v>882</v>
      </c>
      <c r="D632" s="1" t="s">
        <v>31</v>
      </c>
      <c r="E632" s="1" t="s">
        <v>877</v>
      </c>
      <c r="F632" s="6">
        <v>1997</v>
      </c>
      <c r="G632" s="1" t="s">
        <v>883</v>
      </c>
      <c r="H632" s="1" t="s">
        <v>816</v>
      </c>
    </row>
    <row r="633" spans="1:8" x14ac:dyDescent="0.25">
      <c r="B633" s="7" t="s">
        <v>2611</v>
      </c>
      <c r="C633" s="2" t="s">
        <v>289</v>
      </c>
      <c r="D633" s="2" t="s">
        <v>31</v>
      </c>
      <c r="E633" s="2" t="s">
        <v>877</v>
      </c>
      <c r="F633" s="7">
        <v>2000</v>
      </c>
      <c r="G633" s="2" t="s">
        <v>290</v>
      </c>
      <c r="H633" s="2" t="s">
        <v>1204</v>
      </c>
    </row>
    <row r="634" spans="1:8" x14ac:dyDescent="0.25">
      <c r="B634" s="7" t="s">
        <v>2612</v>
      </c>
      <c r="C634" s="2" t="s">
        <v>600</v>
      </c>
      <c r="D634" s="2" t="s">
        <v>31</v>
      </c>
      <c r="E634" s="2" t="s">
        <v>877</v>
      </c>
      <c r="F634" s="7">
        <v>2000</v>
      </c>
      <c r="G634" s="2" t="s">
        <v>601</v>
      </c>
      <c r="H634" s="2" t="s">
        <v>602</v>
      </c>
    </row>
    <row r="635" spans="1:8" x14ac:dyDescent="0.25">
      <c r="A635" s="1" t="s">
        <v>2681</v>
      </c>
      <c r="B635" s="7" t="s">
        <v>2613</v>
      </c>
      <c r="C635" s="2" t="s">
        <v>291</v>
      </c>
      <c r="D635" s="2" t="s">
        <v>31</v>
      </c>
      <c r="E635" s="2" t="s">
        <v>877</v>
      </c>
      <c r="F635" s="7">
        <v>2000</v>
      </c>
      <c r="G635" s="2" t="s">
        <v>292</v>
      </c>
      <c r="H635" s="2" t="s">
        <v>293</v>
      </c>
    </row>
    <row r="636" spans="1:8" x14ac:dyDescent="0.25">
      <c r="B636" s="7" t="s">
        <v>2614</v>
      </c>
      <c r="C636" s="2" t="s">
        <v>294</v>
      </c>
      <c r="D636" s="2" t="s">
        <v>31</v>
      </c>
      <c r="E636" s="2" t="s">
        <v>877</v>
      </c>
      <c r="F636" s="7">
        <v>1999</v>
      </c>
      <c r="G636" s="2" t="s">
        <v>295</v>
      </c>
      <c r="H636" s="2" t="s">
        <v>888</v>
      </c>
    </row>
    <row r="637" spans="1:8" x14ac:dyDescent="0.25">
      <c r="B637" s="7" t="s">
        <v>2203</v>
      </c>
      <c r="C637" s="2" t="s">
        <v>296</v>
      </c>
      <c r="D637" s="2" t="s">
        <v>31</v>
      </c>
      <c r="E637" s="2" t="s">
        <v>877</v>
      </c>
      <c r="F637" s="7">
        <v>1999</v>
      </c>
      <c r="G637" s="2" t="s">
        <v>297</v>
      </c>
      <c r="H637" s="2" t="s">
        <v>888</v>
      </c>
    </row>
    <row r="638" spans="1:8" x14ac:dyDescent="0.25">
      <c r="B638" s="7" t="s">
        <v>2204</v>
      </c>
      <c r="C638" s="2" t="s">
        <v>589</v>
      </c>
      <c r="D638" s="2" t="s">
        <v>31</v>
      </c>
      <c r="E638" s="2" t="s">
        <v>877</v>
      </c>
      <c r="F638" s="7">
        <v>2000</v>
      </c>
      <c r="G638" s="2" t="s">
        <v>298</v>
      </c>
      <c r="H638" s="2" t="s">
        <v>1204</v>
      </c>
    </row>
    <row r="639" spans="1:8" x14ac:dyDescent="0.25">
      <c r="B639" s="7" t="s">
        <v>2205</v>
      </c>
      <c r="C639" s="2" t="s">
        <v>299</v>
      </c>
      <c r="D639" s="2" t="s">
        <v>31</v>
      </c>
      <c r="E639" s="2" t="s">
        <v>877</v>
      </c>
      <c r="F639" s="7">
        <v>2001</v>
      </c>
      <c r="G639" s="2" t="s">
        <v>282</v>
      </c>
      <c r="H639" s="2" t="s">
        <v>1423</v>
      </c>
    </row>
    <row r="640" spans="1:8" x14ac:dyDescent="0.25">
      <c r="B640" s="7" t="s">
        <v>2206</v>
      </c>
      <c r="C640" s="2" t="s">
        <v>300</v>
      </c>
      <c r="D640" s="2" t="s">
        <v>31</v>
      </c>
      <c r="E640" s="2" t="s">
        <v>877</v>
      </c>
      <c r="F640" s="7">
        <v>2000</v>
      </c>
      <c r="G640" s="2" t="s">
        <v>402</v>
      </c>
      <c r="H640" s="2" t="s">
        <v>888</v>
      </c>
    </row>
    <row r="641" spans="1:8" x14ac:dyDescent="0.25">
      <c r="B641" s="7" t="s">
        <v>2207</v>
      </c>
      <c r="C641" s="2" t="s">
        <v>908</v>
      </c>
      <c r="D641" s="2" t="s">
        <v>31</v>
      </c>
      <c r="E641" s="2" t="s">
        <v>877</v>
      </c>
      <c r="F641" s="7">
        <v>2000</v>
      </c>
      <c r="G641" s="2" t="s">
        <v>909</v>
      </c>
      <c r="H641" s="2" t="s">
        <v>1428</v>
      </c>
    </row>
    <row r="642" spans="1:8" x14ac:dyDescent="0.25">
      <c r="B642" s="7" t="s">
        <v>2208</v>
      </c>
      <c r="C642" s="2" t="s">
        <v>910</v>
      </c>
      <c r="D642" s="2" t="s">
        <v>911</v>
      </c>
      <c r="E642" s="2" t="s">
        <v>877</v>
      </c>
      <c r="F642" s="7">
        <v>1999</v>
      </c>
      <c r="G642" s="2" t="s">
        <v>912</v>
      </c>
      <c r="H642" s="2" t="s">
        <v>1215</v>
      </c>
    </row>
    <row r="643" spans="1:8" x14ac:dyDescent="0.25">
      <c r="B643" s="7" t="s">
        <v>2209</v>
      </c>
      <c r="C643" s="2" t="s">
        <v>913</v>
      </c>
      <c r="D643" s="2" t="s">
        <v>914</v>
      </c>
      <c r="E643" s="2" t="s">
        <v>877</v>
      </c>
      <c r="F643" s="7">
        <v>2003</v>
      </c>
      <c r="G643" s="2" t="s">
        <v>590</v>
      </c>
      <c r="H643" s="2" t="s">
        <v>305</v>
      </c>
    </row>
    <row r="644" spans="1:8" x14ac:dyDescent="0.25">
      <c r="B644" s="7" t="s">
        <v>2210</v>
      </c>
      <c r="C644" s="2" t="s">
        <v>915</v>
      </c>
      <c r="D644" s="2" t="s">
        <v>31</v>
      </c>
      <c r="E644" s="2" t="s">
        <v>877</v>
      </c>
      <c r="F644" s="7">
        <v>2003</v>
      </c>
      <c r="G644" s="2" t="s">
        <v>916</v>
      </c>
      <c r="H644" s="2" t="s">
        <v>1428</v>
      </c>
    </row>
    <row r="645" spans="1:8" x14ac:dyDescent="0.25">
      <c r="B645" s="7" t="s">
        <v>2211</v>
      </c>
      <c r="C645" s="2" t="s">
        <v>917</v>
      </c>
      <c r="D645" s="2" t="s">
        <v>918</v>
      </c>
      <c r="E645" s="2" t="s">
        <v>877</v>
      </c>
      <c r="F645" s="7">
        <v>2003</v>
      </c>
      <c r="G645" s="2" t="s">
        <v>919</v>
      </c>
      <c r="H645" s="2" t="s">
        <v>820</v>
      </c>
    </row>
    <row r="646" spans="1:8" x14ac:dyDescent="0.25">
      <c r="B646" s="7" t="s">
        <v>2212</v>
      </c>
      <c r="C646" s="2" t="s">
        <v>920</v>
      </c>
      <c r="D646" s="2" t="s">
        <v>921</v>
      </c>
      <c r="E646" s="2" t="s">
        <v>877</v>
      </c>
      <c r="F646" s="7">
        <v>2003</v>
      </c>
      <c r="G646" s="2" t="s">
        <v>922</v>
      </c>
      <c r="H646" s="2" t="s">
        <v>1428</v>
      </c>
    </row>
    <row r="647" spans="1:8" x14ac:dyDescent="0.25">
      <c r="A647" s="1" t="s">
        <v>2681</v>
      </c>
      <c r="B647" s="7" t="s">
        <v>2213</v>
      </c>
      <c r="C647" s="2" t="s">
        <v>923</v>
      </c>
      <c r="D647" s="2" t="s">
        <v>924</v>
      </c>
      <c r="E647" s="2" t="s">
        <v>877</v>
      </c>
      <c r="F647" s="7">
        <v>1998</v>
      </c>
      <c r="G647" s="2"/>
      <c r="H647" s="2" t="s">
        <v>925</v>
      </c>
    </row>
    <row r="648" spans="1:8" x14ac:dyDescent="0.25">
      <c r="B648" s="6" t="s">
        <v>2214</v>
      </c>
      <c r="C648" s="1" t="s">
        <v>603</v>
      </c>
      <c r="D648" s="1" t="s">
        <v>927</v>
      </c>
      <c r="E648" s="1" t="s">
        <v>877</v>
      </c>
      <c r="F648" s="6">
        <v>2004</v>
      </c>
      <c r="G648" s="1" t="s">
        <v>604</v>
      </c>
      <c r="H648" s="1" t="s">
        <v>605</v>
      </c>
    </row>
    <row r="649" spans="1:8" x14ac:dyDescent="0.25">
      <c r="B649" s="6" t="s">
        <v>2215</v>
      </c>
      <c r="C649" s="1" t="s">
        <v>926</v>
      </c>
      <c r="D649" s="1" t="s">
        <v>31</v>
      </c>
      <c r="E649" s="1" t="s">
        <v>877</v>
      </c>
      <c r="F649" s="6">
        <v>2004</v>
      </c>
      <c r="G649" s="1" t="s">
        <v>606</v>
      </c>
      <c r="H649" s="1" t="s">
        <v>1428</v>
      </c>
    </row>
    <row r="650" spans="1:8" x14ac:dyDescent="0.25">
      <c r="B650" s="6" t="s">
        <v>2216</v>
      </c>
      <c r="C650" s="1" t="s">
        <v>607</v>
      </c>
      <c r="D650" s="1" t="s">
        <v>927</v>
      </c>
      <c r="E650" s="1" t="s">
        <v>877</v>
      </c>
      <c r="F650" s="6">
        <v>2004</v>
      </c>
      <c r="G650" s="1" t="s">
        <v>608</v>
      </c>
      <c r="H650" s="1" t="s">
        <v>1428</v>
      </c>
    </row>
    <row r="651" spans="1:8" x14ac:dyDescent="0.25">
      <c r="B651" s="6" t="s">
        <v>2217</v>
      </c>
      <c r="C651" s="1" t="s">
        <v>928</v>
      </c>
      <c r="D651" s="1" t="s">
        <v>31</v>
      </c>
      <c r="E651" s="1" t="s">
        <v>877</v>
      </c>
      <c r="F651" s="6">
        <v>2005</v>
      </c>
      <c r="G651" s="1" t="s">
        <v>929</v>
      </c>
      <c r="H651" s="1" t="s">
        <v>1428</v>
      </c>
    </row>
    <row r="652" spans="1:8" x14ac:dyDescent="0.25">
      <c r="B652" s="7" t="s">
        <v>2218</v>
      </c>
      <c r="C652" s="2" t="s">
        <v>930</v>
      </c>
      <c r="D652" s="2" t="s">
        <v>927</v>
      </c>
      <c r="E652" s="2" t="s">
        <v>877</v>
      </c>
      <c r="F652" s="7">
        <v>2005</v>
      </c>
      <c r="G652" s="2" t="s">
        <v>931</v>
      </c>
      <c r="H652" s="2" t="s">
        <v>816</v>
      </c>
    </row>
    <row r="653" spans="1:8" x14ac:dyDescent="0.25">
      <c r="B653" s="7" t="s">
        <v>2219</v>
      </c>
      <c r="C653" s="2" t="s">
        <v>339</v>
      </c>
      <c r="D653" s="2" t="s">
        <v>927</v>
      </c>
      <c r="E653" s="2" t="s">
        <v>877</v>
      </c>
      <c r="F653" s="7">
        <v>2005</v>
      </c>
      <c r="G653" s="2" t="s">
        <v>919</v>
      </c>
      <c r="H653" s="2" t="s">
        <v>820</v>
      </c>
    </row>
    <row r="654" spans="1:8" x14ac:dyDescent="0.25">
      <c r="B654" s="7" t="s">
        <v>2220</v>
      </c>
      <c r="C654" s="2" t="s">
        <v>340</v>
      </c>
      <c r="D654" s="2" t="s">
        <v>927</v>
      </c>
      <c r="E654" s="2" t="s">
        <v>877</v>
      </c>
      <c r="F654" s="7">
        <v>2004</v>
      </c>
      <c r="G654" s="2" t="s">
        <v>341</v>
      </c>
      <c r="H654" s="2" t="s">
        <v>342</v>
      </c>
    </row>
    <row r="655" spans="1:8" x14ac:dyDescent="0.25">
      <c r="B655" s="7" t="s">
        <v>2221</v>
      </c>
      <c r="C655" s="2" t="s">
        <v>882</v>
      </c>
      <c r="D655" s="2"/>
      <c r="E655" s="2" t="s">
        <v>877</v>
      </c>
      <c r="F655" s="7">
        <v>2005</v>
      </c>
      <c r="G655" s="2" t="s">
        <v>343</v>
      </c>
      <c r="H655" s="2" t="s">
        <v>820</v>
      </c>
    </row>
    <row r="656" spans="1:8" x14ac:dyDescent="0.25">
      <c r="B656" s="7" t="s">
        <v>2222</v>
      </c>
      <c r="C656" s="2" t="s">
        <v>403</v>
      </c>
      <c r="D656" s="2" t="s">
        <v>344</v>
      </c>
      <c r="E656" s="2" t="s">
        <v>877</v>
      </c>
      <c r="F656" s="7">
        <v>2005</v>
      </c>
      <c r="G656" s="2" t="s">
        <v>345</v>
      </c>
      <c r="H656" s="2" t="s">
        <v>820</v>
      </c>
    </row>
    <row r="657" spans="2:8" x14ac:dyDescent="0.25">
      <c r="B657" s="7" t="s">
        <v>2223</v>
      </c>
      <c r="C657" s="2" t="s">
        <v>346</v>
      </c>
      <c r="D657" s="2" t="s">
        <v>347</v>
      </c>
      <c r="E657" s="2" t="s">
        <v>877</v>
      </c>
      <c r="F657" s="7">
        <v>2005</v>
      </c>
      <c r="G657" s="2" t="s">
        <v>931</v>
      </c>
      <c r="H657" s="2" t="s">
        <v>820</v>
      </c>
    </row>
    <row r="658" spans="2:8" x14ac:dyDescent="0.25">
      <c r="B658" s="7" t="s">
        <v>2224</v>
      </c>
      <c r="C658" s="2" t="s">
        <v>1735</v>
      </c>
      <c r="D658" s="2"/>
      <c r="E658" s="2" t="s">
        <v>877</v>
      </c>
      <c r="F658" s="7">
        <v>2006</v>
      </c>
      <c r="G658" s="2" t="s">
        <v>343</v>
      </c>
      <c r="H658" s="2" t="s">
        <v>820</v>
      </c>
    </row>
    <row r="659" spans="2:8" x14ac:dyDescent="0.25">
      <c r="B659" s="7" t="s">
        <v>2225</v>
      </c>
      <c r="C659" s="2" t="s">
        <v>348</v>
      </c>
      <c r="D659" s="2" t="s">
        <v>344</v>
      </c>
      <c r="E659" s="2" t="s">
        <v>877</v>
      </c>
      <c r="F659" s="7">
        <v>2006</v>
      </c>
      <c r="G659" s="2" t="s">
        <v>349</v>
      </c>
      <c r="H659" s="2" t="s">
        <v>1428</v>
      </c>
    </row>
    <row r="660" spans="2:8" x14ac:dyDescent="0.25">
      <c r="B660" s="7" t="s">
        <v>2226</v>
      </c>
      <c r="C660" s="2" t="s">
        <v>296</v>
      </c>
      <c r="D660" s="2" t="s">
        <v>31</v>
      </c>
      <c r="E660" s="2" t="s">
        <v>877</v>
      </c>
      <c r="F660" s="7">
        <v>1998</v>
      </c>
      <c r="G660" s="2" t="s">
        <v>1736</v>
      </c>
      <c r="H660" s="2" t="s">
        <v>888</v>
      </c>
    </row>
    <row r="661" spans="2:8" x14ac:dyDescent="0.25">
      <c r="B661" s="7" t="s">
        <v>2227</v>
      </c>
      <c r="C661" s="2" t="s">
        <v>1737</v>
      </c>
      <c r="D661" s="2" t="s">
        <v>31</v>
      </c>
      <c r="E661" s="2" t="s">
        <v>877</v>
      </c>
      <c r="F661" s="7">
        <v>2000</v>
      </c>
      <c r="G661" s="2" t="s">
        <v>1738</v>
      </c>
      <c r="H661" s="2" t="s">
        <v>309</v>
      </c>
    </row>
    <row r="662" spans="2:8" x14ac:dyDescent="0.25">
      <c r="B662" s="7" t="s">
        <v>2228</v>
      </c>
      <c r="C662" s="2" t="s">
        <v>1739</v>
      </c>
      <c r="D662" s="2" t="s">
        <v>1740</v>
      </c>
      <c r="E662" s="2" t="s">
        <v>877</v>
      </c>
      <c r="F662" s="7">
        <v>2007</v>
      </c>
      <c r="G662" s="2" t="s">
        <v>1741</v>
      </c>
      <c r="H662" s="2" t="s">
        <v>1428</v>
      </c>
    </row>
    <row r="663" spans="2:8" x14ac:dyDescent="0.25">
      <c r="B663" s="6" t="s">
        <v>2229</v>
      </c>
      <c r="C663" s="1" t="s">
        <v>1743</v>
      </c>
      <c r="D663" s="1" t="s">
        <v>1742</v>
      </c>
      <c r="E663" s="1" t="s">
        <v>877</v>
      </c>
      <c r="F663" s="6">
        <v>2007</v>
      </c>
      <c r="G663" s="1" t="s">
        <v>1744</v>
      </c>
      <c r="H663" s="1" t="s">
        <v>820</v>
      </c>
    </row>
    <row r="664" spans="2:8" x14ac:dyDescent="0.25">
      <c r="B664" s="6" t="s">
        <v>2230</v>
      </c>
      <c r="C664" s="1" t="s">
        <v>1745</v>
      </c>
      <c r="D664" s="1" t="s">
        <v>1742</v>
      </c>
      <c r="E664" s="1" t="s">
        <v>877</v>
      </c>
      <c r="F664" s="6">
        <v>2006</v>
      </c>
      <c r="G664" s="1" t="s">
        <v>1746</v>
      </c>
      <c r="H664" s="1" t="s">
        <v>1747</v>
      </c>
    </row>
    <row r="665" spans="2:8" x14ac:dyDescent="0.25">
      <c r="B665" s="7" t="s">
        <v>2231</v>
      </c>
      <c r="C665" s="2" t="s">
        <v>301</v>
      </c>
      <c r="D665" s="2" t="s">
        <v>31</v>
      </c>
      <c r="E665" s="2" t="s">
        <v>877</v>
      </c>
      <c r="F665" s="7">
        <v>2000</v>
      </c>
      <c r="G665" s="2"/>
      <c r="H665" s="2" t="s">
        <v>1748</v>
      </c>
    </row>
    <row r="666" spans="2:8" x14ac:dyDescent="0.25">
      <c r="B666" s="7" t="s">
        <v>2232</v>
      </c>
      <c r="C666" s="2" t="s">
        <v>1749</v>
      </c>
      <c r="D666" s="2" t="s">
        <v>1750</v>
      </c>
      <c r="E666" s="2" t="s">
        <v>877</v>
      </c>
      <c r="F666" s="7">
        <v>2004</v>
      </c>
      <c r="G666" s="2" t="s">
        <v>1751</v>
      </c>
      <c r="H666" s="2" t="s">
        <v>1751</v>
      </c>
    </row>
    <row r="667" spans="2:8" x14ac:dyDescent="0.25">
      <c r="B667" s="7" t="s">
        <v>2233</v>
      </c>
      <c r="C667" s="2" t="s">
        <v>404</v>
      </c>
      <c r="D667" s="2" t="s">
        <v>31</v>
      </c>
      <c r="E667" s="2" t="s">
        <v>877</v>
      </c>
      <c r="F667" s="7">
        <v>2001</v>
      </c>
      <c r="G667" s="2" t="s">
        <v>297</v>
      </c>
      <c r="H667" s="2" t="s">
        <v>888</v>
      </c>
    </row>
    <row r="668" spans="2:8" x14ac:dyDescent="0.25">
      <c r="B668" s="6" t="s">
        <v>2234</v>
      </c>
      <c r="C668" s="1" t="s">
        <v>1571</v>
      </c>
      <c r="D668" s="1" t="s">
        <v>31</v>
      </c>
      <c r="E668" s="1" t="s">
        <v>877</v>
      </c>
      <c r="F668" s="6">
        <v>2009</v>
      </c>
      <c r="G668" s="1" t="s">
        <v>1572</v>
      </c>
      <c r="H668" s="1" t="s">
        <v>1685</v>
      </c>
    </row>
    <row r="669" spans="2:8" s="2" customFormat="1" x14ac:dyDescent="0.25">
      <c r="B669" s="7" t="s">
        <v>2707</v>
      </c>
      <c r="C669" s="2" t="s">
        <v>2708</v>
      </c>
      <c r="D669" s="2" t="s">
        <v>31</v>
      </c>
      <c r="E669" s="2" t="s">
        <v>877</v>
      </c>
      <c r="F669" s="7">
        <v>2007</v>
      </c>
      <c r="G669" s="2" t="s">
        <v>2709</v>
      </c>
      <c r="H669" s="2" t="s">
        <v>820</v>
      </c>
    </row>
    <row r="670" spans="2:8" x14ac:dyDescent="0.25">
      <c r="B670" s="6" t="s">
        <v>2705</v>
      </c>
      <c r="C670" s="1" t="s">
        <v>2706</v>
      </c>
      <c r="D670" s="2" t="s">
        <v>31</v>
      </c>
      <c r="E670" s="2" t="s">
        <v>877</v>
      </c>
      <c r="F670" s="1">
        <v>2007</v>
      </c>
      <c r="G670" s="1" t="s">
        <v>1746</v>
      </c>
      <c r="H670" s="1" t="s">
        <v>281</v>
      </c>
    </row>
    <row r="671" spans="2:8" x14ac:dyDescent="0.25">
      <c r="B671" s="7" t="s">
        <v>2615</v>
      </c>
      <c r="C671" s="2" t="s">
        <v>405</v>
      </c>
      <c r="D671" s="2" t="s">
        <v>1752</v>
      </c>
      <c r="E671" s="2" t="s">
        <v>877</v>
      </c>
      <c r="F671" s="7">
        <v>2000</v>
      </c>
      <c r="G671" s="2" t="s">
        <v>1234</v>
      </c>
      <c r="H671" s="2" t="s">
        <v>1428</v>
      </c>
    </row>
    <row r="672" spans="2:8" x14ac:dyDescent="0.25">
      <c r="B672" s="7" t="s">
        <v>2616</v>
      </c>
      <c r="C672" s="2" t="s">
        <v>406</v>
      </c>
      <c r="D672" s="2" t="s">
        <v>1752</v>
      </c>
      <c r="E672" s="2" t="s">
        <v>877</v>
      </c>
      <c r="F672" s="7">
        <v>2000</v>
      </c>
      <c r="G672" s="2" t="s">
        <v>86</v>
      </c>
      <c r="H672" s="2" t="s">
        <v>816</v>
      </c>
    </row>
    <row r="673" spans="2:8" x14ac:dyDescent="0.25">
      <c r="B673" s="7" t="s">
        <v>2235</v>
      </c>
      <c r="C673" s="2" t="s">
        <v>407</v>
      </c>
      <c r="D673" s="2" t="s">
        <v>1752</v>
      </c>
      <c r="E673" s="2" t="s">
        <v>877</v>
      </c>
      <c r="F673" s="7">
        <v>2000</v>
      </c>
      <c r="G673" s="2" t="s">
        <v>1753</v>
      </c>
      <c r="H673" s="2" t="s">
        <v>816</v>
      </c>
    </row>
    <row r="674" spans="2:8" x14ac:dyDescent="0.25">
      <c r="B674" s="7" t="s">
        <v>2617</v>
      </c>
      <c r="C674" s="2" t="s">
        <v>1754</v>
      </c>
      <c r="D674" s="2" t="s">
        <v>1752</v>
      </c>
      <c r="E674" s="2" t="s">
        <v>877</v>
      </c>
      <c r="F674" s="7">
        <v>2000</v>
      </c>
      <c r="G674" s="2" t="s">
        <v>1755</v>
      </c>
      <c r="H674" s="2" t="s">
        <v>1448</v>
      </c>
    </row>
    <row r="675" spans="2:8" x14ac:dyDescent="0.25">
      <c r="B675" s="7" t="s">
        <v>2618</v>
      </c>
      <c r="C675" s="2" t="s">
        <v>1756</v>
      </c>
      <c r="D675" s="2" t="s">
        <v>1752</v>
      </c>
      <c r="E675" s="2" t="s">
        <v>877</v>
      </c>
      <c r="F675" s="7">
        <v>2000</v>
      </c>
      <c r="G675" s="2"/>
      <c r="H675" s="2" t="s">
        <v>1448</v>
      </c>
    </row>
    <row r="676" spans="2:8" x14ac:dyDescent="0.25">
      <c r="B676" s="7" t="s">
        <v>2619</v>
      </c>
      <c r="C676" s="2" t="s">
        <v>1757</v>
      </c>
      <c r="D676" s="2" t="s">
        <v>1752</v>
      </c>
      <c r="E676" s="2" t="s">
        <v>877</v>
      </c>
      <c r="F676" s="7">
        <v>2000</v>
      </c>
      <c r="G676" s="2" t="s">
        <v>1758</v>
      </c>
      <c r="H676" s="2" t="s">
        <v>888</v>
      </c>
    </row>
    <row r="677" spans="2:8" x14ac:dyDescent="0.25">
      <c r="B677" s="7" t="s">
        <v>2620</v>
      </c>
      <c r="C677" s="2" t="s">
        <v>408</v>
      </c>
      <c r="D677" s="2" t="s">
        <v>1752</v>
      </c>
      <c r="E677" s="2" t="s">
        <v>877</v>
      </c>
      <c r="F677" s="7">
        <v>2000</v>
      </c>
      <c r="G677" s="2" t="s">
        <v>1759</v>
      </c>
      <c r="H677" s="2" t="s">
        <v>816</v>
      </c>
    </row>
    <row r="678" spans="2:8" x14ac:dyDescent="0.25">
      <c r="B678" s="7" t="s">
        <v>2621</v>
      </c>
      <c r="C678" s="2" t="s">
        <v>1760</v>
      </c>
      <c r="D678" s="2" t="s">
        <v>1752</v>
      </c>
      <c r="E678" s="2" t="s">
        <v>877</v>
      </c>
      <c r="F678" s="7">
        <v>2000</v>
      </c>
      <c r="G678" s="2" t="s">
        <v>1761</v>
      </c>
      <c r="H678" s="2" t="s">
        <v>888</v>
      </c>
    </row>
    <row r="679" spans="2:8" ht="15.75" customHeight="1" x14ac:dyDescent="0.25">
      <c r="B679" s="6" t="s">
        <v>2622</v>
      </c>
      <c r="C679" s="1" t="s">
        <v>943</v>
      </c>
      <c r="D679" s="1" t="s">
        <v>1762</v>
      </c>
      <c r="E679" s="1" t="s">
        <v>877</v>
      </c>
      <c r="F679" s="6">
        <v>1998</v>
      </c>
      <c r="G679" s="1" t="s">
        <v>944</v>
      </c>
      <c r="H679" s="1" t="s">
        <v>888</v>
      </c>
    </row>
    <row r="680" spans="2:8" x14ac:dyDescent="0.25">
      <c r="B680" s="6" t="s">
        <v>2236</v>
      </c>
      <c r="C680" s="1" t="s">
        <v>350</v>
      </c>
      <c r="D680" s="1" t="s">
        <v>212</v>
      </c>
      <c r="E680" s="1" t="s">
        <v>877</v>
      </c>
      <c r="F680" s="6">
        <v>2000</v>
      </c>
      <c r="G680" s="1" t="s">
        <v>351</v>
      </c>
      <c r="H680" s="1" t="s">
        <v>1219</v>
      </c>
    </row>
    <row r="681" spans="2:8" x14ac:dyDescent="0.25">
      <c r="B681" s="7" t="s">
        <v>2237</v>
      </c>
      <c r="C681" s="2" t="s">
        <v>352</v>
      </c>
      <c r="D681" s="2" t="s">
        <v>212</v>
      </c>
      <c r="E681" s="2" t="s">
        <v>877</v>
      </c>
      <c r="F681" s="7">
        <v>2000</v>
      </c>
      <c r="G681" s="2" t="s">
        <v>353</v>
      </c>
      <c r="H681" s="2" t="s">
        <v>1204</v>
      </c>
    </row>
    <row r="682" spans="2:8" x14ac:dyDescent="0.25">
      <c r="B682" s="7" t="s">
        <v>2238</v>
      </c>
      <c r="C682" s="2" t="s">
        <v>354</v>
      </c>
      <c r="D682" s="2" t="s">
        <v>212</v>
      </c>
      <c r="E682" s="2" t="s">
        <v>877</v>
      </c>
      <c r="F682" s="7">
        <v>2000</v>
      </c>
      <c r="G682" s="2" t="s">
        <v>355</v>
      </c>
      <c r="H682" s="2" t="s">
        <v>120</v>
      </c>
    </row>
    <row r="683" spans="2:8" x14ac:dyDescent="0.25">
      <c r="B683" s="7" t="s">
        <v>2239</v>
      </c>
      <c r="C683" s="2" t="s">
        <v>651</v>
      </c>
      <c r="D683" s="2" t="s">
        <v>212</v>
      </c>
      <c r="E683" s="2" t="s">
        <v>877</v>
      </c>
      <c r="F683" s="7">
        <v>2000</v>
      </c>
      <c r="G683" s="2" t="s">
        <v>652</v>
      </c>
      <c r="H683" s="2" t="s">
        <v>816</v>
      </c>
    </row>
    <row r="684" spans="2:8" x14ac:dyDescent="0.25">
      <c r="B684" s="7" t="s">
        <v>2240</v>
      </c>
      <c r="C684" s="2" t="s">
        <v>653</v>
      </c>
      <c r="D684" s="2" t="s">
        <v>212</v>
      </c>
      <c r="E684" s="2" t="s">
        <v>877</v>
      </c>
      <c r="F684" s="7">
        <v>2000</v>
      </c>
      <c r="G684" s="2" t="s">
        <v>654</v>
      </c>
      <c r="H684" s="2" t="s">
        <v>1215</v>
      </c>
    </row>
    <row r="685" spans="2:8" x14ac:dyDescent="0.25">
      <c r="B685" s="7" t="s">
        <v>2450</v>
      </c>
      <c r="C685" s="2" t="s">
        <v>2451</v>
      </c>
      <c r="D685" s="2" t="s">
        <v>212</v>
      </c>
      <c r="E685" s="2" t="s">
        <v>877</v>
      </c>
      <c r="F685" s="7">
        <v>2001</v>
      </c>
      <c r="G685" s="2" t="s">
        <v>2452</v>
      </c>
      <c r="H685" s="2" t="s">
        <v>1529</v>
      </c>
    </row>
    <row r="686" spans="2:8" x14ac:dyDescent="0.25">
      <c r="B686" s="7" t="s">
        <v>2683</v>
      </c>
      <c r="C686" s="2" t="s">
        <v>2684</v>
      </c>
      <c r="D686" s="2" t="s">
        <v>2685</v>
      </c>
      <c r="E686" s="2" t="s">
        <v>877</v>
      </c>
      <c r="F686" s="7">
        <v>2000</v>
      </c>
      <c r="G686" s="2" t="s">
        <v>2686</v>
      </c>
      <c r="H686" s="2" t="s">
        <v>1448</v>
      </c>
    </row>
    <row r="687" spans="2:8" x14ac:dyDescent="0.25">
      <c r="B687" s="6" t="s">
        <v>2623</v>
      </c>
      <c r="C687" s="1" t="s">
        <v>356</v>
      </c>
      <c r="D687" s="1" t="s">
        <v>357</v>
      </c>
      <c r="E687" s="1" t="s">
        <v>877</v>
      </c>
      <c r="F687" s="6">
        <v>2009</v>
      </c>
      <c r="G687" s="1" t="s">
        <v>358</v>
      </c>
      <c r="H687" s="1" t="s">
        <v>359</v>
      </c>
    </row>
    <row r="688" spans="2:8" x14ac:dyDescent="0.25">
      <c r="B688" s="6" t="s">
        <v>2624</v>
      </c>
      <c r="C688" s="1" t="s">
        <v>360</v>
      </c>
      <c r="D688" s="1" t="s">
        <v>357</v>
      </c>
      <c r="E688" s="1" t="s">
        <v>877</v>
      </c>
      <c r="F688" s="6">
        <v>2007</v>
      </c>
      <c r="G688" s="1" t="s">
        <v>361</v>
      </c>
      <c r="H688" s="1" t="s">
        <v>362</v>
      </c>
    </row>
    <row r="689" spans="2:8" x14ac:dyDescent="0.25">
      <c r="B689" s="6" t="s">
        <v>2625</v>
      </c>
      <c r="C689" s="1" t="s">
        <v>112</v>
      </c>
      <c r="D689" s="1" t="s">
        <v>111</v>
      </c>
      <c r="E689" s="1" t="s">
        <v>877</v>
      </c>
      <c r="F689" s="6">
        <v>2010</v>
      </c>
      <c r="G689" s="1" t="s">
        <v>1640</v>
      </c>
      <c r="H689" s="1" t="s">
        <v>1214</v>
      </c>
    </row>
    <row r="690" spans="2:8" x14ac:dyDescent="0.25">
      <c r="B690" s="6" t="s">
        <v>2626</v>
      </c>
      <c r="C690" s="1" t="s">
        <v>84</v>
      </c>
      <c r="D690" s="1" t="s">
        <v>111</v>
      </c>
      <c r="E690" s="1" t="s">
        <v>877</v>
      </c>
      <c r="F690" s="6">
        <v>2009</v>
      </c>
      <c r="G690" s="1" t="s">
        <v>85</v>
      </c>
      <c r="H690" s="1" t="s">
        <v>820</v>
      </c>
    </row>
    <row r="691" spans="2:8" x14ac:dyDescent="0.25">
      <c r="B691" s="6" t="s">
        <v>2241</v>
      </c>
      <c r="C691" s="1" t="s">
        <v>715</v>
      </c>
      <c r="D691" s="1" t="s">
        <v>111</v>
      </c>
      <c r="E691" s="1" t="s">
        <v>877</v>
      </c>
      <c r="F691" s="6">
        <v>2010</v>
      </c>
      <c r="G691" s="1" t="s">
        <v>716</v>
      </c>
      <c r="H691" s="1" t="s">
        <v>820</v>
      </c>
    </row>
    <row r="692" spans="2:8" x14ac:dyDescent="0.25">
      <c r="B692" s="6" t="s">
        <v>2242</v>
      </c>
      <c r="C692" s="1" t="s">
        <v>719</v>
      </c>
      <c r="D692" s="1" t="s">
        <v>111</v>
      </c>
      <c r="E692" s="1" t="s">
        <v>877</v>
      </c>
      <c r="F692" s="6">
        <v>2009</v>
      </c>
      <c r="G692" s="1" t="s">
        <v>720</v>
      </c>
      <c r="H692" s="1" t="s">
        <v>1428</v>
      </c>
    </row>
    <row r="693" spans="2:8" x14ac:dyDescent="0.25">
      <c r="B693" s="6" t="s">
        <v>2243</v>
      </c>
      <c r="C693" s="1" t="s">
        <v>721</v>
      </c>
      <c r="D693" s="1" t="s">
        <v>111</v>
      </c>
      <c r="E693" s="1" t="s">
        <v>877</v>
      </c>
      <c r="F693" s="6">
        <v>2011</v>
      </c>
      <c r="G693" s="1" t="s">
        <v>722</v>
      </c>
      <c r="H693" s="1" t="s">
        <v>1428</v>
      </c>
    </row>
    <row r="694" spans="2:8" x14ac:dyDescent="0.25">
      <c r="B694" s="6" t="s">
        <v>2244</v>
      </c>
      <c r="C694" s="1" t="s">
        <v>723</v>
      </c>
      <c r="D694" s="1" t="s">
        <v>111</v>
      </c>
      <c r="E694" s="1" t="s">
        <v>877</v>
      </c>
      <c r="F694" s="6">
        <v>2009</v>
      </c>
    </row>
    <row r="695" spans="2:8" x14ac:dyDescent="0.25">
      <c r="B695" s="6" t="s">
        <v>2245</v>
      </c>
      <c r="C695" s="1" t="s">
        <v>724</v>
      </c>
      <c r="D695" s="1" t="s">
        <v>111</v>
      </c>
      <c r="E695" s="1" t="s">
        <v>877</v>
      </c>
      <c r="F695" s="6">
        <v>2010</v>
      </c>
      <c r="G695" s="1" t="s">
        <v>725</v>
      </c>
      <c r="H695" s="1" t="s">
        <v>1613</v>
      </c>
    </row>
    <row r="696" spans="2:8" x14ac:dyDescent="0.25">
      <c r="B696" s="6" t="s">
        <v>3121</v>
      </c>
      <c r="C696" s="1" t="s">
        <v>3122</v>
      </c>
      <c r="F696" s="6"/>
    </row>
    <row r="697" spans="2:8" x14ac:dyDescent="0.25">
      <c r="B697" s="6" t="s">
        <v>2397</v>
      </c>
      <c r="C697" s="1" t="s">
        <v>2398</v>
      </c>
      <c r="D697" s="1" t="s">
        <v>2399</v>
      </c>
      <c r="E697" s="1" t="s">
        <v>877</v>
      </c>
      <c r="F697" s="6">
        <v>2013</v>
      </c>
      <c r="G697" s="1" t="s">
        <v>2400</v>
      </c>
      <c r="H697" s="1" t="s">
        <v>820</v>
      </c>
    </row>
    <row r="698" spans="2:8" x14ac:dyDescent="0.25">
      <c r="B698" s="6" t="s">
        <v>2409</v>
      </c>
      <c r="C698" s="1" t="s">
        <v>2401</v>
      </c>
      <c r="D698" s="1" t="s">
        <v>2399</v>
      </c>
      <c r="E698" s="1" t="s">
        <v>877</v>
      </c>
      <c r="F698" s="6">
        <v>2012</v>
      </c>
      <c r="G698" s="1" t="s">
        <v>2402</v>
      </c>
      <c r="H698" s="1" t="s">
        <v>820</v>
      </c>
    </row>
    <row r="699" spans="2:8" x14ac:dyDescent="0.25">
      <c r="B699" s="6" t="s">
        <v>2403</v>
      </c>
      <c r="C699" s="1" t="s">
        <v>2404</v>
      </c>
      <c r="D699" s="1" t="s">
        <v>2399</v>
      </c>
      <c r="E699" s="1" t="s">
        <v>877</v>
      </c>
      <c r="F699" s="6">
        <v>2012</v>
      </c>
      <c r="G699" s="1" t="s">
        <v>2405</v>
      </c>
      <c r="H699" s="1" t="s">
        <v>2406</v>
      </c>
    </row>
    <row r="700" spans="2:8" x14ac:dyDescent="0.25">
      <c r="B700" s="6" t="s">
        <v>2408</v>
      </c>
      <c r="C700" s="1" t="s">
        <v>650</v>
      </c>
      <c r="D700" s="1" t="s">
        <v>2399</v>
      </c>
      <c r="E700" s="1" t="s">
        <v>877</v>
      </c>
      <c r="F700" s="6">
        <v>2012</v>
      </c>
      <c r="G700" s="1" t="s">
        <v>2407</v>
      </c>
      <c r="H700" s="1" t="s">
        <v>820</v>
      </c>
    </row>
    <row r="701" spans="2:8" x14ac:dyDescent="0.25">
      <c r="B701" s="6" t="s">
        <v>2418</v>
      </c>
      <c r="C701" s="1" t="s">
        <v>2419</v>
      </c>
      <c r="D701" s="1" t="s">
        <v>2399</v>
      </c>
      <c r="E701" s="1" t="s">
        <v>877</v>
      </c>
      <c r="F701" s="6">
        <v>2012</v>
      </c>
      <c r="G701" s="1" t="s">
        <v>2420</v>
      </c>
      <c r="H701" s="1" t="s">
        <v>1613</v>
      </c>
    </row>
    <row r="702" spans="2:8" x14ac:dyDescent="0.25">
      <c r="B702" s="6" t="s">
        <v>2421</v>
      </c>
      <c r="C702" s="1" t="s">
        <v>2422</v>
      </c>
      <c r="D702" s="1" t="s">
        <v>2399</v>
      </c>
      <c r="E702" s="1" t="s">
        <v>877</v>
      </c>
      <c r="F702" s="6">
        <v>2012</v>
      </c>
      <c r="G702" s="1" t="s">
        <v>2423</v>
      </c>
      <c r="H702" s="1" t="s">
        <v>2406</v>
      </c>
    </row>
    <row r="703" spans="2:8" x14ac:dyDescent="0.25">
      <c r="B703" s="6" t="s">
        <v>2492</v>
      </c>
      <c r="C703" s="1" t="s">
        <v>2493</v>
      </c>
      <c r="D703" s="1" t="s">
        <v>2494</v>
      </c>
      <c r="E703" s="1" t="s">
        <v>877</v>
      </c>
      <c r="F703" s="6">
        <v>2013</v>
      </c>
      <c r="G703" s="1" t="s">
        <v>2407</v>
      </c>
      <c r="H703" s="1" t="s">
        <v>820</v>
      </c>
    </row>
    <row r="704" spans="2:8" x14ac:dyDescent="0.25">
      <c r="B704" s="6" t="s">
        <v>2902</v>
      </c>
      <c r="C704" s="1" t="s">
        <v>2493</v>
      </c>
      <c r="D704" s="1" t="s">
        <v>2903</v>
      </c>
      <c r="E704" s="1" t="s">
        <v>877</v>
      </c>
      <c r="F704" s="6">
        <v>2013</v>
      </c>
      <c r="G704" s="1" t="s">
        <v>86</v>
      </c>
      <c r="H704" s="1" t="s">
        <v>2892</v>
      </c>
    </row>
    <row r="705" spans="2:8" x14ac:dyDescent="0.25">
      <c r="B705" s="6" t="s">
        <v>2904</v>
      </c>
      <c r="C705" s="1" t="s">
        <v>2905</v>
      </c>
      <c r="D705" s="1" t="s">
        <v>2903</v>
      </c>
      <c r="E705" s="1" t="s">
        <v>877</v>
      </c>
      <c r="F705" s="6">
        <v>2014</v>
      </c>
      <c r="G705" s="1" t="s">
        <v>2906</v>
      </c>
      <c r="H705" s="1" t="s">
        <v>2892</v>
      </c>
    </row>
    <row r="706" spans="2:8" x14ac:dyDescent="0.25">
      <c r="B706" s="6" t="s">
        <v>2931</v>
      </c>
      <c r="C706" s="1" t="s">
        <v>2929</v>
      </c>
      <c r="D706" s="1" t="s">
        <v>2930</v>
      </c>
      <c r="E706" s="1" t="s">
        <v>877</v>
      </c>
      <c r="F706" s="1">
        <v>2012</v>
      </c>
      <c r="G706" s="1" t="s">
        <v>85</v>
      </c>
      <c r="H706" s="1" t="s">
        <v>2892</v>
      </c>
    </row>
    <row r="707" spans="2:8" x14ac:dyDescent="0.25">
      <c r="B707" s="6" t="s">
        <v>2865</v>
      </c>
      <c r="C707" s="1" t="s">
        <v>2866</v>
      </c>
      <c r="D707" s="1" t="s">
        <v>2867</v>
      </c>
      <c r="E707" s="1" t="s">
        <v>877</v>
      </c>
      <c r="F707" s="6">
        <v>2015</v>
      </c>
      <c r="G707" s="1" t="s">
        <v>2407</v>
      </c>
      <c r="H707" s="1" t="s">
        <v>820</v>
      </c>
    </row>
    <row r="708" spans="2:8" x14ac:dyDescent="0.25">
      <c r="B708" s="6" t="s">
        <v>2941</v>
      </c>
      <c r="C708" s="1" t="s">
        <v>2944</v>
      </c>
      <c r="D708" s="1" t="s">
        <v>2867</v>
      </c>
      <c r="E708" s="1" t="s">
        <v>877</v>
      </c>
      <c r="F708" s="6">
        <v>2015</v>
      </c>
      <c r="G708" s="1" t="s">
        <v>2945</v>
      </c>
      <c r="H708" s="1" t="s">
        <v>820</v>
      </c>
    </row>
    <row r="709" spans="2:8" x14ac:dyDescent="0.25">
      <c r="B709" s="6" t="s">
        <v>2942</v>
      </c>
      <c r="C709" s="1" t="s">
        <v>2946</v>
      </c>
      <c r="D709" s="1" t="s">
        <v>2867</v>
      </c>
      <c r="E709" s="1" t="s">
        <v>877</v>
      </c>
      <c r="F709" s="6">
        <v>2015</v>
      </c>
      <c r="G709" s="1" t="s">
        <v>2947</v>
      </c>
      <c r="H709" s="1" t="s">
        <v>820</v>
      </c>
    </row>
    <row r="710" spans="2:8" x14ac:dyDescent="0.25">
      <c r="B710" s="6" t="s">
        <v>2943</v>
      </c>
      <c r="C710" s="1" t="s">
        <v>2948</v>
      </c>
      <c r="D710" s="1" t="s">
        <v>2867</v>
      </c>
      <c r="E710" s="1" t="s">
        <v>877</v>
      </c>
      <c r="F710" s="6">
        <v>2015</v>
      </c>
      <c r="G710" s="1" t="s">
        <v>1041</v>
      </c>
      <c r="H710" s="1" t="s">
        <v>820</v>
      </c>
    </row>
    <row r="711" spans="2:8" x14ac:dyDescent="0.25">
      <c r="B711" s="6" t="s">
        <v>2627</v>
      </c>
      <c r="C711" s="1" t="s">
        <v>363</v>
      </c>
      <c r="D711" s="1" t="s">
        <v>1474</v>
      </c>
      <c r="E711" s="1" t="s">
        <v>877</v>
      </c>
      <c r="F711" s="6">
        <v>1997</v>
      </c>
      <c r="G711" s="1" t="s">
        <v>1475</v>
      </c>
      <c r="H711" s="1" t="s">
        <v>1580</v>
      </c>
    </row>
    <row r="712" spans="2:8" x14ac:dyDescent="0.25">
      <c r="B712" s="6" t="s">
        <v>2628</v>
      </c>
      <c r="C712" s="1" t="s">
        <v>1476</v>
      </c>
      <c r="D712" s="1" t="s">
        <v>1474</v>
      </c>
      <c r="E712" s="1" t="s">
        <v>877</v>
      </c>
      <c r="F712" s="6">
        <v>1997</v>
      </c>
      <c r="G712" s="1" t="s">
        <v>1477</v>
      </c>
      <c r="H712" s="1" t="s">
        <v>1215</v>
      </c>
    </row>
    <row r="713" spans="2:8" x14ac:dyDescent="0.25">
      <c r="B713" s="7" t="s">
        <v>2246</v>
      </c>
      <c r="C713" s="2" t="s">
        <v>1480</v>
      </c>
      <c r="D713" s="2" t="s">
        <v>1141</v>
      </c>
      <c r="E713" s="2" t="s">
        <v>877</v>
      </c>
      <c r="F713" s="7">
        <v>1997</v>
      </c>
      <c r="G713" s="2" t="s">
        <v>1625</v>
      </c>
      <c r="H713" s="2" t="s">
        <v>1428</v>
      </c>
    </row>
    <row r="714" spans="2:8" x14ac:dyDescent="0.25">
      <c r="B714" s="7" t="s">
        <v>2247</v>
      </c>
      <c r="C714" s="2" t="s">
        <v>1626</v>
      </c>
      <c r="D714" s="2" t="s">
        <v>1141</v>
      </c>
      <c r="E714" s="2" t="s">
        <v>877</v>
      </c>
      <c r="F714" s="7">
        <v>1997</v>
      </c>
      <c r="G714" s="2" t="s">
        <v>1627</v>
      </c>
      <c r="H714" s="2" t="s">
        <v>1428</v>
      </c>
    </row>
    <row r="715" spans="2:8" x14ac:dyDescent="0.25">
      <c r="B715" s="7" t="s">
        <v>2248</v>
      </c>
      <c r="C715" s="2" t="s">
        <v>1628</v>
      </c>
      <c r="D715" s="2" t="s">
        <v>1478</v>
      </c>
      <c r="E715" s="2" t="s">
        <v>877</v>
      </c>
      <c r="F715" s="7">
        <v>1999</v>
      </c>
      <c r="G715" s="2" t="s">
        <v>1629</v>
      </c>
      <c r="H715" s="2" t="s">
        <v>1215</v>
      </c>
    </row>
    <row r="716" spans="2:8" x14ac:dyDescent="0.25">
      <c r="B716" s="7" t="s">
        <v>2249</v>
      </c>
      <c r="C716" s="2" t="s">
        <v>1630</v>
      </c>
      <c r="D716" s="2" t="s">
        <v>1478</v>
      </c>
      <c r="E716" s="2" t="s">
        <v>877</v>
      </c>
      <c r="F716" s="7">
        <v>1999</v>
      </c>
      <c r="G716" s="2" t="s">
        <v>1479</v>
      </c>
      <c r="H716" s="2" t="s">
        <v>816</v>
      </c>
    </row>
    <row r="717" spans="2:8" x14ac:dyDescent="0.25">
      <c r="B717" s="6" t="s">
        <v>2629</v>
      </c>
      <c r="C717" s="1" t="s">
        <v>1633</v>
      </c>
      <c r="D717" s="1" t="s">
        <v>1632</v>
      </c>
      <c r="E717" s="1" t="s">
        <v>877</v>
      </c>
      <c r="F717" s="6">
        <v>2006</v>
      </c>
      <c r="H717" s="1" t="s">
        <v>1448</v>
      </c>
    </row>
    <row r="718" spans="2:8" x14ac:dyDescent="0.25">
      <c r="B718" s="6" t="s">
        <v>2630</v>
      </c>
      <c r="C718" s="1" t="s">
        <v>1633</v>
      </c>
      <c r="D718" s="1" t="s">
        <v>1632</v>
      </c>
      <c r="E718" s="1" t="s">
        <v>877</v>
      </c>
      <c r="F718" s="6">
        <v>2006</v>
      </c>
      <c r="H718" s="1" t="s">
        <v>1448</v>
      </c>
    </row>
    <row r="719" spans="2:8" x14ac:dyDescent="0.25">
      <c r="B719" s="6" t="s">
        <v>2631</v>
      </c>
      <c r="C719" s="1" t="s">
        <v>1634</v>
      </c>
      <c r="D719" s="1" t="s">
        <v>1632</v>
      </c>
      <c r="E719" s="1" t="s">
        <v>877</v>
      </c>
      <c r="F719" s="6">
        <v>2006</v>
      </c>
      <c r="H719" s="1" t="s">
        <v>1448</v>
      </c>
    </row>
    <row r="720" spans="2:8" x14ac:dyDescent="0.25">
      <c r="B720" s="6" t="s">
        <v>2632</v>
      </c>
      <c r="C720" s="1" t="s">
        <v>1635</v>
      </c>
      <c r="D720" s="1" t="s">
        <v>1632</v>
      </c>
      <c r="E720" s="1" t="s">
        <v>877</v>
      </c>
      <c r="F720" s="6">
        <v>2007</v>
      </c>
      <c r="G720" s="1" t="s">
        <v>1034</v>
      </c>
      <c r="H720" s="1" t="s">
        <v>609</v>
      </c>
    </row>
    <row r="721" spans="2:8" x14ac:dyDescent="0.25">
      <c r="B721" s="6" t="s">
        <v>2633</v>
      </c>
      <c r="C721" s="1" t="s">
        <v>1636</v>
      </c>
      <c r="D721" s="1" t="s">
        <v>1632</v>
      </c>
      <c r="E721" s="1" t="s">
        <v>877</v>
      </c>
      <c r="F721" s="6">
        <v>2007</v>
      </c>
      <c r="G721" s="1" t="s">
        <v>1637</v>
      </c>
      <c r="H721" s="1" t="s">
        <v>342</v>
      </c>
    </row>
    <row r="722" spans="2:8" x14ac:dyDescent="0.25">
      <c r="B722" s="6" t="s">
        <v>2250</v>
      </c>
      <c r="C722" s="1" t="s">
        <v>1639</v>
      </c>
      <c r="D722" s="1" t="s">
        <v>1632</v>
      </c>
      <c r="E722" s="1" t="s">
        <v>877</v>
      </c>
      <c r="F722" s="6">
        <v>2007</v>
      </c>
      <c r="G722" s="1" t="s">
        <v>1640</v>
      </c>
      <c r="H722" s="1" t="s">
        <v>1214</v>
      </c>
    </row>
    <row r="723" spans="2:8" x14ac:dyDescent="0.25">
      <c r="B723" s="6" t="s">
        <v>2251</v>
      </c>
      <c r="C723" s="1" t="s">
        <v>763</v>
      </c>
      <c r="D723" s="1" t="s">
        <v>1632</v>
      </c>
      <c r="E723" s="1" t="s">
        <v>877</v>
      </c>
      <c r="F723" s="6">
        <v>2007</v>
      </c>
      <c r="G723" s="1" t="s">
        <v>764</v>
      </c>
      <c r="H723" s="1" t="s">
        <v>342</v>
      </c>
    </row>
    <row r="724" spans="2:8" x14ac:dyDescent="0.25">
      <c r="B724" s="6" t="s">
        <v>2252</v>
      </c>
      <c r="C724" s="1" t="s">
        <v>1309</v>
      </c>
      <c r="D724" s="1" t="s">
        <v>1632</v>
      </c>
      <c r="E724" s="1" t="s">
        <v>877</v>
      </c>
      <c r="F724" s="6">
        <v>2007</v>
      </c>
      <c r="G724" s="1" t="s">
        <v>1310</v>
      </c>
      <c r="H724" s="1" t="s">
        <v>820</v>
      </c>
    </row>
    <row r="725" spans="2:8" x14ac:dyDescent="0.25">
      <c r="B725" s="6" t="s">
        <v>2253</v>
      </c>
      <c r="C725" s="1" t="s">
        <v>1035</v>
      </c>
      <c r="D725" s="1" t="s">
        <v>1632</v>
      </c>
      <c r="E725" s="1" t="s">
        <v>877</v>
      </c>
      <c r="F725" s="6">
        <v>2007</v>
      </c>
      <c r="G725" s="1" t="s">
        <v>1758</v>
      </c>
      <c r="H725" s="1" t="s">
        <v>1759</v>
      </c>
    </row>
    <row r="726" spans="2:8" x14ac:dyDescent="0.25">
      <c r="B726" s="6" t="s">
        <v>2254</v>
      </c>
      <c r="C726" s="1" t="s">
        <v>1036</v>
      </c>
      <c r="D726" s="1" t="s">
        <v>1632</v>
      </c>
      <c r="E726" s="1" t="s">
        <v>877</v>
      </c>
      <c r="F726" s="6">
        <v>2007</v>
      </c>
      <c r="G726" s="1" t="s">
        <v>688</v>
      </c>
      <c r="H726" s="1" t="s">
        <v>820</v>
      </c>
    </row>
    <row r="727" spans="2:8" x14ac:dyDescent="0.25">
      <c r="B727" s="6" t="s">
        <v>2255</v>
      </c>
      <c r="C727" s="1" t="s">
        <v>689</v>
      </c>
      <c r="D727" s="1" t="s">
        <v>1632</v>
      </c>
      <c r="E727" s="1" t="s">
        <v>877</v>
      </c>
      <c r="F727" s="6">
        <v>2007</v>
      </c>
      <c r="G727" s="1" t="s">
        <v>690</v>
      </c>
      <c r="H727" s="1" t="s">
        <v>342</v>
      </c>
    </row>
    <row r="728" spans="2:8" x14ac:dyDescent="0.25">
      <c r="B728" s="6" t="s">
        <v>2256</v>
      </c>
      <c r="C728" s="1" t="s">
        <v>691</v>
      </c>
      <c r="D728" s="1" t="s">
        <v>1632</v>
      </c>
      <c r="E728" s="1" t="s">
        <v>877</v>
      </c>
      <c r="F728" s="6">
        <v>2007</v>
      </c>
      <c r="G728" s="1" t="s">
        <v>692</v>
      </c>
      <c r="H728" s="1" t="s">
        <v>1448</v>
      </c>
    </row>
    <row r="729" spans="2:8" x14ac:dyDescent="0.25">
      <c r="B729" s="6" t="s">
        <v>2257</v>
      </c>
      <c r="C729" s="1" t="s">
        <v>1639</v>
      </c>
      <c r="D729" s="1" t="s">
        <v>1632</v>
      </c>
      <c r="E729" s="1" t="s">
        <v>877</v>
      </c>
      <c r="F729" s="6">
        <v>2007</v>
      </c>
      <c r="G729" s="1" t="s">
        <v>1640</v>
      </c>
      <c r="H729" s="1" t="s">
        <v>1214</v>
      </c>
    </row>
    <row r="730" spans="2:8" x14ac:dyDescent="0.25">
      <c r="B730" s="6" t="s">
        <v>2258</v>
      </c>
      <c r="C730" s="1" t="s">
        <v>693</v>
      </c>
      <c r="D730" s="1" t="s">
        <v>1632</v>
      </c>
      <c r="E730" s="1" t="s">
        <v>877</v>
      </c>
      <c r="F730" s="6">
        <v>2007</v>
      </c>
      <c r="G730" s="1" t="s">
        <v>869</v>
      </c>
      <c r="H730" s="1" t="s">
        <v>1428</v>
      </c>
    </row>
    <row r="731" spans="2:8" x14ac:dyDescent="0.25">
      <c r="B731" s="6" t="s">
        <v>2259</v>
      </c>
      <c r="C731" s="1" t="s">
        <v>694</v>
      </c>
      <c r="D731" s="1" t="s">
        <v>1632</v>
      </c>
      <c r="E731" s="1" t="s">
        <v>877</v>
      </c>
      <c r="F731" s="6">
        <v>2007</v>
      </c>
      <c r="G731" s="1" t="s">
        <v>695</v>
      </c>
      <c r="H731" s="1" t="s">
        <v>1428</v>
      </c>
    </row>
    <row r="732" spans="2:8" x14ac:dyDescent="0.25">
      <c r="B732" s="6" t="s">
        <v>2260</v>
      </c>
      <c r="C732" s="1" t="s">
        <v>696</v>
      </c>
      <c r="D732" s="1" t="s">
        <v>1632</v>
      </c>
      <c r="E732" s="1" t="s">
        <v>877</v>
      </c>
      <c r="F732" s="6">
        <v>2007</v>
      </c>
      <c r="G732" s="1" t="s">
        <v>1637</v>
      </c>
      <c r="H732" s="1" t="s">
        <v>1422</v>
      </c>
    </row>
    <row r="733" spans="2:8" x14ac:dyDescent="0.25">
      <c r="B733" s="6" t="s">
        <v>2261</v>
      </c>
      <c r="C733" s="1" t="s">
        <v>1033</v>
      </c>
      <c r="D733" s="1" t="s">
        <v>1632</v>
      </c>
      <c r="E733" s="1" t="s">
        <v>877</v>
      </c>
      <c r="F733" s="6">
        <v>2008</v>
      </c>
      <c r="G733" s="1" t="s">
        <v>1034</v>
      </c>
      <c r="H733" s="1" t="s">
        <v>888</v>
      </c>
    </row>
    <row r="734" spans="2:8" x14ac:dyDescent="0.25">
      <c r="B734" s="6" t="s">
        <v>2262</v>
      </c>
      <c r="C734" s="1" t="s">
        <v>697</v>
      </c>
      <c r="D734" s="1" t="s">
        <v>1632</v>
      </c>
      <c r="E734" s="1" t="s">
        <v>877</v>
      </c>
      <c r="F734" s="6">
        <v>2007</v>
      </c>
      <c r="G734" s="1" t="s">
        <v>1758</v>
      </c>
      <c r="H734" s="1" t="s">
        <v>820</v>
      </c>
    </row>
    <row r="735" spans="2:8" x14ac:dyDescent="0.25">
      <c r="B735" s="7" t="s">
        <v>2634</v>
      </c>
      <c r="C735" s="2" t="s">
        <v>698</v>
      </c>
      <c r="D735" s="2" t="s">
        <v>699</v>
      </c>
      <c r="E735" s="2" t="s">
        <v>877</v>
      </c>
      <c r="F735" s="7">
        <v>2001</v>
      </c>
      <c r="G735" s="2" t="s">
        <v>700</v>
      </c>
      <c r="H735" s="2" t="s">
        <v>1529</v>
      </c>
    </row>
    <row r="736" spans="2:8" x14ac:dyDescent="0.25">
      <c r="B736" s="7" t="s">
        <v>2635</v>
      </c>
      <c r="C736" s="2" t="s">
        <v>701</v>
      </c>
      <c r="D736" s="2" t="s">
        <v>699</v>
      </c>
      <c r="E736" s="2" t="s">
        <v>877</v>
      </c>
      <c r="F736" s="7">
        <v>2002</v>
      </c>
      <c r="G736" s="2" t="s">
        <v>690</v>
      </c>
      <c r="H736" s="2" t="s">
        <v>1610</v>
      </c>
    </row>
    <row r="737" spans="2:8" x14ac:dyDescent="0.25">
      <c r="B737" s="7" t="s">
        <v>2636</v>
      </c>
      <c r="C737" s="2" t="s">
        <v>702</v>
      </c>
      <c r="D737" s="2" t="s">
        <v>699</v>
      </c>
      <c r="E737" s="2" t="s">
        <v>877</v>
      </c>
      <c r="F737" s="7">
        <v>2002</v>
      </c>
      <c r="G737" s="2" t="s">
        <v>703</v>
      </c>
      <c r="H737" s="2" t="s">
        <v>1613</v>
      </c>
    </row>
    <row r="738" spans="2:8" x14ac:dyDescent="0.25">
      <c r="B738" s="7" t="s">
        <v>2637</v>
      </c>
      <c r="C738" s="2" t="s">
        <v>704</v>
      </c>
      <c r="D738" s="2" t="s">
        <v>699</v>
      </c>
      <c r="E738" s="2" t="s">
        <v>877</v>
      </c>
      <c r="F738" s="7">
        <v>2002</v>
      </c>
      <c r="G738" s="2" t="s">
        <v>690</v>
      </c>
      <c r="H738" s="2" t="s">
        <v>1204</v>
      </c>
    </row>
    <row r="739" spans="2:8" x14ac:dyDescent="0.25">
      <c r="B739" s="7" t="s">
        <v>2638</v>
      </c>
      <c r="C739" s="2" t="s">
        <v>705</v>
      </c>
      <c r="D739" s="2" t="s">
        <v>699</v>
      </c>
      <c r="E739" s="2" t="s">
        <v>877</v>
      </c>
      <c r="F739" s="7">
        <v>2002</v>
      </c>
      <c r="G739" s="2" t="s">
        <v>706</v>
      </c>
      <c r="H739" s="2" t="s">
        <v>1215</v>
      </c>
    </row>
    <row r="740" spans="2:8" x14ac:dyDescent="0.25">
      <c r="B740" s="7" t="s">
        <v>2639</v>
      </c>
      <c r="C740" s="2" t="s">
        <v>707</v>
      </c>
      <c r="D740" s="2" t="s">
        <v>699</v>
      </c>
      <c r="E740" s="2" t="s">
        <v>877</v>
      </c>
      <c r="F740" s="7">
        <v>2002</v>
      </c>
      <c r="G740" s="2" t="s">
        <v>700</v>
      </c>
      <c r="H740" s="2" t="s">
        <v>1204</v>
      </c>
    </row>
    <row r="741" spans="2:8" x14ac:dyDescent="0.25">
      <c r="B741" s="7" t="s">
        <v>2640</v>
      </c>
      <c r="C741" s="2" t="s">
        <v>708</v>
      </c>
      <c r="D741" s="2" t="s">
        <v>699</v>
      </c>
      <c r="E741" s="2" t="s">
        <v>877</v>
      </c>
      <c r="F741" s="7">
        <v>2001</v>
      </c>
      <c r="G741" s="2" t="s">
        <v>764</v>
      </c>
      <c r="H741" s="2" t="s">
        <v>1204</v>
      </c>
    </row>
    <row r="742" spans="2:8" x14ac:dyDescent="0.25">
      <c r="B742" s="7" t="s">
        <v>2263</v>
      </c>
      <c r="C742" s="2" t="s">
        <v>709</v>
      </c>
      <c r="D742" s="2" t="s">
        <v>699</v>
      </c>
      <c r="E742" s="2" t="s">
        <v>877</v>
      </c>
      <c r="F742" s="7">
        <v>2001</v>
      </c>
      <c r="G742" s="2" t="s">
        <v>710</v>
      </c>
      <c r="H742" s="2" t="s">
        <v>1082</v>
      </c>
    </row>
    <row r="743" spans="2:8" x14ac:dyDescent="0.25">
      <c r="B743" s="7" t="s">
        <v>2264</v>
      </c>
      <c r="C743" s="2" t="s">
        <v>610</v>
      </c>
      <c r="D743" s="2" t="s">
        <v>699</v>
      </c>
      <c r="E743" s="2" t="s">
        <v>877</v>
      </c>
      <c r="F743" s="7">
        <v>2001</v>
      </c>
      <c r="G743" s="2" t="s">
        <v>611</v>
      </c>
      <c r="H743" s="2" t="s">
        <v>202</v>
      </c>
    </row>
    <row r="744" spans="2:8" x14ac:dyDescent="0.25">
      <c r="B744" s="7" t="s">
        <v>2265</v>
      </c>
      <c r="C744" s="2" t="s">
        <v>1083</v>
      </c>
      <c r="D744" s="2" t="s">
        <v>699</v>
      </c>
      <c r="E744" s="2" t="s">
        <v>877</v>
      </c>
      <c r="F744" s="7">
        <v>2003</v>
      </c>
      <c r="G744" s="2" t="s">
        <v>1084</v>
      </c>
      <c r="H744" s="2" t="s">
        <v>1085</v>
      </c>
    </row>
    <row r="745" spans="2:8" x14ac:dyDescent="0.25">
      <c r="B745" s="7" t="s">
        <v>2266</v>
      </c>
      <c r="C745" s="2" t="s">
        <v>1086</v>
      </c>
      <c r="D745" s="2" t="s">
        <v>699</v>
      </c>
      <c r="E745" s="2" t="s">
        <v>877</v>
      </c>
      <c r="F745" s="7">
        <v>2003</v>
      </c>
      <c r="G745" s="2" t="s">
        <v>1084</v>
      </c>
      <c r="H745" s="2" t="s">
        <v>1085</v>
      </c>
    </row>
    <row r="746" spans="2:8" x14ac:dyDescent="0.25">
      <c r="B746" s="6" t="s">
        <v>2267</v>
      </c>
      <c r="C746" s="1" t="s">
        <v>1087</v>
      </c>
      <c r="D746" s="1" t="s">
        <v>699</v>
      </c>
      <c r="E746" s="1" t="s">
        <v>877</v>
      </c>
      <c r="F746" s="6">
        <v>2003</v>
      </c>
      <c r="G746" s="1" t="s">
        <v>1088</v>
      </c>
      <c r="H746" s="1" t="s">
        <v>1428</v>
      </c>
    </row>
    <row r="747" spans="2:8" x14ac:dyDescent="0.25">
      <c r="B747" s="6" t="s">
        <v>2268</v>
      </c>
      <c r="C747" s="1" t="s">
        <v>1089</v>
      </c>
      <c r="D747" s="1" t="s">
        <v>699</v>
      </c>
      <c r="E747" s="1" t="s">
        <v>877</v>
      </c>
      <c r="F747" s="6">
        <v>2002</v>
      </c>
      <c r="G747" s="1" t="s">
        <v>1366</v>
      </c>
      <c r="H747" s="1" t="s">
        <v>1428</v>
      </c>
    </row>
    <row r="748" spans="2:8" x14ac:dyDescent="0.25">
      <c r="B748" s="7" t="s">
        <v>2269</v>
      </c>
      <c r="C748" s="2" t="s">
        <v>1367</v>
      </c>
      <c r="D748" s="2" t="s">
        <v>699</v>
      </c>
      <c r="E748" s="2" t="s">
        <v>877</v>
      </c>
      <c r="F748" s="7">
        <v>2002</v>
      </c>
      <c r="G748" s="2" t="s">
        <v>1234</v>
      </c>
      <c r="H748" s="2" t="s">
        <v>1428</v>
      </c>
    </row>
    <row r="749" spans="2:8" x14ac:dyDescent="0.25">
      <c r="B749" s="7" t="s">
        <v>2270</v>
      </c>
      <c r="C749" s="2" t="s">
        <v>704</v>
      </c>
      <c r="D749" s="2" t="s">
        <v>699</v>
      </c>
      <c r="E749" s="2" t="s">
        <v>877</v>
      </c>
      <c r="F749" s="7">
        <v>2002</v>
      </c>
      <c r="G749" s="2" t="s">
        <v>690</v>
      </c>
      <c r="H749" s="2" t="s">
        <v>1204</v>
      </c>
    </row>
    <row r="750" spans="2:8" x14ac:dyDescent="0.25">
      <c r="B750" s="7" t="s">
        <v>2271</v>
      </c>
      <c r="C750" s="2" t="s">
        <v>1368</v>
      </c>
      <c r="D750" s="2" t="s">
        <v>699</v>
      </c>
      <c r="E750" s="2" t="s">
        <v>877</v>
      </c>
      <c r="F750" s="7">
        <v>2003</v>
      </c>
      <c r="G750" s="2" t="s">
        <v>1369</v>
      </c>
      <c r="H750" s="2" t="s">
        <v>1428</v>
      </c>
    </row>
    <row r="751" spans="2:8" x14ac:dyDescent="0.25">
      <c r="B751" s="6" t="s">
        <v>2272</v>
      </c>
      <c r="C751" s="1" t="s">
        <v>1352</v>
      </c>
      <c r="D751" s="1" t="s">
        <v>699</v>
      </c>
      <c r="E751" s="1" t="s">
        <v>877</v>
      </c>
      <c r="F751" s="6">
        <v>2003</v>
      </c>
      <c r="G751" s="1" t="s">
        <v>1353</v>
      </c>
      <c r="H751" s="1" t="s">
        <v>1204</v>
      </c>
    </row>
    <row r="752" spans="2:8" x14ac:dyDescent="0.25">
      <c r="B752" s="7" t="s">
        <v>2273</v>
      </c>
      <c r="C752" s="2" t="s">
        <v>1354</v>
      </c>
      <c r="D752" s="2" t="s">
        <v>699</v>
      </c>
      <c r="E752" s="2" t="s">
        <v>877</v>
      </c>
      <c r="F752" s="7">
        <v>2003</v>
      </c>
      <c r="G752" s="2" t="s">
        <v>223</v>
      </c>
      <c r="H752" s="2" t="s">
        <v>1428</v>
      </c>
    </row>
    <row r="753" spans="2:8" x14ac:dyDescent="0.25">
      <c r="B753" s="6" t="s">
        <v>2274</v>
      </c>
      <c r="C753" s="1" t="s">
        <v>1355</v>
      </c>
      <c r="D753" s="1" t="s">
        <v>699</v>
      </c>
      <c r="E753" s="1" t="s">
        <v>877</v>
      </c>
      <c r="F753" s="6">
        <v>2003</v>
      </c>
      <c r="G753" s="1" t="s">
        <v>1034</v>
      </c>
      <c r="H753" s="1" t="s">
        <v>888</v>
      </c>
    </row>
    <row r="754" spans="2:8" x14ac:dyDescent="0.25">
      <c r="B754" s="6" t="s">
        <v>2275</v>
      </c>
      <c r="C754" s="1" t="s">
        <v>1356</v>
      </c>
      <c r="D754" s="1" t="s">
        <v>699</v>
      </c>
      <c r="E754" s="1" t="s">
        <v>877</v>
      </c>
      <c r="F754" s="6">
        <v>2003</v>
      </c>
      <c r="G754" s="1" t="s">
        <v>1357</v>
      </c>
      <c r="H754" s="1" t="s">
        <v>1428</v>
      </c>
    </row>
    <row r="755" spans="2:8" x14ac:dyDescent="0.25">
      <c r="B755" s="6" t="s">
        <v>2276</v>
      </c>
      <c r="C755" s="1" t="s">
        <v>1358</v>
      </c>
      <c r="D755" s="1" t="s">
        <v>699</v>
      </c>
      <c r="E755" s="1" t="s">
        <v>877</v>
      </c>
      <c r="F755" s="6">
        <v>2003</v>
      </c>
      <c r="G755" s="1" t="s">
        <v>764</v>
      </c>
      <c r="H755" s="1" t="s">
        <v>1204</v>
      </c>
    </row>
    <row r="756" spans="2:8" x14ac:dyDescent="0.25">
      <c r="B756" s="6" t="s">
        <v>2277</v>
      </c>
      <c r="C756" s="1" t="s">
        <v>1359</v>
      </c>
      <c r="D756" s="1" t="s">
        <v>699</v>
      </c>
      <c r="E756" s="1" t="s">
        <v>877</v>
      </c>
      <c r="F756" s="6">
        <v>2004</v>
      </c>
      <c r="G756" s="1" t="s">
        <v>36</v>
      </c>
      <c r="H756" s="1" t="s">
        <v>1428</v>
      </c>
    </row>
    <row r="757" spans="2:8" x14ac:dyDescent="0.25">
      <c r="B757" s="6" t="s">
        <v>2278</v>
      </c>
      <c r="C757" s="1" t="s">
        <v>1360</v>
      </c>
      <c r="D757" s="1" t="s">
        <v>699</v>
      </c>
      <c r="E757" s="1" t="s">
        <v>877</v>
      </c>
      <c r="F757" s="6">
        <v>2004</v>
      </c>
      <c r="G757" s="1" t="s">
        <v>1361</v>
      </c>
      <c r="H757" s="1" t="s">
        <v>1362</v>
      </c>
    </row>
    <row r="758" spans="2:8" x14ac:dyDescent="0.25">
      <c r="B758" s="6" t="s">
        <v>2279</v>
      </c>
      <c r="C758" s="1" t="s">
        <v>1363</v>
      </c>
      <c r="D758" s="1" t="s">
        <v>699</v>
      </c>
      <c r="E758" s="1" t="s">
        <v>877</v>
      </c>
      <c r="F758" s="6">
        <v>2005</v>
      </c>
      <c r="G758" s="1" t="s">
        <v>1800</v>
      </c>
      <c r="H758" s="1" t="s">
        <v>1428</v>
      </c>
    </row>
    <row r="759" spans="2:8" x14ac:dyDescent="0.25">
      <c r="B759" s="6" t="s">
        <v>2280</v>
      </c>
      <c r="C759" s="1" t="s">
        <v>1364</v>
      </c>
      <c r="D759" s="1" t="s">
        <v>1365</v>
      </c>
      <c r="E759" s="1" t="s">
        <v>877</v>
      </c>
      <c r="F759" s="6">
        <v>2005</v>
      </c>
      <c r="G759" s="1" t="s">
        <v>147</v>
      </c>
      <c r="H759" s="1" t="s">
        <v>888</v>
      </c>
    </row>
    <row r="760" spans="2:8" x14ac:dyDescent="0.25">
      <c r="B760" s="6" t="s">
        <v>2281</v>
      </c>
      <c r="C760" s="1" t="s">
        <v>148</v>
      </c>
      <c r="D760" s="1" t="s">
        <v>1365</v>
      </c>
      <c r="E760" s="1" t="s">
        <v>877</v>
      </c>
      <c r="F760" s="6">
        <v>2005</v>
      </c>
      <c r="G760" s="1" t="s">
        <v>1638</v>
      </c>
      <c r="H760" s="1" t="s">
        <v>1305</v>
      </c>
    </row>
    <row r="761" spans="2:8" x14ac:dyDescent="0.25">
      <c r="B761" s="6" t="s">
        <v>2282</v>
      </c>
      <c r="C761" s="1" t="s">
        <v>149</v>
      </c>
      <c r="D761" s="1" t="s">
        <v>1365</v>
      </c>
      <c r="E761" s="1" t="s">
        <v>877</v>
      </c>
      <c r="F761" s="6">
        <v>2004</v>
      </c>
      <c r="G761" s="1" t="s">
        <v>150</v>
      </c>
      <c r="H761" s="1" t="s">
        <v>888</v>
      </c>
    </row>
    <row r="762" spans="2:8" x14ac:dyDescent="0.25">
      <c r="B762" s="6" t="s">
        <v>2283</v>
      </c>
      <c r="C762" s="1" t="s">
        <v>151</v>
      </c>
      <c r="D762" s="1" t="s">
        <v>699</v>
      </c>
      <c r="E762" s="1" t="s">
        <v>877</v>
      </c>
      <c r="F762" s="6">
        <v>2004</v>
      </c>
      <c r="G762" s="1" t="s">
        <v>86</v>
      </c>
      <c r="H762" s="1" t="s">
        <v>820</v>
      </c>
    </row>
    <row r="763" spans="2:8" x14ac:dyDescent="0.25">
      <c r="B763" s="6" t="s">
        <v>2284</v>
      </c>
      <c r="C763" s="1" t="s">
        <v>152</v>
      </c>
      <c r="D763" s="1" t="s">
        <v>699</v>
      </c>
      <c r="E763" s="1" t="s">
        <v>877</v>
      </c>
      <c r="F763" s="6">
        <v>2004</v>
      </c>
      <c r="G763" s="1" t="s">
        <v>153</v>
      </c>
      <c r="H763" s="1" t="s">
        <v>820</v>
      </c>
    </row>
    <row r="764" spans="2:8" x14ac:dyDescent="0.25">
      <c r="B764" s="6" t="s">
        <v>2285</v>
      </c>
      <c r="C764" s="1" t="s">
        <v>574</v>
      </c>
      <c r="D764" s="1" t="s">
        <v>699</v>
      </c>
      <c r="E764" s="1" t="s">
        <v>877</v>
      </c>
      <c r="F764" s="6">
        <v>2004</v>
      </c>
      <c r="G764" s="1" t="s">
        <v>154</v>
      </c>
      <c r="H764" s="1" t="s">
        <v>820</v>
      </c>
    </row>
    <row r="765" spans="2:8" x14ac:dyDescent="0.25">
      <c r="B765" s="6" t="s">
        <v>2286</v>
      </c>
      <c r="C765" s="1" t="s">
        <v>155</v>
      </c>
      <c r="D765" s="1" t="s">
        <v>699</v>
      </c>
      <c r="E765" s="1" t="s">
        <v>877</v>
      </c>
      <c r="F765" s="6">
        <v>2005</v>
      </c>
      <c r="G765" s="1" t="s">
        <v>1041</v>
      </c>
      <c r="H765" s="1" t="s">
        <v>820</v>
      </c>
    </row>
    <row r="766" spans="2:8" x14ac:dyDescent="0.25">
      <c r="B766" s="6" t="s">
        <v>2287</v>
      </c>
      <c r="C766" s="1" t="s">
        <v>156</v>
      </c>
      <c r="D766" s="1" t="s">
        <v>699</v>
      </c>
      <c r="E766" s="1" t="s">
        <v>877</v>
      </c>
      <c r="F766" s="6">
        <v>2005</v>
      </c>
      <c r="G766" s="1" t="s">
        <v>1041</v>
      </c>
      <c r="H766" s="1" t="s">
        <v>820</v>
      </c>
    </row>
    <row r="767" spans="2:8" x14ac:dyDescent="0.25">
      <c r="B767" s="6" t="s">
        <v>2288</v>
      </c>
      <c r="C767" s="1" t="s">
        <v>157</v>
      </c>
      <c r="D767" s="1" t="s">
        <v>699</v>
      </c>
      <c r="E767" s="1" t="s">
        <v>877</v>
      </c>
      <c r="F767" s="6">
        <v>2005</v>
      </c>
      <c r="G767" s="1" t="s">
        <v>317</v>
      </c>
      <c r="H767" s="1" t="s">
        <v>820</v>
      </c>
    </row>
    <row r="768" spans="2:8" x14ac:dyDescent="0.25">
      <c r="B768" s="6" t="s">
        <v>2289</v>
      </c>
      <c r="C768" s="1" t="s">
        <v>158</v>
      </c>
      <c r="D768" s="1" t="s">
        <v>699</v>
      </c>
      <c r="E768" s="1" t="s">
        <v>877</v>
      </c>
      <c r="F768" s="6">
        <v>2005</v>
      </c>
      <c r="G768" s="1" t="s">
        <v>159</v>
      </c>
      <c r="H768" s="1" t="s">
        <v>1428</v>
      </c>
    </row>
    <row r="769" spans="2:8" x14ac:dyDescent="0.25">
      <c r="B769" s="6" t="s">
        <v>2290</v>
      </c>
      <c r="C769" s="1" t="s">
        <v>409</v>
      </c>
      <c r="D769" s="1" t="s">
        <v>699</v>
      </c>
      <c r="E769" s="1" t="s">
        <v>877</v>
      </c>
      <c r="F769" s="6">
        <v>2005</v>
      </c>
      <c r="G769" s="1" t="s">
        <v>160</v>
      </c>
      <c r="H769" s="1" t="s">
        <v>820</v>
      </c>
    </row>
    <row r="770" spans="2:8" x14ac:dyDescent="0.25">
      <c r="B770" s="6" t="s">
        <v>2291</v>
      </c>
      <c r="C770" s="1" t="s">
        <v>161</v>
      </c>
      <c r="D770" s="1" t="s">
        <v>699</v>
      </c>
      <c r="E770" s="1" t="s">
        <v>877</v>
      </c>
      <c r="F770" s="6">
        <v>2005</v>
      </c>
      <c r="G770" s="1" t="s">
        <v>1800</v>
      </c>
      <c r="H770" s="1" t="s">
        <v>1428</v>
      </c>
    </row>
    <row r="771" spans="2:8" x14ac:dyDescent="0.25">
      <c r="B771" s="6" t="s">
        <v>2292</v>
      </c>
      <c r="C771" s="1" t="s">
        <v>162</v>
      </c>
      <c r="D771" s="1" t="s">
        <v>699</v>
      </c>
      <c r="E771" s="1" t="s">
        <v>877</v>
      </c>
      <c r="F771" s="6">
        <v>2005</v>
      </c>
      <c r="G771" s="1" t="s">
        <v>163</v>
      </c>
      <c r="H771" s="1" t="s">
        <v>820</v>
      </c>
    </row>
    <row r="772" spans="2:8" x14ac:dyDescent="0.25">
      <c r="B772" s="6" t="s">
        <v>2293</v>
      </c>
      <c r="C772" s="1" t="s">
        <v>164</v>
      </c>
      <c r="D772" s="1" t="s">
        <v>699</v>
      </c>
      <c r="E772" s="1" t="s">
        <v>877</v>
      </c>
      <c r="F772" s="6">
        <v>2005</v>
      </c>
      <c r="G772" s="1" t="s">
        <v>165</v>
      </c>
      <c r="H772" s="1" t="s">
        <v>820</v>
      </c>
    </row>
    <row r="773" spans="2:8" x14ac:dyDescent="0.25">
      <c r="B773" s="6" t="s">
        <v>2294</v>
      </c>
      <c r="C773" s="1" t="s">
        <v>166</v>
      </c>
      <c r="D773" s="1" t="s">
        <v>699</v>
      </c>
      <c r="E773" s="1" t="s">
        <v>877</v>
      </c>
      <c r="F773" s="6">
        <v>2005</v>
      </c>
      <c r="G773" s="1" t="s">
        <v>165</v>
      </c>
      <c r="H773" s="1" t="s">
        <v>820</v>
      </c>
    </row>
    <row r="774" spans="2:8" x14ac:dyDescent="0.25">
      <c r="B774" s="6" t="s">
        <v>2295</v>
      </c>
      <c r="C774" s="1" t="s">
        <v>1695</v>
      </c>
      <c r="D774" s="1" t="s">
        <v>699</v>
      </c>
      <c r="E774" s="1" t="s">
        <v>877</v>
      </c>
      <c r="F774" s="6">
        <v>2005</v>
      </c>
      <c r="G774" s="1" t="s">
        <v>165</v>
      </c>
      <c r="H774" s="1" t="s">
        <v>820</v>
      </c>
    </row>
    <row r="775" spans="2:8" x14ac:dyDescent="0.25">
      <c r="B775" s="6" t="s">
        <v>2296</v>
      </c>
      <c r="C775" s="1" t="s">
        <v>1696</v>
      </c>
      <c r="D775" s="1" t="s">
        <v>1697</v>
      </c>
      <c r="E775" s="1" t="s">
        <v>877</v>
      </c>
      <c r="F775" s="6">
        <v>2004</v>
      </c>
      <c r="G775" s="1" t="s">
        <v>1234</v>
      </c>
      <c r="H775" s="1" t="s">
        <v>1428</v>
      </c>
    </row>
    <row r="776" spans="2:8" x14ac:dyDescent="0.25">
      <c r="B776" s="6" t="s">
        <v>2297</v>
      </c>
      <c r="C776" s="1" t="s">
        <v>1698</v>
      </c>
      <c r="D776" s="1" t="s">
        <v>699</v>
      </c>
      <c r="E776" s="1" t="s">
        <v>877</v>
      </c>
      <c r="F776" s="6">
        <v>2006</v>
      </c>
      <c r="G776" s="1" t="s">
        <v>1699</v>
      </c>
      <c r="H776" s="1" t="s">
        <v>820</v>
      </c>
    </row>
    <row r="777" spans="2:8" x14ac:dyDescent="0.25">
      <c r="B777" s="6" t="s">
        <v>2298</v>
      </c>
      <c r="C777" s="1" t="s">
        <v>410</v>
      </c>
      <c r="D777" s="1" t="s">
        <v>699</v>
      </c>
      <c r="E777" s="1" t="s">
        <v>877</v>
      </c>
      <c r="F777" s="6">
        <v>2006</v>
      </c>
      <c r="G777" s="1" t="s">
        <v>411</v>
      </c>
      <c r="H777" s="1" t="s">
        <v>820</v>
      </c>
    </row>
    <row r="778" spans="2:8" x14ac:dyDescent="0.25">
      <c r="B778" s="6" t="s">
        <v>2299</v>
      </c>
      <c r="C778" s="1" t="s">
        <v>1700</v>
      </c>
      <c r="D778" s="1" t="s">
        <v>699</v>
      </c>
      <c r="E778" s="1" t="s">
        <v>877</v>
      </c>
      <c r="F778" s="6">
        <v>2006</v>
      </c>
      <c r="G778" s="1" t="s">
        <v>1701</v>
      </c>
      <c r="H778" s="1" t="s">
        <v>820</v>
      </c>
    </row>
    <row r="779" spans="2:8" x14ac:dyDescent="0.25">
      <c r="B779" s="6" t="s">
        <v>2300</v>
      </c>
      <c r="C779" s="1" t="s">
        <v>619</v>
      </c>
      <c r="D779" s="1" t="s">
        <v>699</v>
      </c>
      <c r="E779" s="1" t="s">
        <v>877</v>
      </c>
      <c r="F779" s="6">
        <v>2006</v>
      </c>
      <c r="G779" s="1" t="s">
        <v>411</v>
      </c>
      <c r="H779" s="1" t="s">
        <v>820</v>
      </c>
    </row>
    <row r="780" spans="2:8" x14ac:dyDescent="0.25">
      <c r="B780" s="6" t="s">
        <v>2301</v>
      </c>
      <c r="C780" s="1" t="s">
        <v>1702</v>
      </c>
      <c r="D780" s="1" t="s">
        <v>699</v>
      </c>
      <c r="E780" s="1" t="s">
        <v>877</v>
      </c>
      <c r="F780" s="6">
        <v>2003</v>
      </c>
      <c r="G780" s="1" t="s">
        <v>1703</v>
      </c>
      <c r="H780" s="1" t="s">
        <v>1704</v>
      </c>
    </row>
    <row r="781" spans="2:8" x14ac:dyDescent="0.25">
      <c r="B781" s="6" t="s">
        <v>2302</v>
      </c>
      <c r="C781" s="1" t="s">
        <v>730</v>
      </c>
      <c r="D781" s="1" t="s">
        <v>699</v>
      </c>
      <c r="E781" s="1" t="s">
        <v>877</v>
      </c>
      <c r="F781" s="6">
        <v>2003</v>
      </c>
      <c r="G781" s="1" t="s">
        <v>731</v>
      </c>
      <c r="H781" s="1" t="s">
        <v>732</v>
      </c>
    </row>
    <row r="782" spans="2:8" x14ac:dyDescent="0.25">
      <c r="B782" s="6" t="s">
        <v>2303</v>
      </c>
      <c r="C782" s="1" t="s">
        <v>733</v>
      </c>
      <c r="D782" s="1" t="s">
        <v>699</v>
      </c>
      <c r="E782" s="1" t="s">
        <v>877</v>
      </c>
      <c r="F782" s="6">
        <v>2003</v>
      </c>
      <c r="G782" s="1" t="s">
        <v>734</v>
      </c>
      <c r="H782" s="1" t="s">
        <v>732</v>
      </c>
    </row>
    <row r="783" spans="2:8" x14ac:dyDescent="0.25">
      <c r="B783" s="6" t="s">
        <v>2304</v>
      </c>
      <c r="C783" s="1" t="s">
        <v>1806</v>
      </c>
      <c r="D783" s="12" t="s">
        <v>699</v>
      </c>
      <c r="E783" s="12" t="s">
        <v>877</v>
      </c>
      <c r="F783" s="6">
        <v>2005</v>
      </c>
      <c r="G783" s="1" t="s">
        <v>1807</v>
      </c>
      <c r="H783" s="1" t="s">
        <v>1613</v>
      </c>
    </row>
    <row r="784" spans="2:8" x14ac:dyDescent="0.25">
      <c r="B784" s="6" t="s">
        <v>2727</v>
      </c>
      <c r="C784" s="1" t="s">
        <v>2728</v>
      </c>
      <c r="D784" s="1" t="s">
        <v>2729</v>
      </c>
      <c r="E784" s="2" t="s">
        <v>877</v>
      </c>
      <c r="F784" s="1">
        <v>2001</v>
      </c>
      <c r="G784" s="1" t="s">
        <v>2730</v>
      </c>
      <c r="H784" s="1" t="s">
        <v>2731</v>
      </c>
    </row>
    <row r="785" spans="2:8" x14ac:dyDescent="0.25">
      <c r="B785" s="7" t="s">
        <v>2641</v>
      </c>
      <c r="C785" s="2" t="s">
        <v>1705</v>
      </c>
      <c r="D785" s="2"/>
      <c r="E785" s="2" t="s">
        <v>1706</v>
      </c>
      <c r="F785" s="7">
        <v>2003</v>
      </c>
      <c r="G785" s="2" t="s">
        <v>1707</v>
      </c>
      <c r="H785" s="2" t="s">
        <v>1708</v>
      </c>
    </row>
    <row r="786" spans="2:8" x14ac:dyDescent="0.25">
      <c r="B786" s="6" t="s">
        <v>2642</v>
      </c>
      <c r="C786" s="1" t="s">
        <v>1709</v>
      </c>
      <c r="D786" s="1" t="s">
        <v>1710</v>
      </c>
      <c r="E786" s="1" t="s">
        <v>1706</v>
      </c>
      <c r="F786" s="6">
        <v>1998</v>
      </c>
      <c r="G786" s="1" t="s">
        <v>1711</v>
      </c>
      <c r="H786" s="1" t="s">
        <v>1215</v>
      </c>
    </row>
    <row r="787" spans="2:8" x14ac:dyDescent="0.25">
      <c r="B787" s="7" t="s">
        <v>2643</v>
      </c>
      <c r="C787" s="2" t="s">
        <v>1712</v>
      </c>
      <c r="D787" s="2"/>
      <c r="E787" s="2" t="s">
        <v>1713</v>
      </c>
      <c r="F787" s="7">
        <v>2004</v>
      </c>
      <c r="G787" s="2" t="s">
        <v>1353</v>
      </c>
      <c r="H787" s="2" t="s">
        <v>820</v>
      </c>
    </row>
    <row r="788" spans="2:8" x14ac:dyDescent="0.25">
      <c r="B788" s="6" t="s">
        <v>2305</v>
      </c>
      <c r="C788" s="1" t="s">
        <v>1714</v>
      </c>
      <c r="D788" s="1" t="s">
        <v>1715</v>
      </c>
      <c r="E788" s="1" t="s">
        <v>1713</v>
      </c>
      <c r="F788" s="6">
        <v>1998</v>
      </c>
      <c r="G788" s="1" t="s">
        <v>1716</v>
      </c>
      <c r="H788" s="1" t="s">
        <v>1423</v>
      </c>
    </row>
    <row r="789" spans="2:8" x14ac:dyDescent="0.25">
      <c r="B789" s="6" t="s">
        <v>2306</v>
      </c>
      <c r="C789" s="1" t="s">
        <v>1717</v>
      </c>
      <c r="D789" s="1" t="s">
        <v>1715</v>
      </c>
      <c r="E789" s="1" t="s">
        <v>1713</v>
      </c>
      <c r="F789" s="6">
        <v>1999</v>
      </c>
      <c r="G789" s="1" t="s">
        <v>1718</v>
      </c>
      <c r="H789" s="1" t="s">
        <v>1529</v>
      </c>
    </row>
    <row r="790" spans="2:8" x14ac:dyDescent="0.25">
      <c r="B790" s="6" t="s">
        <v>2307</v>
      </c>
      <c r="C790" s="1" t="s">
        <v>1719</v>
      </c>
      <c r="E790" s="1" t="s">
        <v>1713</v>
      </c>
      <c r="F790" s="6">
        <v>2000</v>
      </c>
      <c r="G790" s="1" t="s">
        <v>1720</v>
      </c>
      <c r="H790" s="1" t="s">
        <v>1721</v>
      </c>
    </row>
    <row r="791" spans="2:8" x14ac:dyDescent="0.25">
      <c r="B791" s="6" t="s">
        <v>2308</v>
      </c>
      <c r="C791" s="1" t="s">
        <v>1722</v>
      </c>
      <c r="E791" s="1" t="s">
        <v>1713</v>
      </c>
      <c r="F791" s="6">
        <v>2000</v>
      </c>
      <c r="G791" s="1" t="s">
        <v>1723</v>
      </c>
      <c r="H791" s="1" t="s">
        <v>1215</v>
      </c>
    </row>
    <row r="792" spans="2:8" x14ac:dyDescent="0.25">
      <c r="B792" s="6" t="s">
        <v>2309</v>
      </c>
      <c r="C792" s="1" t="s">
        <v>612</v>
      </c>
      <c r="D792" s="1" t="s">
        <v>1715</v>
      </c>
      <c r="E792" s="1" t="s">
        <v>1713</v>
      </c>
      <c r="F792" s="6">
        <v>2003</v>
      </c>
      <c r="G792" s="1" t="s">
        <v>613</v>
      </c>
      <c r="H792" s="1" t="s">
        <v>1428</v>
      </c>
    </row>
    <row r="793" spans="2:8" x14ac:dyDescent="0.25">
      <c r="B793" s="7" t="s">
        <v>2310</v>
      </c>
      <c r="C793" s="2" t="s">
        <v>1624</v>
      </c>
      <c r="D793" s="2" t="s">
        <v>1715</v>
      </c>
      <c r="E793" s="2" t="s">
        <v>1713</v>
      </c>
      <c r="F793" s="7">
        <v>1999</v>
      </c>
      <c r="G793" s="2" t="s">
        <v>932</v>
      </c>
      <c r="H793" s="2" t="s">
        <v>310</v>
      </c>
    </row>
    <row r="794" spans="2:8" x14ac:dyDescent="0.25">
      <c r="B794" s="7" t="s">
        <v>2311</v>
      </c>
      <c r="C794" s="2" t="s">
        <v>933</v>
      </c>
      <c r="D794" s="2"/>
      <c r="E794" s="2" t="s">
        <v>1713</v>
      </c>
      <c r="F794" s="7">
        <v>1999</v>
      </c>
      <c r="G794" s="2" t="s">
        <v>2795</v>
      </c>
      <c r="H794" s="2" t="s">
        <v>310</v>
      </c>
    </row>
    <row r="795" spans="2:8" x14ac:dyDescent="0.25">
      <c r="B795" s="7" t="s">
        <v>2644</v>
      </c>
      <c r="C795" s="2" t="s">
        <v>1469</v>
      </c>
      <c r="D795" s="2" t="s">
        <v>1470</v>
      </c>
      <c r="E795" s="2" t="s">
        <v>1713</v>
      </c>
      <c r="F795" s="7">
        <v>2006</v>
      </c>
      <c r="G795" s="2" t="s">
        <v>1471</v>
      </c>
      <c r="H795" s="2" t="s">
        <v>1428</v>
      </c>
    </row>
    <row r="796" spans="2:8" x14ac:dyDescent="0.25">
      <c r="B796" s="6" t="s">
        <v>2645</v>
      </c>
      <c r="C796" s="1" t="s">
        <v>1726</v>
      </c>
      <c r="D796" s="1" t="s">
        <v>1725</v>
      </c>
      <c r="E796" s="1" t="s">
        <v>1713</v>
      </c>
      <c r="F796" s="6">
        <v>1997</v>
      </c>
      <c r="H796" s="1" t="s">
        <v>1215</v>
      </c>
    </row>
    <row r="797" spans="2:8" x14ac:dyDescent="0.25">
      <c r="B797" s="6" t="s">
        <v>2312</v>
      </c>
      <c r="C797" s="1" t="s">
        <v>1727</v>
      </c>
      <c r="D797" s="1" t="s">
        <v>1725</v>
      </c>
      <c r="E797" s="1" t="s">
        <v>1713</v>
      </c>
      <c r="F797" s="6">
        <v>1997</v>
      </c>
      <c r="H797" s="1" t="s">
        <v>1448</v>
      </c>
    </row>
    <row r="798" spans="2:8" x14ac:dyDescent="0.25">
      <c r="B798" s="7" t="s">
        <v>2313</v>
      </c>
      <c r="C798" s="2" t="s">
        <v>1370</v>
      </c>
      <c r="D798" s="2" t="s">
        <v>1724</v>
      </c>
      <c r="E798" s="2" t="s">
        <v>1713</v>
      </c>
      <c r="F798" s="7">
        <v>2000</v>
      </c>
      <c r="G798" s="2" t="s">
        <v>1371</v>
      </c>
      <c r="H798" s="2" t="s">
        <v>1428</v>
      </c>
    </row>
    <row r="799" spans="2:8" x14ac:dyDescent="0.25">
      <c r="B799" s="7" t="s">
        <v>2314</v>
      </c>
      <c r="C799" s="2" t="s">
        <v>1372</v>
      </c>
      <c r="D799" s="2" t="s">
        <v>1724</v>
      </c>
      <c r="E799" s="2" t="s">
        <v>1713</v>
      </c>
      <c r="F799" s="7">
        <v>1997</v>
      </c>
      <c r="G799" s="2" t="s">
        <v>1373</v>
      </c>
      <c r="H799" s="2" t="s">
        <v>1448</v>
      </c>
    </row>
    <row r="800" spans="2:8" x14ac:dyDescent="0.25">
      <c r="B800" s="6" t="s">
        <v>2315</v>
      </c>
      <c r="C800" s="1" t="s">
        <v>768</v>
      </c>
      <c r="D800" s="1" t="s">
        <v>769</v>
      </c>
      <c r="E800" s="1" t="s">
        <v>1713</v>
      </c>
      <c r="F800" s="6">
        <v>2005</v>
      </c>
      <c r="G800" s="1" t="s">
        <v>770</v>
      </c>
      <c r="H800" s="1" t="s">
        <v>1428</v>
      </c>
    </row>
    <row r="801" spans="2:8" x14ac:dyDescent="0.25">
      <c r="B801" s="6" t="s">
        <v>2316</v>
      </c>
      <c r="C801" s="1" t="s">
        <v>771</v>
      </c>
      <c r="D801" s="1" t="s">
        <v>769</v>
      </c>
      <c r="E801" s="1" t="s">
        <v>1713</v>
      </c>
      <c r="F801" s="6">
        <v>2005</v>
      </c>
      <c r="G801" s="1" t="s">
        <v>772</v>
      </c>
      <c r="H801" s="1" t="s">
        <v>1428</v>
      </c>
    </row>
    <row r="802" spans="2:8" x14ac:dyDescent="0.25">
      <c r="B802" s="6" t="s">
        <v>2317</v>
      </c>
      <c r="C802" s="1" t="s">
        <v>773</v>
      </c>
      <c r="D802" s="1" t="s">
        <v>774</v>
      </c>
      <c r="E802" s="1" t="s">
        <v>1713</v>
      </c>
      <c r="F802" s="6">
        <v>2005</v>
      </c>
      <c r="G802" s="1" t="s">
        <v>775</v>
      </c>
      <c r="H802" s="1" t="s">
        <v>820</v>
      </c>
    </row>
    <row r="803" spans="2:8" x14ac:dyDescent="0.25">
      <c r="B803" s="7" t="s">
        <v>2318</v>
      </c>
      <c r="C803" s="2" t="s">
        <v>776</v>
      </c>
      <c r="D803" s="2" t="s">
        <v>777</v>
      </c>
      <c r="E803" s="2" t="s">
        <v>1713</v>
      </c>
      <c r="F803" s="7">
        <v>2002</v>
      </c>
      <c r="G803" s="2"/>
      <c r="H803" s="2" t="s">
        <v>752</v>
      </c>
    </row>
    <row r="804" spans="2:8" x14ac:dyDescent="0.25">
      <c r="B804" s="7" t="s">
        <v>2319</v>
      </c>
      <c r="C804" s="2" t="s">
        <v>778</v>
      </c>
      <c r="D804" s="2" t="s">
        <v>777</v>
      </c>
      <c r="E804" s="2" t="s">
        <v>1713</v>
      </c>
      <c r="F804" s="7">
        <v>2001</v>
      </c>
      <c r="G804" s="2" t="s">
        <v>779</v>
      </c>
      <c r="H804" s="2" t="s">
        <v>780</v>
      </c>
    </row>
    <row r="805" spans="2:8" x14ac:dyDescent="0.25">
      <c r="B805" s="7" t="s">
        <v>2320</v>
      </c>
      <c r="C805" s="2" t="s">
        <v>781</v>
      </c>
      <c r="D805" s="2" t="s">
        <v>777</v>
      </c>
      <c r="E805" s="2" t="s">
        <v>1713</v>
      </c>
      <c r="F805" s="7">
        <v>2002</v>
      </c>
      <c r="G805" s="2" t="s">
        <v>782</v>
      </c>
      <c r="H805" s="2" t="s">
        <v>1448</v>
      </c>
    </row>
    <row r="806" spans="2:8" x14ac:dyDescent="0.25">
      <c r="B806" s="7" t="s">
        <v>2321</v>
      </c>
      <c r="C806" s="2" t="s">
        <v>783</v>
      </c>
      <c r="D806" s="2" t="s">
        <v>777</v>
      </c>
      <c r="E806" s="2" t="s">
        <v>1713</v>
      </c>
      <c r="F806" s="7">
        <v>2003</v>
      </c>
      <c r="G806" s="2" t="s">
        <v>784</v>
      </c>
      <c r="H806" s="2" t="s">
        <v>1448</v>
      </c>
    </row>
    <row r="807" spans="2:8" x14ac:dyDescent="0.25">
      <c r="B807" s="7" t="s">
        <v>2322</v>
      </c>
      <c r="C807" s="2" t="s">
        <v>785</v>
      </c>
      <c r="D807" s="2" t="s">
        <v>777</v>
      </c>
      <c r="E807" s="2" t="s">
        <v>1713</v>
      </c>
      <c r="F807" s="7">
        <v>2001</v>
      </c>
      <c r="G807" s="2"/>
      <c r="H807" s="2" t="s">
        <v>1448</v>
      </c>
    </row>
    <row r="808" spans="2:8" x14ac:dyDescent="0.25">
      <c r="B808" s="13" t="s">
        <v>2453</v>
      </c>
      <c r="C808" s="12" t="s">
        <v>712</v>
      </c>
      <c r="D808" s="2" t="s">
        <v>1724</v>
      </c>
      <c r="E808" s="1" t="s">
        <v>1713</v>
      </c>
      <c r="F808" s="13">
        <v>1998</v>
      </c>
      <c r="G808" s="12" t="s">
        <v>2454</v>
      </c>
      <c r="H808" s="12" t="s">
        <v>780</v>
      </c>
    </row>
    <row r="809" spans="2:8" x14ac:dyDescent="0.25">
      <c r="B809" s="6" t="s">
        <v>2455</v>
      </c>
      <c r="C809" s="12" t="s">
        <v>2456</v>
      </c>
      <c r="D809" s="2" t="s">
        <v>1724</v>
      </c>
      <c r="E809" s="1" t="s">
        <v>1713</v>
      </c>
      <c r="F809" s="13">
        <v>1998</v>
      </c>
      <c r="G809" s="12" t="s">
        <v>2454</v>
      </c>
      <c r="H809" s="12" t="s">
        <v>780</v>
      </c>
    </row>
    <row r="810" spans="2:8" x14ac:dyDescent="0.25">
      <c r="B810" s="6" t="s">
        <v>2835</v>
      </c>
      <c r="C810" s="1" t="s">
        <v>2844</v>
      </c>
      <c r="D810" s="1" t="s">
        <v>2845</v>
      </c>
      <c r="E810" s="1" t="s">
        <v>2830</v>
      </c>
      <c r="F810" s="6">
        <v>2002</v>
      </c>
      <c r="G810" s="1" t="s">
        <v>782</v>
      </c>
      <c r="H810" s="1" t="s">
        <v>1448</v>
      </c>
    </row>
    <row r="811" spans="2:8" x14ac:dyDescent="0.25">
      <c r="B811" s="6" t="s">
        <v>2836</v>
      </c>
      <c r="C811" s="1" t="s">
        <v>2837</v>
      </c>
      <c r="D811" s="1" t="s">
        <v>2838</v>
      </c>
      <c r="E811" s="1" t="s">
        <v>2830</v>
      </c>
      <c r="F811" s="6">
        <v>2000</v>
      </c>
      <c r="G811" s="1" t="s">
        <v>2839</v>
      </c>
      <c r="H811" s="1" t="s">
        <v>823</v>
      </c>
    </row>
    <row r="812" spans="2:8" x14ac:dyDescent="0.25">
      <c r="B812" s="6" t="s">
        <v>2842</v>
      </c>
      <c r="C812" s="1" t="s">
        <v>2840</v>
      </c>
      <c r="D812" s="1" t="s">
        <v>2838</v>
      </c>
      <c r="E812" s="1" t="s">
        <v>2830</v>
      </c>
      <c r="F812" s="6">
        <v>2000</v>
      </c>
      <c r="G812" s="1" t="s">
        <v>2841</v>
      </c>
      <c r="H812" s="1" t="s">
        <v>1428</v>
      </c>
    </row>
    <row r="813" spans="2:8" x14ac:dyDescent="0.25">
      <c r="B813" s="6" t="s">
        <v>2843</v>
      </c>
      <c r="C813" s="1" t="s">
        <v>2846</v>
      </c>
      <c r="D813" s="1" t="s">
        <v>2838</v>
      </c>
      <c r="E813" s="1" t="s">
        <v>2830</v>
      </c>
      <c r="F813" s="6">
        <v>2000</v>
      </c>
      <c r="G813" s="1" t="s">
        <v>2847</v>
      </c>
      <c r="H813" s="1" t="s">
        <v>1685</v>
      </c>
    </row>
    <row r="814" spans="2:8" x14ac:dyDescent="0.25">
      <c r="B814" s="6" t="s">
        <v>2646</v>
      </c>
      <c r="C814" s="1" t="s">
        <v>786</v>
      </c>
      <c r="D814" s="1" t="s">
        <v>787</v>
      </c>
      <c r="E814" s="1" t="s">
        <v>1713</v>
      </c>
      <c r="F814" s="6">
        <v>1999</v>
      </c>
      <c r="G814" s="1" t="s">
        <v>788</v>
      </c>
      <c r="H814" s="1" t="s">
        <v>1428</v>
      </c>
    </row>
    <row r="815" spans="2:8" x14ac:dyDescent="0.25">
      <c r="B815" s="7" t="s">
        <v>2647</v>
      </c>
      <c r="C815" s="2" t="s">
        <v>789</v>
      </c>
      <c r="D815" s="2" t="s">
        <v>790</v>
      </c>
      <c r="E815" s="2" t="s">
        <v>1713</v>
      </c>
      <c r="F815" s="7">
        <v>2004</v>
      </c>
      <c r="G815" s="2" t="s">
        <v>645</v>
      </c>
      <c r="H815" s="2" t="s">
        <v>342</v>
      </c>
    </row>
    <row r="816" spans="2:8" x14ac:dyDescent="0.25">
      <c r="B816" s="6" t="s">
        <v>2323</v>
      </c>
      <c r="C816" s="1" t="s">
        <v>791</v>
      </c>
      <c r="D816" s="1" t="s">
        <v>790</v>
      </c>
      <c r="E816" s="1" t="s">
        <v>1713</v>
      </c>
      <c r="F816" s="6">
        <v>1997</v>
      </c>
      <c r="G816" s="1" t="s">
        <v>792</v>
      </c>
      <c r="H816" s="1" t="s">
        <v>1215</v>
      </c>
    </row>
    <row r="817" spans="2:8" x14ac:dyDescent="0.25">
      <c r="B817" s="7" t="s">
        <v>2324</v>
      </c>
      <c r="C817" s="2" t="s">
        <v>793</v>
      </c>
      <c r="D817" s="2" t="s">
        <v>790</v>
      </c>
      <c r="E817" s="2" t="s">
        <v>1713</v>
      </c>
      <c r="F817" s="7">
        <v>2000</v>
      </c>
      <c r="G817" s="2" t="s">
        <v>794</v>
      </c>
      <c r="H817" s="2" t="s">
        <v>1422</v>
      </c>
    </row>
    <row r="818" spans="2:8" x14ac:dyDescent="0.25">
      <c r="B818" s="7" t="s">
        <v>2325</v>
      </c>
      <c r="C818" s="2" t="s">
        <v>795</v>
      </c>
      <c r="D818" s="2" t="s">
        <v>796</v>
      </c>
      <c r="E818" s="2" t="s">
        <v>1713</v>
      </c>
      <c r="F818" s="7">
        <v>2000</v>
      </c>
      <c r="G818" s="2" t="s">
        <v>1046</v>
      </c>
      <c r="H818" s="2" t="s">
        <v>888</v>
      </c>
    </row>
    <row r="819" spans="2:8" x14ac:dyDescent="0.25">
      <c r="B819" s="7" t="s">
        <v>2326</v>
      </c>
      <c r="C819" s="2" t="s">
        <v>797</v>
      </c>
      <c r="D819" s="2" t="s">
        <v>796</v>
      </c>
      <c r="E819" s="2" t="s">
        <v>1713</v>
      </c>
      <c r="F819" s="7">
        <v>2000</v>
      </c>
      <c r="G819" s="2" t="s">
        <v>798</v>
      </c>
      <c r="H819" s="2" t="s">
        <v>1204</v>
      </c>
    </row>
    <row r="820" spans="2:8" x14ac:dyDescent="0.25">
      <c r="B820" s="7" t="s">
        <v>2327</v>
      </c>
      <c r="C820" s="2" t="s">
        <v>799</v>
      </c>
      <c r="D820" s="2" t="s">
        <v>796</v>
      </c>
      <c r="E820" s="2" t="s">
        <v>1713</v>
      </c>
      <c r="F820" s="7">
        <v>2001</v>
      </c>
      <c r="G820" s="2" t="s">
        <v>800</v>
      </c>
      <c r="H820" s="2" t="s">
        <v>310</v>
      </c>
    </row>
    <row r="821" spans="2:8" x14ac:dyDescent="0.25">
      <c r="B821" s="7" t="s">
        <v>2328</v>
      </c>
      <c r="C821" s="2" t="s">
        <v>801</v>
      </c>
      <c r="D821" s="2" t="s">
        <v>796</v>
      </c>
      <c r="E821" s="2" t="s">
        <v>1713</v>
      </c>
      <c r="F821" s="7">
        <v>1998</v>
      </c>
      <c r="G821" s="2" t="s">
        <v>800</v>
      </c>
      <c r="H821" s="2" t="s">
        <v>310</v>
      </c>
    </row>
    <row r="822" spans="2:8" x14ac:dyDescent="0.25">
      <c r="B822" s="7" t="s">
        <v>2329</v>
      </c>
      <c r="C822" s="2" t="s">
        <v>802</v>
      </c>
      <c r="D822" s="2" t="s">
        <v>796</v>
      </c>
      <c r="E822" s="2" t="s">
        <v>1713</v>
      </c>
      <c r="F822" s="7">
        <v>2004</v>
      </c>
      <c r="G822" s="2" t="s">
        <v>1217</v>
      </c>
      <c r="H822" s="2" t="s">
        <v>820</v>
      </c>
    </row>
    <row r="823" spans="2:8" x14ac:dyDescent="0.25">
      <c r="B823" s="7" t="s">
        <v>2330</v>
      </c>
      <c r="C823" s="2" t="s">
        <v>803</v>
      </c>
      <c r="D823" s="2" t="s">
        <v>790</v>
      </c>
      <c r="E823" s="2" t="s">
        <v>1713</v>
      </c>
      <c r="F823" s="7">
        <v>2001</v>
      </c>
      <c r="G823" s="2" t="s">
        <v>804</v>
      </c>
      <c r="H823" s="2" t="s">
        <v>1221</v>
      </c>
    </row>
    <row r="824" spans="2:8" x14ac:dyDescent="0.25">
      <c r="B824" s="6" t="s">
        <v>2331</v>
      </c>
      <c r="C824" s="1" t="s">
        <v>805</v>
      </c>
      <c r="D824" s="1" t="s">
        <v>806</v>
      </c>
      <c r="E824" s="1" t="s">
        <v>1713</v>
      </c>
      <c r="F824" s="6">
        <v>2006</v>
      </c>
      <c r="G824" s="1" t="s">
        <v>807</v>
      </c>
      <c r="H824" s="1" t="s">
        <v>780</v>
      </c>
    </row>
    <row r="825" spans="2:8" x14ac:dyDescent="0.25">
      <c r="B825" s="13" t="s">
        <v>2332</v>
      </c>
      <c r="C825" s="12" t="s">
        <v>1811</v>
      </c>
      <c r="D825" s="12" t="s">
        <v>1812</v>
      </c>
      <c r="E825" s="2" t="s">
        <v>1713</v>
      </c>
      <c r="F825" s="13">
        <v>2003</v>
      </c>
      <c r="G825" s="3"/>
      <c r="H825" s="12" t="s">
        <v>752</v>
      </c>
    </row>
    <row r="826" spans="2:8" x14ac:dyDescent="0.25">
      <c r="B826" s="13" t="s">
        <v>2827</v>
      </c>
      <c r="C826" s="1" t="s">
        <v>2829</v>
      </c>
      <c r="D826" s="1" t="s">
        <v>1813</v>
      </c>
      <c r="E826" s="1" t="s">
        <v>2830</v>
      </c>
      <c r="F826" s="6">
        <v>2008</v>
      </c>
      <c r="G826" s="1" t="s">
        <v>2831</v>
      </c>
      <c r="H826" s="1" t="s">
        <v>1685</v>
      </c>
    </row>
    <row r="827" spans="2:8" x14ac:dyDescent="0.25">
      <c r="B827" s="13" t="s">
        <v>2828</v>
      </c>
      <c r="C827" s="1" t="s">
        <v>2832</v>
      </c>
      <c r="D827" s="1" t="s">
        <v>2833</v>
      </c>
      <c r="E827" s="1" t="s">
        <v>2830</v>
      </c>
      <c r="F827" s="6">
        <v>2003</v>
      </c>
      <c r="G827" s="1" t="s">
        <v>2834</v>
      </c>
      <c r="H827" s="1" t="s">
        <v>1448</v>
      </c>
    </row>
    <row r="828" spans="2:8" x14ac:dyDescent="0.25">
      <c r="B828" s="6" t="s">
        <v>2648</v>
      </c>
      <c r="C828" s="1" t="s">
        <v>809</v>
      </c>
      <c r="D828" s="1" t="s">
        <v>810</v>
      </c>
      <c r="E828" s="1" t="s">
        <v>1713</v>
      </c>
      <c r="F828" s="6">
        <v>2000</v>
      </c>
      <c r="G828" s="1" t="s">
        <v>1682</v>
      </c>
      <c r="H828" s="1" t="s">
        <v>131</v>
      </c>
    </row>
    <row r="829" spans="2:8" x14ac:dyDescent="0.25">
      <c r="B829" s="6" t="s">
        <v>2649</v>
      </c>
      <c r="C829" s="12" t="s">
        <v>811</v>
      </c>
      <c r="D829" s="1" t="s">
        <v>808</v>
      </c>
      <c r="E829" s="1" t="s">
        <v>1713</v>
      </c>
      <c r="F829" s="6">
        <v>2000</v>
      </c>
      <c r="G829" s="1" t="s">
        <v>812</v>
      </c>
      <c r="H829" s="1" t="s">
        <v>1428</v>
      </c>
    </row>
    <row r="830" spans="2:8" x14ac:dyDescent="0.25">
      <c r="B830" s="7" t="s">
        <v>2650</v>
      </c>
      <c r="C830" s="2" t="s">
        <v>813</v>
      </c>
      <c r="D830" s="2" t="s">
        <v>814</v>
      </c>
      <c r="E830" s="2" t="s">
        <v>1713</v>
      </c>
      <c r="F830" s="7">
        <v>2000</v>
      </c>
      <c r="G830" s="2" t="s">
        <v>815</v>
      </c>
      <c r="H830" s="2" t="s">
        <v>1204</v>
      </c>
    </row>
    <row r="831" spans="2:8" x14ac:dyDescent="0.25">
      <c r="B831" s="7" t="s">
        <v>2651</v>
      </c>
      <c r="C831" s="2" t="s">
        <v>1429</v>
      </c>
      <c r="D831" s="2" t="s">
        <v>1430</v>
      </c>
      <c r="E831" s="2" t="s">
        <v>1713</v>
      </c>
      <c r="F831" s="7">
        <v>1999</v>
      </c>
      <c r="G831" s="2" t="s">
        <v>1431</v>
      </c>
      <c r="H831" s="2" t="s">
        <v>1428</v>
      </c>
    </row>
    <row r="832" spans="2:8" x14ac:dyDescent="0.25">
      <c r="B832" s="7" t="s">
        <v>2652</v>
      </c>
      <c r="C832" s="2" t="s">
        <v>1432</v>
      </c>
      <c r="D832" s="2" t="s">
        <v>1430</v>
      </c>
      <c r="E832" s="2" t="s">
        <v>1713</v>
      </c>
      <c r="F832" s="7">
        <v>1997</v>
      </c>
      <c r="G832" s="2" t="s">
        <v>1433</v>
      </c>
      <c r="H832" s="2" t="s">
        <v>1428</v>
      </c>
    </row>
    <row r="833" spans="1:8" x14ac:dyDescent="0.25">
      <c r="B833" s="7" t="s">
        <v>2653</v>
      </c>
      <c r="C833" s="2" t="s">
        <v>1434</v>
      </c>
      <c r="D833" s="2" t="s">
        <v>1435</v>
      </c>
      <c r="E833" s="2" t="s">
        <v>1713</v>
      </c>
      <c r="F833" s="7">
        <v>2002</v>
      </c>
      <c r="G833" s="2" t="s">
        <v>1436</v>
      </c>
      <c r="H833" s="2" t="s">
        <v>1428</v>
      </c>
    </row>
    <row r="834" spans="1:8" x14ac:dyDescent="0.25">
      <c r="B834" s="7" t="s">
        <v>2654</v>
      </c>
      <c r="C834" s="2" t="s">
        <v>1437</v>
      </c>
      <c r="D834" s="2" t="s">
        <v>1438</v>
      </c>
      <c r="E834" s="2" t="s">
        <v>1713</v>
      </c>
      <c r="F834" s="7">
        <v>2003</v>
      </c>
      <c r="G834" s="2" t="s">
        <v>1439</v>
      </c>
      <c r="H834" s="2" t="s">
        <v>820</v>
      </c>
    </row>
    <row r="835" spans="1:8" x14ac:dyDescent="0.25">
      <c r="B835" s="7" t="s">
        <v>2655</v>
      </c>
      <c r="C835" s="2" t="s">
        <v>1440</v>
      </c>
      <c r="D835" s="2" t="s">
        <v>1430</v>
      </c>
      <c r="E835" s="2" t="s">
        <v>1713</v>
      </c>
      <c r="F835" s="7">
        <v>2003</v>
      </c>
      <c r="G835" s="2" t="s">
        <v>1441</v>
      </c>
      <c r="H835" s="2" t="s">
        <v>1428</v>
      </c>
    </row>
    <row r="836" spans="1:8" x14ac:dyDescent="0.25">
      <c r="B836" s="7" t="s">
        <v>2656</v>
      </c>
      <c r="C836" s="2" t="s">
        <v>614</v>
      </c>
      <c r="D836" s="2" t="s">
        <v>1430</v>
      </c>
      <c r="E836" s="2" t="s">
        <v>1713</v>
      </c>
      <c r="F836" s="7">
        <v>2003</v>
      </c>
      <c r="G836" s="2" t="s">
        <v>1443</v>
      </c>
      <c r="H836" s="2" t="s">
        <v>1428</v>
      </c>
    </row>
    <row r="837" spans="1:8" x14ac:dyDescent="0.25">
      <c r="A837" s="1" t="s">
        <v>2681</v>
      </c>
      <c r="B837" s="7" t="s">
        <v>2657</v>
      </c>
      <c r="C837" s="2" t="s">
        <v>1444</v>
      </c>
      <c r="D837" s="2" t="s">
        <v>1445</v>
      </c>
      <c r="E837" s="2" t="s">
        <v>1713</v>
      </c>
      <c r="F837" s="7">
        <v>1996</v>
      </c>
      <c r="G837" s="2" t="s">
        <v>1446</v>
      </c>
      <c r="H837" s="2" t="s">
        <v>1447</v>
      </c>
    </row>
    <row r="838" spans="1:8" x14ac:dyDescent="0.25">
      <c r="B838" s="7" t="s">
        <v>2658</v>
      </c>
      <c r="C838" s="2" t="s">
        <v>1463</v>
      </c>
      <c r="D838" s="2" t="s">
        <v>1430</v>
      </c>
      <c r="E838" s="2" t="s">
        <v>1713</v>
      </c>
      <c r="F838" s="7">
        <v>2002</v>
      </c>
      <c r="G838" s="2" t="s">
        <v>1464</v>
      </c>
      <c r="H838" s="2" t="s">
        <v>1428</v>
      </c>
    </row>
    <row r="839" spans="1:8" x14ac:dyDescent="0.25">
      <c r="B839" s="7" t="s">
        <v>2659</v>
      </c>
      <c r="C839" s="2" t="s">
        <v>1467</v>
      </c>
      <c r="D839" s="2" t="s">
        <v>1430</v>
      </c>
      <c r="E839" s="2" t="s">
        <v>1713</v>
      </c>
      <c r="F839" s="7">
        <v>2002</v>
      </c>
      <c r="G839" s="2" t="s">
        <v>1468</v>
      </c>
      <c r="H839" s="2" t="s">
        <v>177</v>
      </c>
    </row>
    <row r="840" spans="1:8" x14ac:dyDescent="0.25">
      <c r="B840" s="7" t="s">
        <v>2333</v>
      </c>
      <c r="C840" s="2" t="s">
        <v>1442</v>
      </c>
      <c r="D840" s="2" t="s">
        <v>1430</v>
      </c>
      <c r="E840" s="2" t="s">
        <v>1713</v>
      </c>
      <c r="F840" s="7">
        <v>2003</v>
      </c>
      <c r="G840" s="2" t="s">
        <v>1443</v>
      </c>
      <c r="H840" s="2" t="s">
        <v>1428</v>
      </c>
    </row>
    <row r="841" spans="1:8" x14ac:dyDescent="0.25">
      <c r="B841" s="6" t="s">
        <v>2660</v>
      </c>
      <c r="C841" s="1" t="s">
        <v>1136</v>
      </c>
      <c r="D841" s="1" t="s">
        <v>1135</v>
      </c>
      <c r="E841" s="1" t="s">
        <v>1713</v>
      </c>
      <c r="F841" s="6">
        <v>1997</v>
      </c>
      <c r="G841" s="1" t="s">
        <v>1137</v>
      </c>
      <c r="H841" s="1" t="s">
        <v>1423</v>
      </c>
    </row>
    <row r="842" spans="1:8" x14ac:dyDescent="0.25">
      <c r="B842" s="6" t="s">
        <v>2661</v>
      </c>
      <c r="C842" s="1" t="s">
        <v>1138</v>
      </c>
      <c r="D842" s="1" t="s">
        <v>1139</v>
      </c>
      <c r="E842" s="1" t="s">
        <v>1713</v>
      </c>
      <c r="F842" s="6">
        <v>1999</v>
      </c>
      <c r="G842" s="1" t="s">
        <v>1140</v>
      </c>
      <c r="H842" s="1" t="s">
        <v>1215</v>
      </c>
    </row>
    <row r="843" spans="1:8" x14ac:dyDescent="0.25">
      <c r="B843" s="6" t="s">
        <v>2662</v>
      </c>
      <c r="C843" s="1" t="s">
        <v>1375</v>
      </c>
      <c r="D843" s="1" t="s">
        <v>1376</v>
      </c>
      <c r="E843" s="1" t="s">
        <v>1713</v>
      </c>
      <c r="F843" s="6">
        <v>1998</v>
      </c>
      <c r="G843" s="1" t="s">
        <v>1137</v>
      </c>
      <c r="H843" s="1" t="s">
        <v>1423</v>
      </c>
    </row>
    <row r="844" spans="1:8" x14ac:dyDescent="0.25">
      <c r="B844" s="7" t="s">
        <v>2663</v>
      </c>
      <c r="C844" s="2" t="s">
        <v>1377</v>
      </c>
      <c r="D844" s="2" t="s">
        <v>1135</v>
      </c>
      <c r="E844" s="2" t="s">
        <v>1713</v>
      </c>
      <c r="F844" s="7">
        <v>1998</v>
      </c>
      <c r="G844" s="2" t="s">
        <v>1378</v>
      </c>
      <c r="H844" s="2" t="s">
        <v>820</v>
      </c>
    </row>
    <row r="845" spans="1:8" x14ac:dyDescent="0.25">
      <c r="B845" s="7" t="s">
        <v>2664</v>
      </c>
      <c r="C845" s="2" t="s">
        <v>1379</v>
      </c>
      <c r="D845" s="2" t="s">
        <v>1135</v>
      </c>
      <c r="E845" s="2" t="s">
        <v>1713</v>
      </c>
      <c r="F845" s="7">
        <v>2000</v>
      </c>
      <c r="G845" s="2" t="s">
        <v>1380</v>
      </c>
      <c r="H845" s="2" t="s">
        <v>1428</v>
      </c>
    </row>
    <row r="846" spans="1:8" x14ac:dyDescent="0.25">
      <c r="B846" s="7" t="s">
        <v>2665</v>
      </c>
      <c r="C846" s="2" t="s">
        <v>1381</v>
      </c>
      <c r="D846" s="2" t="s">
        <v>1382</v>
      </c>
      <c r="E846" s="2" t="s">
        <v>1713</v>
      </c>
      <c r="F846" s="7">
        <v>2000</v>
      </c>
      <c r="G846" s="2" t="s">
        <v>1383</v>
      </c>
      <c r="H846" s="2" t="s">
        <v>1428</v>
      </c>
    </row>
    <row r="847" spans="1:8" x14ac:dyDescent="0.25">
      <c r="B847" s="7" t="s">
        <v>2334</v>
      </c>
      <c r="C847" s="2" t="s">
        <v>1384</v>
      </c>
      <c r="D847" s="2" t="s">
        <v>1135</v>
      </c>
      <c r="E847" s="2" t="s">
        <v>1713</v>
      </c>
      <c r="F847" s="7">
        <v>2000</v>
      </c>
      <c r="G847" s="2" t="s">
        <v>1385</v>
      </c>
      <c r="H847" s="2" t="s">
        <v>1685</v>
      </c>
    </row>
    <row r="848" spans="1:8" x14ac:dyDescent="0.25">
      <c r="B848" s="7" t="s">
        <v>2335</v>
      </c>
      <c r="C848" s="2" t="s">
        <v>1386</v>
      </c>
      <c r="D848" s="2" t="s">
        <v>1135</v>
      </c>
      <c r="E848" s="2" t="s">
        <v>1713</v>
      </c>
      <c r="F848" s="7">
        <v>2002</v>
      </c>
      <c r="G848" s="2" t="s">
        <v>1387</v>
      </c>
      <c r="H848" s="2" t="s">
        <v>820</v>
      </c>
    </row>
    <row r="849" spans="1:8" x14ac:dyDescent="0.25">
      <c r="B849" s="7" t="s">
        <v>2336</v>
      </c>
      <c r="C849" s="2" t="s">
        <v>1388</v>
      </c>
      <c r="D849" s="2" t="s">
        <v>1135</v>
      </c>
      <c r="E849" s="2" t="s">
        <v>1713</v>
      </c>
      <c r="F849" s="7">
        <v>2002</v>
      </c>
      <c r="G849" s="2" t="s">
        <v>1389</v>
      </c>
      <c r="H849" s="2" t="s">
        <v>1428</v>
      </c>
    </row>
    <row r="850" spans="1:8" x14ac:dyDescent="0.25">
      <c r="B850" s="7" t="s">
        <v>2337</v>
      </c>
      <c r="C850" s="2" t="s">
        <v>1390</v>
      </c>
      <c r="D850" s="2" t="s">
        <v>1135</v>
      </c>
      <c r="E850" s="2" t="s">
        <v>1713</v>
      </c>
      <c r="F850" s="7">
        <v>2002</v>
      </c>
      <c r="G850" s="2" t="s">
        <v>1391</v>
      </c>
      <c r="H850" s="2" t="s">
        <v>1428</v>
      </c>
    </row>
    <row r="851" spans="1:8" x14ac:dyDescent="0.25">
      <c r="B851" s="7" t="s">
        <v>2338</v>
      </c>
      <c r="C851" s="2" t="s">
        <v>1392</v>
      </c>
      <c r="D851" s="2" t="s">
        <v>1135</v>
      </c>
      <c r="E851" s="2" t="s">
        <v>1713</v>
      </c>
      <c r="F851" s="7">
        <v>2002</v>
      </c>
      <c r="G851" s="2" t="s">
        <v>1393</v>
      </c>
      <c r="H851" s="2" t="s">
        <v>1428</v>
      </c>
    </row>
    <row r="852" spans="1:8" x14ac:dyDescent="0.25">
      <c r="B852" s="7" t="s">
        <v>2339</v>
      </c>
      <c r="C852" s="2" t="s">
        <v>1396</v>
      </c>
      <c r="D852" s="2" t="s">
        <v>1135</v>
      </c>
      <c r="E852" s="2" t="s">
        <v>1713</v>
      </c>
      <c r="F852" s="7">
        <v>2001</v>
      </c>
      <c r="G852" s="2" t="s">
        <v>1397</v>
      </c>
      <c r="H852" s="2" t="s">
        <v>1204</v>
      </c>
    </row>
    <row r="853" spans="1:8" x14ac:dyDescent="0.25">
      <c r="B853" s="7" t="s">
        <v>2340</v>
      </c>
      <c r="C853" s="2" t="s">
        <v>1398</v>
      </c>
      <c r="D853" s="2" t="s">
        <v>1135</v>
      </c>
      <c r="E853" s="2" t="s">
        <v>1713</v>
      </c>
      <c r="F853" s="7">
        <v>2002</v>
      </c>
      <c r="G853" s="2" t="s">
        <v>1394</v>
      </c>
      <c r="H853" s="2" t="s">
        <v>1395</v>
      </c>
    </row>
    <row r="854" spans="1:8" x14ac:dyDescent="0.25">
      <c r="B854" s="7" t="s">
        <v>2341</v>
      </c>
      <c r="C854" s="2" t="s">
        <v>1399</v>
      </c>
      <c r="D854" s="2" t="s">
        <v>1400</v>
      </c>
      <c r="E854" s="2" t="s">
        <v>1713</v>
      </c>
      <c r="F854" s="7">
        <v>2000</v>
      </c>
      <c r="G854" s="2" t="s">
        <v>2796</v>
      </c>
      <c r="H854" s="2" t="s">
        <v>362</v>
      </c>
    </row>
    <row r="855" spans="1:8" x14ac:dyDescent="0.25">
      <c r="A855" s="1" t="s">
        <v>2681</v>
      </c>
      <c r="B855" s="7" t="s">
        <v>2342</v>
      </c>
      <c r="C855" s="2" t="s">
        <v>575</v>
      </c>
      <c r="D855" s="2" t="s">
        <v>1135</v>
      </c>
      <c r="E855" s="2" t="s">
        <v>1713</v>
      </c>
      <c r="F855" s="7">
        <v>1996</v>
      </c>
      <c r="G855" s="2" t="s">
        <v>1401</v>
      </c>
      <c r="H855" s="2" t="s">
        <v>888</v>
      </c>
    </row>
    <row r="856" spans="1:8" x14ac:dyDescent="0.25">
      <c r="B856" s="7" t="s">
        <v>2343</v>
      </c>
      <c r="C856" s="2" t="s">
        <v>1388</v>
      </c>
      <c r="D856" s="2" t="s">
        <v>1135</v>
      </c>
      <c r="E856" s="2" t="s">
        <v>1713</v>
      </c>
      <c r="F856" s="7">
        <v>1997</v>
      </c>
      <c r="G856" s="2" t="s">
        <v>1389</v>
      </c>
      <c r="H856" s="2" t="s">
        <v>1428</v>
      </c>
    </row>
    <row r="857" spans="1:8" x14ac:dyDescent="0.25">
      <c r="B857" s="7" t="s">
        <v>2344</v>
      </c>
      <c r="C857" s="2" t="s">
        <v>1402</v>
      </c>
      <c r="D857" s="2" t="s">
        <v>1135</v>
      </c>
      <c r="E857" s="2" t="s">
        <v>1713</v>
      </c>
      <c r="F857" s="7">
        <v>1997</v>
      </c>
      <c r="G857" s="2" t="s">
        <v>1403</v>
      </c>
      <c r="H857" s="2" t="s">
        <v>1215</v>
      </c>
    </row>
    <row r="858" spans="1:8" x14ac:dyDescent="0.25">
      <c r="B858" s="7" t="s">
        <v>2345</v>
      </c>
      <c r="C858" s="2" t="s">
        <v>2868</v>
      </c>
      <c r="D858" s="2" t="s">
        <v>1135</v>
      </c>
      <c r="E858" s="2" t="s">
        <v>1713</v>
      </c>
      <c r="F858" s="7">
        <v>2002</v>
      </c>
      <c r="G858" s="2" t="s">
        <v>1393</v>
      </c>
      <c r="H858" s="2" t="s">
        <v>1575</v>
      </c>
    </row>
    <row r="859" spans="1:8" x14ac:dyDescent="0.25">
      <c r="B859" s="7" t="s">
        <v>2346</v>
      </c>
      <c r="C859" s="2" t="s">
        <v>2869</v>
      </c>
      <c r="D859" s="2" t="s">
        <v>1135</v>
      </c>
      <c r="E859" s="2" t="s">
        <v>1713</v>
      </c>
      <c r="F859" s="7">
        <v>2003</v>
      </c>
      <c r="G859" s="2" t="s">
        <v>2870</v>
      </c>
      <c r="H859" s="2" t="s">
        <v>310</v>
      </c>
    </row>
    <row r="860" spans="1:8" x14ac:dyDescent="0.25">
      <c r="B860" s="7" t="s">
        <v>2347</v>
      </c>
      <c r="C860" s="2" t="s">
        <v>1404</v>
      </c>
      <c r="D860" s="2" t="s">
        <v>1135</v>
      </c>
      <c r="E860" s="2" t="s">
        <v>1713</v>
      </c>
      <c r="F860" s="7">
        <v>2003</v>
      </c>
      <c r="G860" s="2" t="s">
        <v>1405</v>
      </c>
      <c r="H860" s="2" t="s">
        <v>1428</v>
      </c>
    </row>
    <row r="861" spans="1:8" x14ac:dyDescent="0.25">
      <c r="B861" s="6" t="s">
        <v>2348</v>
      </c>
      <c r="C861" s="1" t="s">
        <v>1406</v>
      </c>
      <c r="D861" s="1" t="s">
        <v>1407</v>
      </c>
      <c r="E861" s="1" t="s">
        <v>1713</v>
      </c>
      <c r="F861" s="6">
        <v>2005</v>
      </c>
      <c r="G861" s="1" t="s">
        <v>1408</v>
      </c>
      <c r="H861" s="1" t="s">
        <v>1409</v>
      </c>
    </row>
    <row r="862" spans="1:8" x14ac:dyDescent="0.25">
      <c r="B862" s="6" t="s">
        <v>2349</v>
      </c>
      <c r="C862" s="1" t="s">
        <v>1410</v>
      </c>
      <c r="D862" s="1" t="s">
        <v>1411</v>
      </c>
      <c r="E862" s="1" t="s">
        <v>1713</v>
      </c>
      <c r="F862" s="6">
        <v>2007</v>
      </c>
      <c r="G862" s="1" t="s">
        <v>1412</v>
      </c>
      <c r="H862" s="1" t="s">
        <v>1428</v>
      </c>
    </row>
    <row r="863" spans="1:8" x14ac:dyDescent="0.25">
      <c r="B863" s="7" t="s">
        <v>2350</v>
      </c>
      <c r="C863" s="2" t="s">
        <v>1413</v>
      </c>
      <c r="D863" s="2" t="s">
        <v>1411</v>
      </c>
      <c r="E863" s="2" t="s">
        <v>1713</v>
      </c>
      <c r="F863" s="7">
        <v>2002</v>
      </c>
      <c r="G863" s="2" t="s">
        <v>1389</v>
      </c>
      <c r="H863" s="2" t="s">
        <v>1428</v>
      </c>
    </row>
    <row r="864" spans="1:8" x14ac:dyDescent="0.25">
      <c r="B864" s="6" t="s">
        <v>2351</v>
      </c>
      <c r="C864" s="1" t="s">
        <v>1414</v>
      </c>
      <c r="D864" s="1" t="s">
        <v>1135</v>
      </c>
      <c r="E864" s="1" t="s">
        <v>1713</v>
      </c>
      <c r="F864" s="6">
        <v>2005</v>
      </c>
      <c r="G864" s="1" t="s">
        <v>1415</v>
      </c>
      <c r="H864" s="1" t="s">
        <v>1793</v>
      </c>
    </row>
    <row r="865" spans="2:8" x14ac:dyDescent="0.25">
      <c r="B865" s="7" t="s">
        <v>2352</v>
      </c>
      <c r="C865" s="2" t="s">
        <v>1416</v>
      </c>
      <c r="D865" s="2" t="s">
        <v>1411</v>
      </c>
      <c r="E865" s="2" t="s">
        <v>1713</v>
      </c>
      <c r="F865" s="7">
        <v>2001</v>
      </c>
      <c r="G865" s="2" t="s">
        <v>1417</v>
      </c>
      <c r="H865" s="2" t="s">
        <v>888</v>
      </c>
    </row>
    <row r="866" spans="2:8" x14ac:dyDescent="0.25">
      <c r="B866" s="7" t="s">
        <v>2353</v>
      </c>
      <c r="C866" s="2" t="s">
        <v>1418</v>
      </c>
      <c r="D866" s="2" t="s">
        <v>1411</v>
      </c>
      <c r="E866" s="2" t="s">
        <v>1713</v>
      </c>
      <c r="F866" s="7">
        <v>1998</v>
      </c>
      <c r="G866" s="2" t="s">
        <v>1419</v>
      </c>
      <c r="H866" s="2" t="s">
        <v>816</v>
      </c>
    </row>
    <row r="867" spans="2:8" x14ac:dyDescent="0.25">
      <c r="B867" s="7" t="s">
        <v>2354</v>
      </c>
      <c r="C867" s="2" t="s">
        <v>1420</v>
      </c>
      <c r="D867" s="2" t="s">
        <v>1135</v>
      </c>
      <c r="E867" s="2" t="s">
        <v>1713</v>
      </c>
      <c r="F867" s="7">
        <v>1997</v>
      </c>
      <c r="G867" s="2" t="s">
        <v>1421</v>
      </c>
      <c r="H867" s="2" t="s">
        <v>1580</v>
      </c>
    </row>
    <row r="868" spans="2:8" x14ac:dyDescent="0.25">
      <c r="B868" s="6" t="s">
        <v>2355</v>
      </c>
      <c r="C868" s="1" t="s">
        <v>1452</v>
      </c>
      <c r="D868" s="1" t="s">
        <v>1453</v>
      </c>
      <c r="E868" s="1" t="s">
        <v>1713</v>
      </c>
      <c r="F868" s="6">
        <v>2000</v>
      </c>
      <c r="G868" s="1" t="s">
        <v>1454</v>
      </c>
      <c r="H868" s="1" t="s">
        <v>1215</v>
      </c>
    </row>
    <row r="869" spans="2:8" x14ac:dyDescent="0.25">
      <c r="B869" s="6" t="s">
        <v>2697</v>
      </c>
      <c r="C869" s="1" t="s">
        <v>615</v>
      </c>
      <c r="D869" s="1" t="s">
        <v>1135</v>
      </c>
      <c r="E869" s="1" t="s">
        <v>1713</v>
      </c>
      <c r="F869" s="6">
        <v>2000</v>
      </c>
      <c r="G869" s="1" t="s">
        <v>616</v>
      </c>
      <c r="H869" s="1" t="s">
        <v>1428</v>
      </c>
    </row>
    <row r="870" spans="2:8" x14ac:dyDescent="0.25">
      <c r="B870" s="6" t="s">
        <v>2698</v>
      </c>
      <c r="C870" s="1" t="s">
        <v>2699</v>
      </c>
      <c r="D870" s="1" t="s">
        <v>1135</v>
      </c>
      <c r="E870" s="1" t="s">
        <v>1713</v>
      </c>
      <c r="F870" s="6">
        <v>2000</v>
      </c>
      <c r="G870" s="1" t="s">
        <v>1389</v>
      </c>
      <c r="H870" s="1" t="s">
        <v>1428</v>
      </c>
    </row>
    <row r="871" spans="2:8" x14ac:dyDescent="0.25">
      <c r="B871" s="6" t="s">
        <v>2700</v>
      </c>
      <c r="C871" s="1" t="s">
        <v>1388</v>
      </c>
      <c r="D871" s="1" t="s">
        <v>1135</v>
      </c>
      <c r="E871" s="1" t="s">
        <v>1713</v>
      </c>
      <c r="F871" s="6">
        <v>1999</v>
      </c>
      <c r="G871" s="1" t="s">
        <v>1389</v>
      </c>
      <c r="H871" s="1" t="s">
        <v>1428</v>
      </c>
    </row>
    <row r="872" spans="2:8" x14ac:dyDescent="0.25">
      <c r="B872" s="6" t="s">
        <v>2848</v>
      </c>
      <c r="C872" s="1" t="s">
        <v>2849</v>
      </c>
      <c r="D872" s="1" t="s">
        <v>2850</v>
      </c>
      <c r="E872" s="1" t="s">
        <v>2830</v>
      </c>
      <c r="F872" s="6">
        <v>2007</v>
      </c>
      <c r="G872" s="1" t="s">
        <v>1412</v>
      </c>
      <c r="H872" s="1" t="s">
        <v>1428</v>
      </c>
    </row>
    <row r="873" spans="2:8" x14ac:dyDescent="0.25">
      <c r="B873" s="6" t="s">
        <v>2875</v>
      </c>
      <c r="C873" s="1" t="s">
        <v>2871</v>
      </c>
      <c r="D873" s="1" t="s">
        <v>2872</v>
      </c>
      <c r="E873" s="1" t="s">
        <v>1713</v>
      </c>
      <c r="F873" s="6">
        <v>2001</v>
      </c>
      <c r="G873" s="1" t="s">
        <v>2873</v>
      </c>
      <c r="H873" s="1" t="s">
        <v>2874</v>
      </c>
    </row>
    <row r="874" spans="2:8" x14ac:dyDescent="0.25">
      <c r="B874" s="6" t="s">
        <v>2879</v>
      </c>
      <c r="C874" s="1" t="s">
        <v>2876</v>
      </c>
      <c r="D874" s="1" t="s">
        <v>2872</v>
      </c>
      <c r="E874" s="1" t="s">
        <v>1713</v>
      </c>
      <c r="F874" s="6">
        <v>2002</v>
      </c>
      <c r="G874" s="1" t="s">
        <v>2877</v>
      </c>
      <c r="H874" s="1" t="s">
        <v>2878</v>
      </c>
    </row>
    <row r="875" spans="2:8" x14ac:dyDescent="0.25">
      <c r="B875" s="6" t="s">
        <v>2880</v>
      </c>
      <c r="C875" s="1" t="s">
        <v>2881</v>
      </c>
      <c r="D875" s="1" t="s">
        <v>2872</v>
      </c>
      <c r="E875" s="1" t="s">
        <v>1713</v>
      </c>
      <c r="F875" s="6">
        <v>2001</v>
      </c>
      <c r="G875" s="1" t="s">
        <v>2882</v>
      </c>
      <c r="H875" s="1" t="s">
        <v>1305</v>
      </c>
    </row>
    <row r="876" spans="2:8" x14ac:dyDescent="0.25">
      <c r="B876" s="7" t="s">
        <v>2666</v>
      </c>
      <c r="C876" s="2" t="s">
        <v>1176</v>
      </c>
      <c r="D876" s="2" t="s">
        <v>1177</v>
      </c>
      <c r="E876" s="2" t="s">
        <v>1713</v>
      </c>
      <c r="F876" s="7">
        <v>2003</v>
      </c>
      <c r="G876" s="2" t="s">
        <v>1178</v>
      </c>
      <c r="H876" s="2" t="s">
        <v>1423</v>
      </c>
    </row>
    <row r="877" spans="2:8" x14ac:dyDescent="0.25">
      <c r="B877" s="6" t="s">
        <v>2667</v>
      </c>
      <c r="C877" s="1" t="s">
        <v>1179</v>
      </c>
      <c r="D877" s="1" t="s">
        <v>1180</v>
      </c>
      <c r="E877" s="1" t="s">
        <v>1713</v>
      </c>
      <c r="F877" s="6">
        <v>2006</v>
      </c>
      <c r="G877" s="1" t="s">
        <v>1181</v>
      </c>
      <c r="H877" s="1" t="s">
        <v>820</v>
      </c>
    </row>
    <row r="878" spans="2:8" x14ac:dyDescent="0.25">
      <c r="B878" s="6" t="s">
        <v>2668</v>
      </c>
      <c r="C878" s="1" t="s">
        <v>1182</v>
      </c>
      <c r="E878" s="1" t="s">
        <v>1183</v>
      </c>
      <c r="F878" s="6">
        <v>2002</v>
      </c>
      <c r="G878" s="1" t="s">
        <v>1184</v>
      </c>
      <c r="H878" s="1" t="s">
        <v>1204</v>
      </c>
    </row>
    <row r="879" spans="2:8" x14ac:dyDescent="0.25">
      <c r="B879" s="6" t="s">
        <v>2669</v>
      </c>
      <c r="C879" s="1" t="s">
        <v>1185</v>
      </c>
      <c r="E879" s="1" t="s">
        <v>1183</v>
      </c>
      <c r="F879" s="6">
        <v>2002</v>
      </c>
      <c r="G879" s="1" t="s">
        <v>1186</v>
      </c>
      <c r="H879" s="1" t="s">
        <v>1204</v>
      </c>
    </row>
    <row r="880" spans="2:8" x14ac:dyDescent="0.25">
      <c r="B880" s="6" t="s">
        <v>2487</v>
      </c>
      <c r="C880" s="1" t="s">
        <v>1187</v>
      </c>
      <c r="D880" s="1" t="s">
        <v>1188</v>
      </c>
      <c r="E880" s="1" t="s">
        <v>1189</v>
      </c>
      <c r="F880" s="6">
        <v>2009</v>
      </c>
      <c r="G880" s="1" t="s">
        <v>1190</v>
      </c>
      <c r="H880" s="1" t="s">
        <v>901</v>
      </c>
    </row>
    <row r="881" spans="2:8" x14ac:dyDescent="0.25">
      <c r="B881" s="6" t="s">
        <v>2488</v>
      </c>
      <c r="C881" s="1" t="s">
        <v>204</v>
      </c>
      <c r="D881" s="1" t="s">
        <v>1188</v>
      </c>
      <c r="E881" s="1" t="s">
        <v>1189</v>
      </c>
      <c r="F881" s="6">
        <v>2004</v>
      </c>
      <c r="G881" s="1" t="s">
        <v>76</v>
      </c>
      <c r="H881" s="1" t="s">
        <v>1448</v>
      </c>
    </row>
    <row r="882" spans="2:8" x14ac:dyDescent="0.25">
      <c r="B882" s="6" t="s">
        <v>2489</v>
      </c>
      <c r="C882" s="1" t="s">
        <v>591</v>
      </c>
      <c r="D882" s="1" t="s">
        <v>1188</v>
      </c>
      <c r="E882" s="1" t="s">
        <v>1189</v>
      </c>
      <c r="F882" s="6">
        <v>2003</v>
      </c>
      <c r="G882" s="1" t="s">
        <v>205</v>
      </c>
      <c r="H882" s="1" t="s">
        <v>206</v>
      </c>
    </row>
    <row r="883" spans="2:8" x14ac:dyDescent="0.25">
      <c r="B883" s="6" t="s">
        <v>2490</v>
      </c>
      <c r="C883" s="1" t="s">
        <v>207</v>
      </c>
      <c r="D883" s="1" t="s">
        <v>1188</v>
      </c>
      <c r="E883" s="1" t="s">
        <v>1189</v>
      </c>
      <c r="F883" s="6">
        <v>2005</v>
      </c>
      <c r="G883" s="1" t="s">
        <v>205</v>
      </c>
      <c r="H883" s="1" t="s">
        <v>206</v>
      </c>
    </row>
    <row r="884" spans="2:8" x14ac:dyDescent="0.25">
      <c r="B884" s="6" t="s">
        <v>2486</v>
      </c>
      <c r="C884" s="1" t="s">
        <v>208</v>
      </c>
      <c r="D884" s="1" t="s">
        <v>1188</v>
      </c>
      <c r="E884" s="1" t="s">
        <v>1189</v>
      </c>
      <c r="F884" s="6">
        <v>2003</v>
      </c>
      <c r="H884" s="1" t="s">
        <v>1448</v>
      </c>
    </row>
    <row r="885" spans="2:8" x14ac:dyDescent="0.25">
      <c r="B885" s="6" t="s">
        <v>2491</v>
      </c>
      <c r="C885" s="1" t="s">
        <v>209</v>
      </c>
      <c r="D885" s="1" t="s">
        <v>1188</v>
      </c>
      <c r="E885" s="1" t="s">
        <v>1189</v>
      </c>
      <c r="F885" s="6">
        <v>2003</v>
      </c>
      <c r="G885" s="1" t="s">
        <v>210</v>
      </c>
      <c r="H885" s="1" t="s">
        <v>1448</v>
      </c>
    </row>
    <row r="886" spans="2:8" x14ac:dyDescent="0.25">
      <c r="B886" s="6" t="s">
        <v>2670</v>
      </c>
      <c r="C886" s="1" t="s">
        <v>78</v>
      </c>
      <c r="E886" s="1" t="s">
        <v>77</v>
      </c>
      <c r="F886" s="6">
        <v>1998</v>
      </c>
      <c r="G886" s="1" t="s">
        <v>79</v>
      </c>
      <c r="H886" s="1" t="s">
        <v>1428</v>
      </c>
    </row>
    <row r="887" spans="2:8" x14ac:dyDescent="0.25">
      <c r="B887" s="6" t="s">
        <v>2671</v>
      </c>
      <c r="C887" s="1" t="s">
        <v>80</v>
      </c>
      <c r="E887" s="1" t="s">
        <v>77</v>
      </c>
      <c r="F887" s="6">
        <v>1998</v>
      </c>
      <c r="G887" s="1" t="s">
        <v>81</v>
      </c>
      <c r="H887" s="1" t="s">
        <v>1144</v>
      </c>
    </row>
    <row r="888" spans="2:8" x14ac:dyDescent="0.25">
      <c r="B888" s="7" t="s">
        <v>2672</v>
      </c>
      <c r="C888" s="2" t="s">
        <v>592</v>
      </c>
      <c r="D888" s="2"/>
      <c r="E888" s="2" t="s">
        <v>77</v>
      </c>
      <c r="F888" s="7">
        <v>2002</v>
      </c>
      <c r="G888" s="2" t="s">
        <v>82</v>
      </c>
      <c r="H888" s="2" t="s">
        <v>1204</v>
      </c>
    </row>
    <row r="889" spans="2:8" x14ac:dyDescent="0.25">
      <c r="B889" s="7" t="s">
        <v>2673</v>
      </c>
      <c r="C889" s="2" t="s">
        <v>83</v>
      </c>
      <c r="D889" s="2"/>
      <c r="E889" s="2" t="s">
        <v>77</v>
      </c>
      <c r="F889" s="7">
        <v>2001</v>
      </c>
      <c r="G889" s="2" t="s">
        <v>1530</v>
      </c>
      <c r="H889" s="2" t="s">
        <v>1204</v>
      </c>
    </row>
    <row r="890" spans="2:8" x14ac:dyDescent="0.25">
      <c r="B890" s="7" t="s">
        <v>2674</v>
      </c>
      <c r="C890" s="2" t="s">
        <v>1531</v>
      </c>
      <c r="D890" s="2"/>
      <c r="E890" s="2" t="s">
        <v>77</v>
      </c>
      <c r="F890" s="7">
        <v>2001</v>
      </c>
      <c r="G890" s="2" t="s">
        <v>1532</v>
      </c>
      <c r="H890" s="2" t="s">
        <v>1204</v>
      </c>
    </row>
    <row r="891" spans="2:8" x14ac:dyDescent="0.25">
      <c r="B891" s="7" t="s">
        <v>2675</v>
      </c>
      <c r="C891" s="2" t="s">
        <v>1533</v>
      </c>
      <c r="D891" s="2"/>
      <c r="E891" s="2" t="s">
        <v>77</v>
      </c>
      <c r="F891" s="7">
        <v>2002</v>
      </c>
      <c r="G891" s="2" t="s">
        <v>1534</v>
      </c>
      <c r="H891" s="2" t="s">
        <v>310</v>
      </c>
    </row>
    <row r="892" spans="2:8" x14ac:dyDescent="0.25">
      <c r="B892" s="7" t="s">
        <v>2356</v>
      </c>
      <c r="C892" s="2" t="s">
        <v>1535</v>
      </c>
      <c r="D892" s="2"/>
      <c r="E892" s="2" t="s">
        <v>77</v>
      </c>
      <c r="F892" s="7">
        <v>2002</v>
      </c>
      <c r="G892" s="2" t="s">
        <v>1536</v>
      </c>
      <c r="H892" s="2" t="s">
        <v>820</v>
      </c>
    </row>
    <row r="893" spans="2:8" x14ac:dyDescent="0.25">
      <c r="B893" s="7" t="s">
        <v>2357</v>
      </c>
      <c r="C893" s="2" t="s">
        <v>1537</v>
      </c>
      <c r="D893" s="2"/>
      <c r="E893" s="2" t="s">
        <v>77</v>
      </c>
      <c r="F893" s="7">
        <v>2002</v>
      </c>
      <c r="G893" s="2" t="s">
        <v>1538</v>
      </c>
      <c r="H893" s="2" t="s">
        <v>310</v>
      </c>
    </row>
    <row r="894" spans="2:8" x14ac:dyDescent="0.25">
      <c r="B894" s="7" t="s">
        <v>2358</v>
      </c>
      <c r="C894" s="2" t="s">
        <v>1539</v>
      </c>
      <c r="D894" s="2"/>
      <c r="E894" s="2" t="s">
        <v>77</v>
      </c>
      <c r="F894" s="7">
        <v>2004</v>
      </c>
      <c r="G894" s="2" t="s">
        <v>1540</v>
      </c>
      <c r="H894" s="2" t="s">
        <v>1422</v>
      </c>
    </row>
    <row r="895" spans="2:8" x14ac:dyDescent="0.25">
      <c r="B895" s="7" t="s">
        <v>2359</v>
      </c>
      <c r="C895" s="2" t="s">
        <v>1541</v>
      </c>
      <c r="D895" s="2"/>
      <c r="E895" s="2" t="s">
        <v>77</v>
      </c>
      <c r="F895" s="7">
        <v>2001</v>
      </c>
      <c r="G895" s="2" t="s">
        <v>1542</v>
      </c>
      <c r="H895" s="2" t="s">
        <v>1204</v>
      </c>
    </row>
    <row r="896" spans="2:8" x14ac:dyDescent="0.25">
      <c r="B896" s="7" t="s">
        <v>2360</v>
      </c>
      <c r="C896" s="2" t="s">
        <v>1543</v>
      </c>
      <c r="D896" s="2"/>
      <c r="E896" s="2" t="s">
        <v>77</v>
      </c>
      <c r="F896" s="7">
        <v>2000</v>
      </c>
      <c r="G896" s="2" t="s">
        <v>1544</v>
      </c>
      <c r="H896" s="2" t="s">
        <v>1529</v>
      </c>
    </row>
    <row r="897" spans="2:8" x14ac:dyDescent="0.25">
      <c r="B897" s="7" t="s">
        <v>2361</v>
      </c>
      <c r="C897" s="2" t="s">
        <v>1545</v>
      </c>
      <c r="D897" s="2"/>
      <c r="E897" s="2" t="s">
        <v>77</v>
      </c>
      <c r="F897" s="7">
        <v>2002</v>
      </c>
      <c r="G897" s="2" t="s">
        <v>1546</v>
      </c>
      <c r="H897" s="2" t="s">
        <v>1204</v>
      </c>
    </row>
    <row r="898" spans="2:8" x14ac:dyDescent="0.25">
      <c r="B898" s="7" t="s">
        <v>2362</v>
      </c>
      <c r="C898" s="2" t="s">
        <v>1547</v>
      </c>
      <c r="D898" s="2"/>
      <c r="E898" s="2" t="s">
        <v>77</v>
      </c>
      <c r="F898" s="7">
        <v>2001</v>
      </c>
      <c r="G898" s="2" t="s">
        <v>1548</v>
      </c>
      <c r="H898" s="2" t="s">
        <v>1204</v>
      </c>
    </row>
    <row r="899" spans="2:8" x14ac:dyDescent="0.25">
      <c r="B899" s="7" t="s">
        <v>2363</v>
      </c>
      <c r="C899" s="2" t="s">
        <v>1549</v>
      </c>
      <c r="D899" s="2"/>
      <c r="E899" s="2" t="s">
        <v>77</v>
      </c>
      <c r="F899" s="7">
        <v>2001</v>
      </c>
      <c r="G899" s="2" t="s">
        <v>1550</v>
      </c>
      <c r="H899" s="2" t="s">
        <v>820</v>
      </c>
    </row>
    <row r="900" spans="2:8" x14ac:dyDescent="0.25">
      <c r="B900" s="7" t="s">
        <v>2364</v>
      </c>
      <c r="C900" s="2" t="s">
        <v>1551</v>
      </c>
      <c r="D900" s="2"/>
      <c r="E900" s="2" t="s">
        <v>77</v>
      </c>
      <c r="F900" s="7">
        <v>2003</v>
      </c>
      <c r="G900" s="2" t="s">
        <v>1552</v>
      </c>
      <c r="H900" s="2" t="s">
        <v>1553</v>
      </c>
    </row>
    <row r="901" spans="2:8" x14ac:dyDescent="0.25">
      <c r="B901" s="7" t="s">
        <v>2365</v>
      </c>
      <c r="C901" s="2" t="s">
        <v>1554</v>
      </c>
      <c r="D901" s="2"/>
      <c r="E901" s="2" t="s">
        <v>77</v>
      </c>
      <c r="F901" s="7">
        <v>2004</v>
      </c>
      <c r="G901" s="2" t="s">
        <v>90</v>
      </c>
      <c r="H901" s="2" t="s">
        <v>1428</v>
      </c>
    </row>
    <row r="902" spans="2:8" x14ac:dyDescent="0.25">
      <c r="B902" s="7" t="s">
        <v>2366</v>
      </c>
      <c r="C902" s="2" t="s">
        <v>91</v>
      </c>
      <c r="D902" s="2"/>
      <c r="E902" s="2" t="s">
        <v>77</v>
      </c>
      <c r="F902" s="7">
        <v>2004</v>
      </c>
      <c r="G902" s="2" t="s">
        <v>92</v>
      </c>
      <c r="H902" s="2" t="s">
        <v>93</v>
      </c>
    </row>
    <row r="903" spans="2:8" x14ac:dyDescent="0.25">
      <c r="B903" s="7" t="s">
        <v>2367</v>
      </c>
      <c r="C903" s="2" t="s">
        <v>94</v>
      </c>
      <c r="D903" s="2"/>
      <c r="E903" s="2" t="s">
        <v>77</v>
      </c>
      <c r="F903" s="7">
        <v>2004</v>
      </c>
      <c r="G903" s="2" t="s">
        <v>95</v>
      </c>
      <c r="H903" s="2" t="s">
        <v>1204</v>
      </c>
    </row>
    <row r="904" spans="2:8" x14ac:dyDescent="0.25">
      <c r="B904" s="7" t="s">
        <v>2368</v>
      </c>
      <c r="C904" s="2" t="s">
        <v>96</v>
      </c>
      <c r="D904" s="2"/>
      <c r="E904" s="2" t="s">
        <v>77</v>
      </c>
      <c r="F904" s="7">
        <v>2004</v>
      </c>
      <c r="G904" s="2" t="s">
        <v>97</v>
      </c>
      <c r="H904" s="2" t="s">
        <v>98</v>
      </c>
    </row>
    <row r="905" spans="2:8" x14ac:dyDescent="0.25">
      <c r="B905" s="7" t="s">
        <v>2369</v>
      </c>
      <c r="C905" s="2" t="s">
        <v>99</v>
      </c>
      <c r="D905" s="2"/>
      <c r="E905" s="2" t="s">
        <v>77</v>
      </c>
      <c r="F905" s="7">
        <v>2004</v>
      </c>
      <c r="G905" s="2" t="s">
        <v>1203</v>
      </c>
      <c r="H905" s="2" t="s">
        <v>1223</v>
      </c>
    </row>
    <row r="906" spans="2:8" x14ac:dyDescent="0.25">
      <c r="B906" s="7" t="s">
        <v>2370</v>
      </c>
      <c r="C906" s="2" t="s">
        <v>101</v>
      </c>
      <c r="D906" s="2" t="s">
        <v>102</v>
      </c>
      <c r="E906" s="2" t="s">
        <v>100</v>
      </c>
      <c r="F906" s="7">
        <v>1997</v>
      </c>
      <c r="G906" s="2" t="s">
        <v>103</v>
      </c>
      <c r="H906" s="2" t="s">
        <v>1448</v>
      </c>
    </row>
    <row r="907" spans="2:8" x14ac:dyDescent="0.25">
      <c r="B907" s="7" t="s">
        <v>2371</v>
      </c>
      <c r="C907" s="2" t="s">
        <v>104</v>
      </c>
      <c r="D907" s="2" t="s">
        <v>105</v>
      </c>
      <c r="E907" s="2" t="s">
        <v>100</v>
      </c>
      <c r="F907" s="7">
        <v>1999</v>
      </c>
      <c r="G907" s="2" t="s">
        <v>106</v>
      </c>
      <c r="H907" s="2" t="s">
        <v>816</v>
      </c>
    </row>
    <row r="908" spans="2:8" x14ac:dyDescent="0.25">
      <c r="B908" s="7" t="s">
        <v>2372</v>
      </c>
      <c r="C908" s="2" t="s">
        <v>726</v>
      </c>
      <c r="D908" s="2" t="s">
        <v>1265</v>
      </c>
      <c r="E908" s="2" t="s">
        <v>100</v>
      </c>
      <c r="F908" s="2">
        <v>2003</v>
      </c>
      <c r="G908" s="2" t="s">
        <v>10</v>
      </c>
      <c r="H908" s="2" t="s">
        <v>1305</v>
      </c>
    </row>
    <row r="909" spans="2:8" x14ac:dyDescent="0.25">
      <c r="B909" s="7" t="s">
        <v>2373</v>
      </c>
      <c r="C909" s="2" t="s">
        <v>108</v>
      </c>
      <c r="D909" s="2" t="s">
        <v>107</v>
      </c>
      <c r="E909" s="2" t="s">
        <v>100</v>
      </c>
      <c r="F909" s="7">
        <v>2003</v>
      </c>
      <c r="G909" s="2" t="s">
        <v>109</v>
      </c>
      <c r="H909" s="2" t="s">
        <v>16</v>
      </c>
    </row>
    <row r="910" spans="2:8" x14ac:dyDescent="0.25">
      <c r="B910" s="6" t="s">
        <v>2374</v>
      </c>
      <c r="C910" s="1" t="s">
        <v>412</v>
      </c>
      <c r="D910" s="1" t="s">
        <v>110</v>
      </c>
      <c r="E910" s="1" t="s">
        <v>100</v>
      </c>
      <c r="F910" s="6">
        <v>2005</v>
      </c>
      <c r="G910" s="1" t="s">
        <v>1800</v>
      </c>
      <c r="H910" s="1" t="s">
        <v>1428</v>
      </c>
    </row>
    <row r="911" spans="2:8" x14ac:dyDescent="0.25">
      <c r="B911" s="6" t="s">
        <v>2375</v>
      </c>
      <c r="C911" s="1" t="s">
        <v>1582</v>
      </c>
      <c r="D911" s="1" t="s">
        <v>110</v>
      </c>
      <c r="E911" s="1" t="s">
        <v>100</v>
      </c>
      <c r="F911" s="6">
        <v>2005</v>
      </c>
      <c r="G911" s="1" t="s">
        <v>1583</v>
      </c>
      <c r="H911" s="1" t="s">
        <v>1428</v>
      </c>
    </row>
    <row r="912" spans="2:8" x14ac:dyDescent="0.25">
      <c r="B912" s="6" t="s">
        <v>2376</v>
      </c>
      <c r="C912" s="1" t="s">
        <v>412</v>
      </c>
      <c r="D912" s="1" t="s">
        <v>110</v>
      </c>
      <c r="E912" s="1" t="s">
        <v>100</v>
      </c>
      <c r="F912" s="6">
        <v>2005</v>
      </c>
      <c r="G912" s="1" t="s">
        <v>1800</v>
      </c>
      <c r="H912" s="1" t="s">
        <v>1428</v>
      </c>
    </row>
    <row r="913" spans="2:8" x14ac:dyDescent="0.25">
      <c r="B913" s="7" t="s">
        <v>2377</v>
      </c>
      <c r="C913" s="2" t="s">
        <v>1584</v>
      </c>
      <c r="D913" s="2" t="s">
        <v>105</v>
      </c>
      <c r="E913" s="2" t="s">
        <v>100</v>
      </c>
      <c r="F913" s="7">
        <v>1999</v>
      </c>
      <c r="G913" s="2" t="s">
        <v>1585</v>
      </c>
      <c r="H913" s="2" t="s">
        <v>1428</v>
      </c>
    </row>
    <row r="914" spans="2:8" x14ac:dyDescent="0.25">
      <c r="B914" s="6" t="s">
        <v>2378</v>
      </c>
      <c r="C914" s="1" t="s">
        <v>1586</v>
      </c>
      <c r="D914" s="1" t="s">
        <v>107</v>
      </c>
      <c r="E914" s="1" t="s">
        <v>100</v>
      </c>
      <c r="F914" s="6">
        <v>2005</v>
      </c>
      <c r="G914" s="1" t="s">
        <v>1587</v>
      </c>
      <c r="H914" s="1" t="s">
        <v>820</v>
      </c>
    </row>
    <row r="915" spans="2:8" x14ac:dyDescent="0.25">
      <c r="B915" s="7" t="s">
        <v>2379</v>
      </c>
      <c r="C915" s="2" t="s">
        <v>1588</v>
      </c>
      <c r="D915" s="2" t="s">
        <v>110</v>
      </c>
      <c r="E915" s="2" t="s">
        <v>100</v>
      </c>
      <c r="F915" s="7">
        <v>2004</v>
      </c>
      <c r="G915" s="2" t="s">
        <v>1589</v>
      </c>
      <c r="H915" s="2" t="s">
        <v>1428</v>
      </c>
    </row>
    <row r="916" spans="2:8" x14ac:dyDescent="0.25">
      <c r="B916" s="6" t="s">
        <v>2380</v>
      </c>
      <c r="C916" s="1" t="s">
        <v>1590</v>
      </c>
      <c r="D916" s="1" t="s">
        <v>107</v>
      </c>
      <c r="E916" s="1" t="s">
        <v>100</v>
      </c>
      <c r="F916" s="6">
        <v>2005</v>
      </c>
      <c r="G916" s="1" t="s">
        <v>1591</v>
      </c>
      <c r="H916" s="1" t="s">
        <v>1428</v>
      </c>
    </row>
    <row r="917" spans="2:8" x14ac:dyDescent="0.25">
      <c r="B917" s="6" t="s">
        <v>2381</v>
      </c>
      <c r="C917" s="1" t="s">
        <v>1259</v>
      </c>
      <c r="E917" s="1" t="s">
        <v>100</v>
      </c>
      <c r="F917" s="6">
        <v>2005</v>
      </c>
      <c r="G917" s="1" t="s">
        <v>1260</v>
      </c>
      <c r="H917" s="1" t="s">
        <v>1261</v>
      </c>
    </row>
    <row r="918" spans="2:8" x14ac:dyDescent="0.25">
      <c r="B918" s="6" t="s">
        <v>2382</v>
      </c>
      <c r="C918" s="1" t="s">
        <v>1262</v>
      </c>
      <c r="E918" s="1" t="s">
        <v>100</v>
      </c>
      <c r="F918" s="6">
        <v>2006</v>
      </c>
      <c r="G918" s="1" t="s">
        <v>140</v>
      </c>
      <c r="H918" s="1" t="s">
        <v>820</v>
      </c>
    </row>
    <row r="919" spans="2:8" x14ac:dyDescent="0.25">
      <c r="B919" s="6" t="s">
        <v>2383</v>
      </c>
      <c r="C919" s="1" t="s">
        <v>1263</v>
      </c>
      <c r="E919" s="1" t="s">
        <v>100</v>
      </c>
      <c r="F919" s="6">
        <v>2006</v>
      </c>
      <c r="G919" s="1" t="s">
        <v>4</v>
      </c>
      <c r="H919" s="1" t="s">
        <v>820</v>
      </c>
    </row>
    <row r="920" spans="2:8" x14ac:dyDescent="0.25">
      <c r="B920" s="6" t="s">
        <v>2384</v>
      </c>
      <c r="C920" s="1" t="s">
        <v>1264</v>
      </c>
      <c r="D920" s="1" t="s">
        <v>1265</v>
      </c>
      <c r="E920" s="1" t="s">
        <v>100</v>
      </c>
      <c r="F920" s="6">
        <v>2006</v>
      </c>
      <c r="G920" s="1" t="s">
        <v>1266</v>
      </c>
      <c r="H920" s="1" t="s">
        <v>1428</v>
      </c>
    </row>
    <row r="921" spans="2:8" x14ac:dyDescent="0.25">
      <c r="B921" s="6" t="s">
        <v>2385</v>
      </c>
      <c r="C921" s="1" t="s">
        <v>1267</v>
      </c>
      <c r="D921" s="1" t="s">
        <v>102</v>
      </c>
      <c r="E921" s="1" t="s">
        <v>100</v>
      </c>
      <c r="F921" s="6">
        <v>1997</v>
      </c>
      <c r="G921" s="1" t="s">
        <v>106</v>
      </c>
      <c r="H921" s="1" t="s">
        <v>816</v>
      </c>
    </row>
    <row r="922" spans="2:8" x14ac:dyDescent="0.25">
      <c r="B922" s="6" t="s">
        <v>2386</v>
      </c>
      <c r="C922" s="1" t="s">
        <v>1268</v>
      </c>
      <c r="D922" s="1" t="s">
        <v>102</v>
      </c>
      <c r="E922" s="1" t="s">
        <v>100</v>
      </c>
      <c r="F922" s="6">
        <v>1997</v>
      </c>
      <c r="G922" s="1" t="s">
        <v>1269</v>
      </c>
      <c r="H922" s="1" t="s">
        <v>1448</v>
      </c>
    </row>
    <row r="923" spans="2:8" x14ac:dyDescent="0.25">
      <c r="B923" s="6" t="s">
        <v>2387</v>
      </c>
      <c r="C923" s="1" t="s">
        <v>1270</v>
      </c>
      <c r="D923" s="1" t="s">
        <v>102</v>
      </c>
      <c r="E923" s="1" t="s">
        <v>100</v>
      </c>
      <c r="F923" s="6">
        <v>1997</v>
      </c>
      <c r="G923" s="1" t="s">
        <v>49</v>
      </c>
      <c r="H923" s="1" t="s">
        <v>1271</v>
      </c>
    </row>
    <row r="924" spans="2:8" x14ac:dyDescent="0.25">
      <c r="B924" s="6" t="s">
        <v>2388</v>
      </c>
      <c r="C924" s="1" t="s">
        <v>1272</v>
      </c>
      <c r="D924" s="1" t="s">
        <v>1273</v>
      </c>
      <c r="E924" s="1" t="s">
        <v>100</v>
      </c>
      <c r="F924" s="6">
        <v>2007</v>
      </c>
      <c r="G924" s="1" t="s">
        <v>4</v>
      </c>
      <c r="H924" s="1" t="s">
        <v>820</v>
      </c>
    </row>
    <row r="925" spans="2:8" x14ac:dyDescent="0.25">
      <c r="B925" s="6" t="s">
        <v>2389</v>
      </c>
      <c r="C925" s="1" t="s">
        <v>1274</v>
      </c>
      <c r="D925" s="1" t="s">
        <v>1273</v>
      </c>
      <c r="E925" s="1" t="s">
        <v>100</v>
      </c>
      <c r="F925" s="6">
        <v>2007</v>
      </c>
      <c r="G925" s="1" t="s">
        <v>1275</v>
      </c>
      <c r="H925" s="1" t="s">
        <v>1448</v>
      </c>
    </row>
    <row r="926" spans="2:8" x14ac:dyDescent="0.25">
      <c r="B926" s="6" t="s">
        <v>2915</v>
      </c>
      <c r="C926" s="1" t="s">
        <v>2916</v>
      </c>
      <c r="D926" s="1" t="s">
        <v>2917</v>
      </c>
      <c r="E926" s="1" t="s">
        <v>100</v>
      </c>
      <c r="F926" s="6">
        <v>2013</v>
      </c>
      <c r="G926" s="1" t="s">
        <v>49</v>
      </c>
      <c r="H926" s="1" t="s">
        <v>2892</v>
      </c>
    </row>
    <row r="927" spans="2:8" x14ac:dyDescent="0.25">
      <c r="B927" s="6" t="s">
        <v>2961</v>
      </c>
      <c r="C927" s="1" t="s">
        <v>2963</v>
      </c>
      <c r="D927" s="1" t="s">
        <v>2962</v>
      </c>
      <c r="E927" s="1" t="s">
        <v>100</v>
      </c>
      <c r="F927" s="6">
        <v>2015</v>
      </c>
      <c r="G927" s="1" t="s">
        <v>106</v>
      </c>
      <c r="H927" s="1" t="s">
        <v>2892</v>
      </c>
    </row>
    <row r="928" spans="2:8" x14ac:dyDescent="0.25">
      <c r="B928" s="6" t="s">
        <v>2987</v>
      </c>
      <c r="C928" s="1" t="s">
        <v>2988</v>
      </c>
      <c r="D928" s="1" t="s">
        <v>2962</v>
      </c>
      <c r="E928" s="1" t="s">
        <v>100</v>
      </c>
      <c r="F928" s="6">
        <v>2016</v>
      </c>
      <c r="G928" s="1" t="s">
        <v>1758</v>
      </c>
      <c r="H928" s="1" t="s">
        <v>1759</v>
      </c>
    </row>
    <row r="929" spans="2:8" x14ac:dyDescent="0.25">
      <c r="B929" s="6" t="s">
        <v>3038</v>
      </c>
      <c r="C929" s="1" t="s">
        <v>3037</v>
      </c>
      <c r="D929" s="1" t="s">
        <v>2962</v>
      </c>
      <c r="E929" s="1" t="s">
        <v>100</v>
      </c>
      <c r="F929" s="6">
        <v>2016</v>
      </c>
      <c r="G929" s="1" t="s">
        <v>49</v>
      </c>
      <c r="H929" s="1" t="s">
        <v>820</v>
      </c>
    </row>
    <row r="930" spans="2:8" x14ac:dyDescent="0.25">
      <c r="B930" s="7" t="s">
        <v>2676</v>
      </c>
      <c r="C930" s="2" t="s">
        <v>989</v>
      </c>
      <c r="D930" s="2"/>
      <c r="E930" s="2" t="s">
        <v>988</v>
      </c>
      <c r="F930" s="7">
        <v>2001</v>
      </c>
      <c r="G930" s="2" t="s">
        <v>990</v>
      </c>
      <c r="H930" s="2" t="s">
        <v>1428</v>
      </c>
    </row>
    <row r="931" spans="2:8" x14ac:dyDescent="0.25">
      <c r="B931" s="7" t="s">
        <v>2677</v>
      </c>
      <c r="C931" s="2" t="s">
        <v>991</v>
      </c>
      <c r="D931" s="2"/>
      <c r="E931" s="2" t="s">
        <v>988</v>
      </c>
      <c r="F931" s="7">
        <v>2001</v>
      </c>
      <c r="G931" s="2" t="s">
        <v>992</v>
      </c>
      <c r="H931" s="2" t="s">
        <v>1204</v>
      </c>
    </row>
    <row r="932" spans="2:8" x14ac:dyDescent="0.25">
      <c r="B932" s="7" t="s">
        <v>2678</v>
      </c>
      <c r="C932" s="2" t="s">
        <v>993</v>
      </c>
      <c r="D932" s="2"/>
      <c r="E932" s="2" t="s">
        <v>988</v>
      </c>
      <c r="F932" s="7">
        <v>2000</v>
      </c>
      <c r="G932" s="2" t="s">
        <v>994</v>
      </c>
      <c r="H932" s="2" t="s">
        <v>1204</v>
      </c>
    </row>
    <row r="933" spans="2:8" x14ac:dyDescent="0.25">
      <c r="B933" s="7" t="s">
        <v>2679</v>
      </c>
      <c r="C933" s="2" t="s">
        <v>995</v>
      </c>
      <c r="D933" s="2"/>
      <c r="E933" s="2" t="s">
        <v>988</v>
      </c>
      <c r="F933" s="7">
        <v>2003</v>
      </c>
      <c r="G933" s="2" t="s">
        <v>996</v>
      </c>
      <c r="H933" s="2" t="s">
        <v>1219</v>
      </c>
    </row>
    <row r="934" spans="2:8" x14ac:dyDescent="0.25">
      <c r="B934" s="7" t="s">
        <v>2680</v>
      </c>
      <c r="C934" s="2" t="s">
        <v>997</v>
      </c>
      <c r="D934" s="2"/>
      <c r="E934" s="2" t="s">
        <v>988</v>
      </c>
      <c r="F934" s="7">
        <v>2004</v>
      </c>
      <c r="G934" s="2" t="s">
        <v>998</v>
      </c>
      <c r="H934" s="2" t="s">
        <v>820</v>
      </c>
    </row>
    <row r="935" spans="2:8" x14ac:dyDescent="0.25">
      <c r="B935" s="7" t="s">
        <v>2460</v>
      </c>
      <c r="C935" s="2" t="s">
        <v>2461</v>
      </c>
      <c r="D935" s="2"/>
      <c r="E935" s="2" t="s">
        <v>988</v>
      </c>
      <c r="F935" s="7">
        <v>2004</v>
      </c>
      <c r="G935" s="2" t="s">
        <v>2462</v>
      </c>
      <c r="H935" s="2" t="s">
        <v>2463</v>
      </c>
    </row>
    <row r="936" spans="2:8" x14ac:dyDescent="0.25">
      <c r="B936" s="7" t="s">
        <v>2390</v>
      </c>
      <c r="C936" s="2" t="s">
        <v>1276</v>
      </c>
      <c r="D936" s="2" t="s">
        <v>1277</v>
      </c>
      <c r="E936" s="2" t="s">
        <v>999</v>
      </c>
      <c r="F936" s="7">
        <v>2001</v>
      </c>
      <c r="G936" s="2" t="s">
        <v>192</v>
      </c>
      <c r="H936" s="2" t="s">
        <v>1448</v>
      </c>
    </row>
    <row r="937" spans="2:8" x14ac:dyDescent="0.25">
      <c r="B937" s="7" t="s">
        <v>2391</v>
      </c>
      <c r="C937" s="2" t="s">
        <v>193</v>
      </c>
      <c r="D937" s="2" t="s">
        <v>194</v>
      </c>
      <c r="E937" s="2" t="s">
        <v>999</v>
      </c>
      <c r="F937" s="7">
        <v>1999</v>
      </c>
      <c r="G937" s="2" t="s">
        <v>195</v>
      </c>
      <c r="H937" s="2" t="s">
        <v>306</v>
      </c>
    </row>
    <row r="938" spans="2:8" x14ac:dyDescent="0.25">
      <c r="B938" s="6" t="s">
        <v>2392</v>
      </c>
      <c r="C938" s="1" t="s">
        <v>196</v>
      </c>
      <c r="D938" s="1" t="s">
        <v>197</v>
      </c>
      <c r="E938" s="1" t="s">
        <v>999</v>
      </c>
      <c r="F938" s="6">
        <v>2005</v>
      </c>
      <c r="G938" s="1" t="s">
        <v>198</v>
      </c>
      <c r="H938" s="1" t="s">
        <v>1428</v>
      </c>
    </row>
    <row r="939" spans="2:8" x14ac:dyDescent="0.25">
      <c r="B939" s="6" t="s">
        <v>2393</v>
      </c>
      <c r="C939" s="1" t="s">
        <v>199</v>
      </c>
      <c r="D939" s="1" t="s">
        <v>200</v>
      </c>
      <c r="E939" s="1" t="s">
        <v>999</v>
      </c>
      <c r="F939" s="6">
        <v>2007</v>
      </c>
      <c r="G939" s="1" t="s">
        <v>201</v>
      </c>
      <c r="H939" s="1" t="s">
        <v>202</v>
      </c>
    </row>
    <row r="940" spans="2:8" x14ac:dyDescent="0.25">
      <c r="B940" s="6" t="s">
        <v>2394</v>
      </c>
      <c r="C940" s="1" t="s">
        <v>203</v>
      </c>
      <c r="D940" s="1" t="s">
        <v>200</v>
      </c>
      <c r="E940" s="1" t="s">
        <v>999</v>
      </c>
      <c r="F940" s="6">
        <v>2007</v>
      </c>
      <c r="G940" s="1" t="s">
        <v>1217</v>
      </c>
      <c r="H940" s="1" t="s">
        <v>820</v>
      </c>
    </row>
    <row r="941" spans="2:8" x14ac:dyDescent="0.25">
      <c r="B941" s="6" t="s">
        <v>2457</v>
      </c>
      <c r="C941" s="1" t="s">
        <v>2458</v>
      </c>
      <c r="D941" s="1" t="s">
        <v>200</v>
      </c>
      <c r="E941" s="1" t="s">
        <v>999</v>
      </c>
      <c r="F941" s="6">
        <v>2007</v>
      </c>
      <c r="G941" s="1" t="s">
        <v>2459</v>
      </c>
      <c r="H941" s="1" t="s">
        <v>1613</v>
      </c>
    </row>
    <row r="942" spans="2:8" x14ac:dyDescent="0.25">
      <c r="B942" s="6" t="s">
        <v>2851</v>
      </c>
      <c r="C942" s="1" t="s">
        <v>2852</v>
      </c>
      <c r="D942" s="1" t="s">
        <v>2853</v>
      </c>
      <c r="E942" s="1" t="s">
        <v>2854</v>
      </c>
      <c r="F942" s="6">
        <v>2000</v>
      </c>
      <c r="G942" s="1" t="s">
        <v>2855</v>
      </c>
      <c r="H942" s="1" t="s">
        <v>901</v>
      </c>
    </row>
    <row r="943" spans="2:8" x14ac:dyDescent="0.25">
      <c r="B943" s="6" t="s">
        <v>2949</v>
      </c>
      <c r="C943" s="1" t="s">
        <v>2950</v>
      </c>
      <c r="D943" s="1" t="s">
        <v>2951</v>
      </c>
      <c r="E943" s="1" t="s">
        <v>999</v>
      </c>
      <c r="F943" s="6">
        <v>2010</v>
      </c>
      <c r="G943" s="1" t="s">
        <v>1217</v>
      </c>
      <c r="H943" s="1" t="s">
        <v>820</v>
      </c>
    </row>
    <row r="944" spans="2:8" x14ac:dyDescent="0.25">
      <c r="B944" s="6" t="s">
        <v>2989</v>
      </c>
      <c r="C944" s="1" t="s">
        <v>2990</v>
      </c>
      <c r="D944" s="1" t="s">
        <v>2991</v>
      </c>
      <c r="E944" s="1" t="s">
        <v>999</v>
      </c>
      <c r="F944" s="6">
        <v>2016</v>
      </c>
      <c r="G944" s="1" t="s">
        <v>1217</v>
      </c>
      <c r="H944" s="1" t="s">
        <v>820</v>
      </c>
    </row>
    <row r="945" spans="2:8" x14ac:dyDescent="0.25">
      <c r="B945" s="7" t="s">
        <v>2478</v>
      </c>
      <c r="C945" s="2" t="s">
        <v>977</v>
      </c>
      <c r="D945" s="2"/>
      <c r="E945" s="2" t="s">
        <v>959</v>
      </c>
      <c r="F945" s="7">
        <v>2003</v>
      </c>
      <c r="G945" s="2" t="s">
        <v>960</v>
      </c>
      <c r="H945" s="2" t="s">
        <v>1428</v>
      </c>
    </row>
    <row r="946" spans="2:8" x14ac:dyDescent="0.25">
      <c r="B946" s="7" t="s">
        <v>2479</v>
      </c>
      <c r="C946" s="2" t="s">
        <v>961</v>
      </c>
      <c r="D946" s="10">
        <v>802.11</v>
      </c>
      <c r="E946" s="2" t="s">
        <v>959</v>
      </c>
      <c r="F946" s="7">
        <v>2002</v>
      </c>
      <c r="G946" s="2" t="s">
        <v>962</v>
      </c>
      <c r="H946" s="2" t="s">
        <v>1428</v>
      </c>
    </row>
    <row r="947" spans="2:8" x14ac:dyDescent="0.25">
      <c r="B947" s="7" t="s">
        <v>2480</v>
      </c>
      <c r="C947" s="2" t="s">
        <v>963</v>
      </c>
      <c r="D947" s="11">
        <v>802.11</v>
      </c>
      <c r="E947" s="2" t="s">
        <v>959</v>
      </c>
      <c r="F947" s="7">
        <v>2003</v>
      </c>
      <c r="G947" s="2" t="s">
        <v>964</v>
      </c>
      <c r="H947" s="2" t="s">
        <v>1428</v>
      </c>
    </row>
    <row r="948" spans="2:8" x14ac:dyDescent="0.25">
      <c r="B948" s="7" t="s">
        <v>2481</v>
      </c>
      <c r="C948" s="2" t="s">
        <v>965</v>
      </c>
      <c r="D948" s="2"/>
      <c r="E948" s="2" t="s">
        <v>959</v>
      </c>
      <c r="F948" s="7">
        <v>2002</v>
      </c>
      <c r="G948" s="2" t="s">
        <v>966</v>
      </c>
      <c r="H948" s="2" t="s">
        <v>1428</v>
      </c>
    </row>
    <row r="949" spans="2:8" x14ac:dyDescent="0.25">
      <c r="B949" s="7" t="s">
        <v>2482</v>
      </c>
      <c r="C949" s="2" t="s">
        <v>967</v>
      </c>
      <c r="D949" s="2" t="s">
        <v>968</v>
      </c>
      <c r="E949" s="2" t="s">
        <v>959</v>
      </c>
      <c r="F949" s="7">
        <v>2005</v>
      </c>
      <c r="G949" s="2" t="s">
        <v>969</v>
      </c>
      <c r="H949" s="2" t="s">
        <v>16</v>
      </c>
    </row>
    <row r="950" spans="2:8" x14ac:dyDescent="0.25">
      <c r="B950" s="7" t="s">
        <v>2483</v>
      </c>
      <c r="C950" s="2" t="s">
        <v>970</v>
      </c>
      <c r="D950" s="2"/>
      <c r="E950" s="2" t="s">
        <v>959</v>
      </c>
      <c r="F950" s="7">
        <v>2005</v>
      </c>
      <c r="G950" s="2" t="s">
        <v>971</v>
      </c>
      <c r="H950" s="2" t="s">
        <v>820</v>
      </c>
    </row>
    <row r="951" spans="2:8" x14ac:dyDescent="0.25">
      <c r="B951" s="7" t="s">
        <v>2484</v>
      </c>
      <c r="C951" s="2" t="s">
        <v>972</v>
      </c>
      <c r="D951" s="2"/>
      <c r="E951" s="2" t="s">
        <v>959</v>
      </c>
      <c r="F951" s="7">
        <v>2005</v>
      </c>
      <c r="G951" s="2" t="s">
        <v>973</v>
      </c>
      <c r="H951" s="2" t="s">
        <v>820</v>
      </c>
    </row>
    <row r="952" spans="2:8" x14ac:dyDescent="0.25">
      <c r="B952" s="7" t="s">
        <v>2485</v>
      </c>
      <c r="C952" s="2" t="s">
        <v>974</v>
      </c>
      <c r="D952" s="10">
        <v>802.11</v>
      </c>
      <c r="E952" s="2" t="s">
        <v>959</v>
      </c>
      <c r="F952" s="7">
        <v>2005</v>
      </c>
      <c r="G952" s="2" t="s">
        <v>975</v>
      </c>
      <c r="H952" s="2" t="s">
        <v>16</v>
      </c>
    </row>
    <row r="953" spans="2:8" x14ac:dyDescent="0.25">
      <c r="B953" s="6" t="s">
        <v>2395</v>
      </c>
      <c r="C953" s="1" t="s">
        <v>976</v>
      </c>
      <c r="E953" s="1" t="s">
        <v>959</v>
      </c>
      <c r="F953" s="6">
        <v>2006</v>
      </c>
      <c r="G953" s="1" t="s">
        <v>1306</v>
      </c>
      <c r="H953" s="1" t="s">
        <v>820</v>
      </c>
    </row>
    <row r="954" spans="2:8" x14ac:dyDescent="0.25">
      <c r="B954" s="6" t="s">
        <v>2396</v>
      </c>
      <c r="C954" s="1" t="s">
        <v>977</v>
      </c>
      <c r="E954" s="1" t="s">
        <v>959</v>
      </c>
      <c r="F954" s="6">
        <v>2006</v>
      </c>
      <c r="G954" s="1" t="s">
        <v>960</v>
      </c>
      <c r="H954" s="1" t="s">
        <v>1428</v>
      </c>
    </row>
    <row r="955" spans="2:8" x14ac:dyDescent="0.25">
      <c r="B955" s="6"/>
      <c r="F955" s="6"/>
    </row>
    <row r="956" spans="2:8" x14ac:dyDescent="0.25">
      <c r="B956" s="15"/>
      <c r="C956" s="14"/>
    </row>
    <row r="957" spans="2:8" x14ac:dyDescent="0.25">
      <c r="B957" s="15"/>
      <c r="C957" s="14"/>
    </row>
    <row r="958" spans="2:8" x14ac:dyDescent="0.25">
      <c r="B958" s="6"/>
    </row>
    <row r="959" spans="2:8" x14ac:dyDescent="0.25">
      <c r="B959" s="6"/>
      <c r="C959" s="4"/>
    </row>
    <row r="960" spans="2:8" x14ac:dyDescent="0.25">
      <c r="B960" s="15"/>
      <c r="C960" s="14"/>
      <c r="D960" s="14"/>
      <c r="E960" s="14"/>
      <c r="F960" s="15"/>
      <c r="G960" s="14"/>
      <c r="H960" s="14"/>
    </row>
    <row r="961" spans="2:8" x14ac:dyDescent="0.25">
      <c r="B961" s="15"/>
      <c r="C961" s="14"/>
      <c r="D961" s="14"/>
      <c r="E961" s="14"/>
      <c r="F961" s="15"/>
      <c r="G961" s="14"/>
      <c r="H961" s="14"/>
    </row>
    <row r="962" spans="2:8" x14ac:dyDescent="0.25">
      <c r="B962" s="6"/>
    </row>
    <row r="963" spans="2:8" x14ac:dyDescent="0.25">
      <c r="B963" s="6"/>
    </row>
    <row r="964" spans="2:8" x14ac:dyDescent="0.25">
      <c r="B964" s="6"/>
    </row>
    <row r="965" spans="2:8" x14ac:dyDescent="0.25">
      <c r="B965" s="6"/>
    </row>
    <row r="966" spans="2:8" x14ac:dyDescent="0.25">
      <c r="B966" s="6"/>
    </row>
    <row r="967" spans="2:8" x14ac:dyDescent="0.25">
      <c r="B967" s="6"/>
    </row>
    <row r="968" spans="2:8" x14ac:dyDescent="0.25">
      <c r="B968" s="6"/>
    </row>
    <row r="969" spans="2:8" x14ac:dyDescent="0.25">
      <c r="B969" s="6"/>
    </row>
    <row r="970" spans="2:8" x14ac:dyDescent="0.25">
      <c r="B970" s="6"/>
    </row>
    <row r="971" spans="2:8" x14ac:dyDescent="0.25">
      <c r="B971" s="6"/>
    </row>
    <row r="972" spans="2:8" x14ac:dyDescent="0.25">
      <c r="B972" s="6"/>
    </row>
    <row r="973" spans="2:8" x14ac:dyDescent="0.25">
      <c r="B973" s="6"/>
    </row>
    <row r="974" spans="2:8" x14ac:dyDescent="0.25">
      <c r="B974" s="6"/>
    </row>
    <row r="975" spans="2:8" x14ac:dyDescent="0.25">
      <c r="B975" s="6"/>
    </row>
    <row r="976" spans="2:8" x14ac:dyDescent="0.25">
      <c r="B976" s="6"/>
    </row>
    <row r="1007" spans="2:8" x14ac:dyDescent="0.25">
      <c r="B1007" s="3"/>
      <c r="C1007" s="3"/>
      <c r="D1007" s="3"/>
      <c r="E1007" s="3"/>
      <c r="F1007" s="3"/>
      <c r="G1007" s="3"/>
      <c r="H1007" s="3"/>
    </row>
    <row r="1008" spans="2:8" x14ac:dyDescent="0.25">
      <c r="B1008" s="3"/>
      <c r="C1008" s="3"/>
      <c r="D1008" s="3"/>
      <c r="E1008" s="3"/>
      <c r="F1008" s="3"/>
      <c r="G1008" s="3"/>
      <c r="H1008" s="3"/>
    </row>
    <row r="1009" spans="2:8" x14ac:dyDescent="0.25">
      <c r="B1009" s="3"/>
      <c r="C1009" s="3"/>
      <c r="D1009" s="3"/>
      <c r="E1009" s="3"/>
      <c r="F1009" s="3"/>
      <c r="G1009" s="3"/>
      <c r="H1009" s="3"/>
    </row>
    <row r="1010" spans="2:8" x14ac:dyDescent="0.25">
      <c r="B1010" s="3"/>
      <c r="C1010" s="3"/>
      <c r="D1010" s="3"/>
      <c r="E1010" s="3"/>
      <c r="F1010" s="3"/>
      <c r="G1010" s="3"/>
      <c r="H1010" s="3"/>
    </row>
    <row r="1011" spans="2:8" x14ac:dyDescent="0.25">
      <c r="B1011" s="3"/>
      <c r="C1011" s="3"/>
      <c r="D1011" s="3"/>
      <c r="E1011" s="3"/>
      <c r="F1011" s="3"/>
      <c r="G1011" s="3"/>
      <c r="H1011" s="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firstPageNumber="0" orientation="landscape" verticalDpi="300" r:id="rId1"/>
  <headerFooter alignWithMargins="0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V107"/>
  <sheetViews>
    <sheetView workbookViewId="0">
      <selection activeCell="EA101" sqref="EA101"/>
    </sheetView>
  </sheetViews>
  <sheetFormatPr defaultRowHeight="12.5" x14ac:dyDescent="0.25"/>
  <sheetData>
    <row r="1" spans="1:256" x14ac:dyDescent="0.25">
      <c r="A1">
        <f>IF('Current Index'!1:1,"AAAAABc9OQA=",0)</f>
        <v>0</v>
      </c>
      <c r="B1" t="e">
        <f>AND('Current Index'!A1,"AAAAABc9OQE=")</f>
        <v>#VALUE!</v>
      </c>
      <c r="C1" t="e">
        <f>AND('Current Index'!#REF!,"AAAAABc9OQI=")</f>
        <v>#REF!</v>
      </c>
      <c r="D1" t="e">
        <f>AND('Current Index'!B1,"AAAAABc9OQM=")</f>
        <v>#VALUE!</v>
      </c>
      <c r="E1" t="e">
        <f>AND('Current Index'!C1,"AAAAABc9OQQ=")</f>
        <v>#VALUE!</v>
      </c>
      <c r="F1" t="e">
        <f>AND('Current Index'!D1,"AAAAABc9OQU=")</f>
        <v>#VALUE!</v>
      </c>
      <c r="G1" t="e">
        <f>AND('Current Index'!E1,"AAAAABc9OQY=")</f>
        <v>#VALUE!</v>
      </c>
      <c r="H1" t="e">
        <f>AND('Current Index'!F1,"AAAAABc9OQc=")</f>
        <v>#VALUE!</v>
      </c>
      <c r="I1" t="e">
        <f>AND('Current Index'!G1,"AAAAABc9OQg=")</f>
        <v>#VALUE!</v>
      </c>
      <c r="J1" t="e">
        <f>AND('Current Index'!H1,"AAAAABc9OQk=")</f>
        <v>#VALUE!</v>
      </c>
      <c r="K1" t="e">
        <f>AND('Current Index'!I1,"AAAAABc9OQo=")</f>
        <v>#VALUE!</v>
      </c>
      <c r="L1">
        <f>IF('Current Index'!2:2,"AAAAABc9OQs=",0)</f>
        <v>0</v>
      </c>
      <c r="M1" t="e">
        <f>AND('Current Index'!A2,"AAAAABc9OQw=")</f>
        <v>#VALUE!</v>
      </c>
      <c r="N1" t="e">
        <f>AND('Current Index'!#REF!,"AAAAABc9OQ0=")</f>
        <v>#REF!</v>
      </c>
      <c r="O1" t="e">
        <f>AND('Current Index'!B2,"AAAAABc9OQ4=")</f>
        <v>#VALUE!</v>
      </c>
      <c r="P1" t="e">
        <f>AND('Current Index'!C2,"AAAAABc9OQ8=")</f>
        <v>#VALUE!</v>
      </c>
      <c r="Q1" t="e">
        <f>AND('Current Index'!D2,"AAAAABc9ORA=")</f>
        <v>#VALUE!</v>
      </c>
      <c r="R1" t="e">
        <f>AND('Current Index'!E2,"AAAAABc9ORE=")</f>
        <v>#VALUE!</v>
      </c>
      <c r="S1" t="e">
        <f>AND('Current Index'!F2,"AAAAABc9ORI=")</f>
        <v>#VALUE!</v>
      </c>
      <c r="T1" t="e">
        <f>AND('Current Index'!G2,"AAAAABc9ORM=")</f>
        <v>#VALUE!</v>
      </c>
      <c r="U1" t="e">
        <f>AND('Current Index'!H2,"AAAAABc9ORQ=")</f>
        <v>#VALUE!</v>
      </c>
      <c r="V1" t="e">
        <f>AND('Current Index'!I2,"AAAAABc9ORU=")</f>
        <v>#VALUE!</v>
      </c>
      <c r="W1">
        <f>IF('Current Index'!3:3,"AAAAABc9ORY=",0)</f>
        <v>0</v>
      </c>
      <c r="X1" t="e">
        <f>AND('Current Index'!A3,"AAAAABc9ORc=")</f>
        <v>#VALUE!</v>
      </c>
      <c r="Y1" t="e">
        <f>AND('Current Index'!#REF!,"AAAAABc9ORg=")</f>
        <v>#REF!</v>
      </c>
      <c r="Z1" t="e">
        <f>AND('Current Index'!B3,"AAAAABc9ORk=")</f>
        <v>#VALUE!</v>
      </c>
      <c r="AA1" t="e">
        <f>AND('Current Index'!C3,"AAAAABc9ORo=")</f>
        <v>#VALUE!</v>
      </c>
      <c r="AB1" t="e">
        <f>AND('Current Index'!D3,"AAAAABc9ORs=")</f>
        <v>#VALUE!</v>
      </c>
      <c r="AC1" t="e">
        <f>AND('Current Index'!E3,"AAAAABc9ORw=")</f>
        <v>#VALUE!</v>
      </c>
      <c r="AD1" t="e">
        <f>AND('Current Index'!F3,"AAAAABc9OR0=")</f>
        <v>#VALUE!</v>
      </c>
      <c r="AE1" t="e">
        <f>AND('Current Index'!G3,"AAAAABc9OR4=")</f>
        <v>#VALUE!</v>
      </c>
      <c r="AF1" t="e">
        <f>AND('Current Index'!H3,"AAAAABc9OR8=")</f>
        <v>#VALUE!</v>
      </c>
      <c r="AG1" t="e">
        <f>AND('Current Index'!I3,"AAAAABc9OSA=")</f>
        <v>#VALUE!</v>
      </c>
      <c r="AH1">
        <f>IF('Current Index'!4:4,"AAAAABc9OSE=",0)</f>
        <v>0</v>
      </c>
      <c r="AI1" t="e">
        <f>AND('Current Index'!A4,"AAAAABc9OSI=")</f>
        <v>#VALUE!</v>
      </c>
      <c r="AJ1" t="e">
        <f>AND('Current Index'!#REF!,"AAAAABc9OSM=")</f>
        <v>#REF!</v>
      </c>
      <c r="AK1" t="e">
        <f>AND('Current Index'!B4,"AAAAABc9OSQ=")</f>
        <v>#VALUE!</v>
      </c>
      <c r="AL1" t="e">
        <f>AND('Current Index'!C4,"AAAAABc9OSU=")</f>
        <v>#VALUE!</v>
      </c>
      <c r="AM1" t="e">
        <f>AND('Current Index'!D4,"AAAAABc9OSY=")</f>
        <v>#VALUE!</v>
      </c>
      <c r="AN1" t="e">
        <f>AND('Current Index'!E4,"AAAAABc9OSc=")</f>
        <v>#VALUE!</v>
      </c>
      <c r="AO1" t="e">
        <f>AND('Current Index'!F4,"AAAAABc9OSg=")</f>
        <v>#VALUE!</v>
      </c>
      <c r="AP1" t="e">
        <f>AND('Current Index'!G4,"AAAAABc9OSk=")</f>
        <v>#VALUE!</v>
      </c>
      <c r="AQ1" t="e">
        <f>AND('Current Index'!H4,"AAAAABc9OSo=")</f>
        <v>#VALUE!</v>
      </c>
      <c r="AR1" t="e">
        <f>AND('Current Index'!I4,"AAAAABc9OSs=")</f>
        <v>#VALUE!</v>
      </c>
      <c r="AS1">
        <f>IF('Current Index'!5:5,"AAAAABc9OSw=",0)</f>
        <v>0</v>
      </c>
      <c r="AT1" t="e">
        <f>AND('Current Index'!A5,"AAAAABc9OS0=")</f>
        <v>#VALUE!</v>
      </c>
      <c r="AU1" t="e">
        <f>AND('Current Index'!#REF!,"AAAAABc9OS4=")</f>
        <v>#REF!</v>
      </c>
      <c r="AV1" t="e">
        <f>AND('Current Index'!B5,"AAAAABc9OS8=")</f>
        <v>#VALUE!</v>
      </c>
      <c r="AW1" t="e">
        <f>AND('Current Index'!C5,"AAAAABc9OTA=")</f>
        <v>#VALUE!</v>
      </c>
      <c r="AX1" t="e">
        <f>AND('Current Index'!D5,"AAAAABc9OTE=")</f>
        <v>#VALUE!</v>
      </c>
      <c r="AY1" t="e">
        <f>AND('Current Index'!E5,"AAAAABc9OTI=")</f>
        <v>#VALUE!</v>
      </c>
      <c r="AZ1" t="e">
        <f>AND('Current Index'!F5,"AAAAABc9OTM=")</f>
        <v>#VALUE!</v>
      </c>
      <c r="BA1" t="e">
        <f>AND('Current Index'!G5,"AAAAABc9OTQ=")</f>
        <v>#VALUE!</v>
      </c>
      <c r="BB1" t="e">
        <f>AND('Current Index'!H5,"AAAAABc9OTU=")</f>
        <v>#VALUE!</v>
      </c>
      <c r="BC1" t="e">
        <f>AND('Current Index'!I5,"AAAAABc9OTY=")</f>
        <v>#VALUE!</v>
      </c>
      <c r="BD1" t="e">
        <f>IF('Current Index'!#REF!,"AAAAABc9OTc=",0)</f>
        <v>#REF!</v>
      </c>
      <c r="BE1" t="e">
        <f>AND('Current Index'!#REF!,"AAAAABc9OTg=")</f>
        <v>#REF!</v>
      </c>
      <c r="BF1" t="e">
        <f>AND('Current Index'!#REF!,"AAAAABc9OTk=")</f>
        <v>#REF!</v>
      </c>
      <c r="BG1" t="e">
        <f>AND('Current Index'!#REF!,"AAAAABc9OTo=")</f>
        <v>#REF!</v>
      </c>
      <c r="BH1" t="e">
        <f>AND('Current Index'!#REF!,"AAAAABc9OTs=")</f>
        <v>#REF!</v>
      </c>
      <c r="BI1" t="e">
        <f>AND('Current Index'!#REF!,"AAAAABc9OTw=")</f>
        <v>#REF!</v>
      </c>
      <c r="BJ1" t="e">
        <f>AND('Current Index'!#REF!,"AAAAABc9OT0=")</f>
        <v>#REF!</v>
      </c>
      <c r="BK1" t="e">
        <f>AND('Current Index'!#REF!,"AAAAABc9OT4=")</f>
        <v>#REF!</v>
      </c>
      <c r="BL1" t="e">
        <f>AND('Current Index'!#REF!,"AAAAABc9OT8=")</f>
        <v>#REF!</v>
      </c>
      <c r="BM1" t="e">
        <f>AND('Current Index'!#REF!,"AAAAABc9OUA=")</f>
        <v>#REF!</v>
      </c>
      <c r="BN1" t="e">
        <f>AND('Current Index'!#REF!,"AAAAABc9OUE=")</f>
        <v>#REF!</v>
      </c>
      <c r="BO1" t="e">
        <f>IF('Current Index'!#REF!,"AAAAABc9OUI=",0)</f>
        <v>#REF!</v>
      </c>
      <c r="BP1" t="e">
        <f>AND('Current Index'!#REF!,"AAAAABc9OUM=")</f>
        <v>#REF!</v>
      </c>
      <c r="BQ1" t="e">
        <f>AND('Current Index'!#REF!,"AAAAABc9OUQ=")</f>
        <v>#REF!</v>
      </c>
      <c r="BR1" t="e">
        <f>AND('Current Index'!#REF!,"AAAAABc9OUU=")</f>
        <v>#REF!</v>
      </c>
      <c r="BS1" t="e">
        <f>AND('Current Index'!#REF!,"AAAAABc9OUY=")</f>
        <v>#REF!</v>
      </c>
      <c r="BT1" t="e">
        <f>AND('Current Index'!#REF!,"AAAAABc9OUc=")</f>
        <v>#REF!</v>
      </c>
      <c r="BU1" t="e">
        <f>AND('Current Index'!#REF!,"AAAAABc9OUg=")</f>
        <v>#REF!</v>
      </c>
      <c r="BV1" t="e">
        <f>AND('Current Index'!#REF!,"AAAAABc9OUk=")</f>
        <v>#REF!</v>
      </c>
      <c r="BW1" t="e">
        <f>AND('Current Index'!#REF!,"AAAAABc9OUo=")</f>
        <v>#REF!</v>
      </c>
      <c r="BX1" t="e">
        <f>AND('Current Index'!#REF!,"AAAAABc9OUs=")</f>
        <v>#REF!</v>
      </c>
      <c r="BY1" t="e">
        <f>AND('Current Index'!#REF!,"AAAAABc9OUw=")</f>
        <v>#REF!</v>
      </c>
      <c r="BZ1">
        <f>IF('Current Index'!6:6,"AAAAABc9OU0=",0)</f>
        <v>0</v>
      </c>
      <c r="CA1" t="e">
        <f>AND('Current Index'!A6,"AAAAABc9OU4=")</f>
        <v>#VALUE!</v>
      </c>
      <c r="CB1" t="e">
        <f>AND('Current Index'!#REF!,"AAAAABc9OU8=")</f>
        <v>#REF!</v>
      </c>
      <c r="CC1" t="e">
        <f>AND('Current Index'!B6,"AAAAABc9OVA=")</f>
        <v>#VALUE!</v>
      </c>
      <c r="CD1" t="e">
        <f>AND('Current Index'!C6,"AAAAABc9OVE=")</f>
        <v>#VALUE!</v>
      </c>
      <c r="CE1" t="e">
        <f>AND('Current Index'!D6,"AAAAABc9OVI=")</f>
        <v>#VALUE!</v>
      </c>
      <c r="CF1" t="e">
        <f>AND('Current Index'!E6,"AAAAABc9OVM=")</f>
        <v>#VALUE!</v>
      </c>
      <c r="CG1" t="e">
        <f>AND('Current Index'!F6,"AAAAABc9OVQ=")</f>
        <v>#VALUE!</v>
      </c>
      <c r="CH1" t="e">
        <f>AND('Current Index'!G6,"AAAAABc9OVU=")</f>
        <v>#VALUE!</v>
      </c>
      <c r="CI1" t="e">
        <f>AND('Current Index'!H6,"AAAAABc9OVY=")</f>
        <v>#VALUE!</v>
      </c>
      <c r="CJ1" t="e">
        <f>AND('Current Index'!I6,"AAAAABc9OVc=")</f>
        <v>#VALUE!</v>
      </c>
      <c r="CK1">
        <f>IF('Current Index'!7:7,"AAAAABc9OVg=",0)</f>
        <v>0</v>
      </c>
      <c r="CL1" t="e">
        <f>AND('Current Index'!A7,"AAAAABc9OVk=")</f>
        <v>#VALUE!</v>
      </c>
      <c r="CM1" t="e">
        <f>AND('Current Index'!#REF!,"AAAAABc9OVo=")</f>
        <v>#REF!</v>
      </c>
      <c r="CN1" t="e">
        <f>AND('Current Index'!B7,"AAAAABc9OVs=")</f>
        <v>#VALUE!</v>
      </c>
      <c r="CO1" t="e">
        <f>AND('Current Index'!C7,"AAAAABc9OVw=")</f>
        <v>#VALUE!</v>
      </c>
      <c r="CP1" t="e">
        <f>AND('Current Index'!D7,"AAAAABc9OV0=")</f>
        <v>#VALUE!</v>
      </c>
      <c r="CQ1" t="e">
        <f>AND('Current Index'!E7,"AAAAABc9OV4=")</f>
        <v>#VALUE!</v>
      </c>
      <c r="CR1" t="e">
        <f>AND('Current Index'!F7,"AAAAABc9OV8=")</f>
        <v>#VALUE!</v>
      </c>
      <c r="CS1" t="e">
        <f>AND('Current Index'!G7,"AAAAABc9OWA=")</f>
        <v>#VALUE!</v>
      </c>
      <c r="CT1" t="e">
        <f>AND('Current Index'!H7,"AAAAABc9OWE=")</f>
        <v>#VALUE!</v>
      </c>
      <c r="CU1" t="e">
        <f>AND('Current Index'!I7,"AAAAABc9OWI=")</f>
        <v>#VALUE!</v>
      </c>
      <c r="CV1">
        <f>IF('Current Index'!8:8,"AAAAABc9OWM=",0)</f>
        <v>0</v>
      </c>
      <c r="CW1" t="e">
        <f>AND('Current Index'!A8,"AAAAABc9OWQ=")</f>
        <v>#VALUE!</v>
      </c>
      <c r="CX1" t="e">
        <f>AND('Current Index'!#REF!,"AAAAABc9OWU=")</f>
        <v>#REF!</v>
      </c>
      <c r="CY1" t="e">
        <f>AND('Current Index'!B8,"AAAAABc9OWY=")</f>
        <v>#VALUE!</v>
      </c>
      <c r="CZ1" t="e">
        <f>AND('Current Index'!C8,"AAAAABc9OWc=")</f>
        <v>#VALUE!</v>
      </c>
      <c r="DA1" t="e">
        <f>AND('Current Index'!D8,"AAAAABc9OWg=")</f>
        <v>#VALUE!</v>
      </c>
      <c r="DB1" t="e">
        <f>AND('Current Index'!E8,"AAAAABc9OWk=")</f>
        <v>#VALUE!</v>
      </c>
      <c r="DC1" t="e">
        <f>AND('Current Index'!F8,"AAAAABc9OWo=")</f>
        <v>#VALUE!</v>
      </c>
      <c r="DD1" t="e">
        <f>AND('Current Index'!G8,"AAAAABc9OWs=")</f>
        <v>#VALUE!</v>
      </c>
      <c r="DE1" t="e">
        <f>AND('Current Index'!H8,"AAAAABc9OWw=")</f>
        <v>#VALUE!</v>
      </c>
      <c r="DF1" t="e">
        <f>AND('Current Index'!I8,"AAAAABc9OW0=")</f>
        <v>#VALUE!</v>
      </c>
      <c r="DG1">
        <f>IF('Current Index'!9:9,"AAAAABc9OW4=",0)</f>
        <v>0</v>
      </c>
      <c r="DH1" t="e">
        <f>AND('Current Index'!A9,"AAAAABc9OW8=")</f>
        <v>#VALUE!</v>
      </c>
      <c r="DI1" t="e">
        <f>AND('Current Index'!#REF!,"AAAAABc9OXA=")</f>
        <v>#REF!</v>
      </c>
      <c r="DJ1" t="e">
        <f>AND('Current Index'!B9,"AAAAABc9OXE=")</f>
        <v>#VALUE!</v>
      </c>
      <c r="DK1" t="e">
        <f>AND('Current Index'!C9,"AAAAABc9OXI=")</f>
        <v>#VALUE!</v>
      </c>
      <c r="DL1" t="e">
        <f>AND('Current Index'!D9,"AAAAABc9OXM=")</f>
        <v>#VALUE!</v>
      </c>
      <c r="DM1" t="e">
        <f>AND('Current Index'!E9,"AAAAABc9OXQ=")</f>
        <v>#VALUE!</v>
      </c>
      <c r="DN1" t="e">
        <f>AND('Current Index'!F9,"AAAAABc9OXU=")</f>
        <v>#VALUE!</v>
      </c>
      <c r="DO1" t="e">
        <f>AND('Current Index'!G9,"AAAAABc9OXY=")</f>
        <v>#VALUE!</v>
      </c>
      <c r="DP1" t="e">
        <f>AND('Current Index'!H9,"AAAAABc9OXc=")</f>
        <v>#VALUE!</v>
      </c>
      <c r="DQ1" t="e">
        <f>AND('Current Index'!I9,"AAAAABc9OXg=")</f>
        <v>#VALUE!</v>
      </c>
      <c r="DR1">
        <f>IF('Current Index'!10:10,"AAAAABc9OXk=",0)</f>
        <v>0</v>
      </c>
      <c r="DS1" t="e">
        <f>AND('Current Index'!A10,"AAAAABc9OXo=")</f>
        <v>#VALUE!</v>
      </c>
      <c r="DT1" t="e">
        <f>AND('Current Index'!#REF!,"AAAAABc9OXs=")</f>
        <v>#REF!</v>
      </c>
      <c r="DU1" t="e">
        <f>AND('Current Index'!B10,"AAAAABc9OXw=")</f>
        <v>#VALUE!</v>
      </c>
      <c r="DV1" t="e">
        <f>AND('Current Index'!C10,"AAAAABc9OX0=")</f>
        <v>#VALUE!</v>
      </c>
      <c r="DW1" t="e">
        <f>AND('Current Index'!D10,"AAAAABc9OX4=")</f>
        <v>#VALUE!</v>
      </c>
      <c r="DX1" t="e">
        <f>AND('Current Index'!E10,"AAAAABc9OX8=")</f>
        <v>#VALUE!</v>
      </c>
      <c r="DY1" t="e">
        <f>AND('Current Index'!F10,"AAAAABc9OYA=")</f>
        <v>#VALUE!</v>
      </c>
      <c r="DZ1" t="e">
        <f>AND('Current Index'!G10,"AAAAABc9OYE=")</f>
        <v>#VALUE!</v>
      </c>
      <c r="EA1" t="e">
        <f>AND('Current Index'!H10,"AAAAABc9OYI=")</f>
        <v>#VALUE!</v>
      </c>
      <c r="EB1" t="e">
        <f>AND('Current Index'!I10,"AAAAABc9OYM=")</f>
        <v>#VALUE!</v>
      </c>
      <c r="EC1">
        <f>IF('Current Index'!11:11,"AAAAABc9OYQ=",0)</f>
        <v>0</v>
      </c>
      <c r="ED1" t="e">
        <f>AND('Current Index'!A11,"AAAAABc9OYU=")</f>
        <v>#VALUE!</v>
      </c>
      <c r="EE1" t="e">
        <f>AND('Current Index'!#REF!,"AAAAABc9OYY=")</f>
        <v>#REF!</v>
      </c>
      <c r="EF1" t="e">
        <f>AND('Current Index'!B11,"AAAAABc9OYc=")</f>
        <v>#VALUE!</v>
      </c>
      <c r="EG1" t="e">
        <f>AND('Current Index'!C11,"AAAAABc9OYg=")</f>
        <v>#VALUE!</v>
      </c>
      <c r="EH1" t="e">
        <f>AND('Current Index'!D11,"AAAAABc9OYk=")</f>
        <v>#VALUE!</v>
      </c>
      <c r="EI1" t="e">
        <f>AND('Current Index'!E11,"AAAAABc9OYo=")</f>
        <v>#VALUE!</v>
      </c>
      <c r="EJ1" t="e">
        <f>AND('Current Index'!F11,"AAAAABc9OYs=")</f>
        <v>#VALUE!</v>
      </c>
      <c r="EK1" t="e">
        <f>AND('Current Index'!G11,"AAAAABc9OYw=")</f>
        <v>#VALUE!</v>
      </c>
      <c r="EL1" t="e">
        <f>AND('Current Index'!H11,"AAAAABc9OY0=")</f>
        <v>#VALUE!</v>
      </c>
      <c r="EM1" t="e">
        <f>AND('Current Index'!I11,"AAAAABc9OY4=")</f>
        <v>#VALUE!</v>
      </c>
      <c r="EN1">
        <f>IF('Current Index'!12:12,"AAAAABc9OY8=",0)</f>
        <v>0</v>
      </c>
      <c r="EO1" t="e">
        <f>AND('Current Index'!A12,"AAAAABc9OZA=")</f>
        <v>#VALUE!</v>
      </c>
      <c r="EP1" t="e">
        <f>AND('Current Index'!#REF!,"AAAAABc9OZE=")</f>
        <v>#REF!</v>
      </c>
      <c r="EQ1" t="e">
        <f>AND('Current Index'!B12,"AAAAABc9OZI=")</f>
        <v>#VALUE!</v>
      </c>
      <c r="ER1" t="e">
        <f>AND('Current Index'!C12,"AAAAABc9OZM=")</f>
        <v>#VALUE!</v>
      </c>
      <c r="ES1" t="e">
        <f>AND('Current Index'!D12,"AAAAABc9OZQ=")</f>
        <v>#VALUE!</v>
      </c>
      <c r="ET1" t="e">
        <f>AND('Current Index'!E12,"AAAAABc9OZU=")</f>
        <v>#VALUE!</v>
      </c>
      <c r="EU1" t="e">
        <f>AND('Current Index'!F12,"AAAAABc9OZY=")</f>
        <v>#VALUE!</v>
      </c>
      <c r="EV1" t="e">
        <f>AND('Current Index'!G12,"AAAAABc9OZc=")</f>
        <v>#VALUE!</v>
      </c>
      <c r="EW1" t="e">
        <f>AND('Current Index'!H12,"AAAAABc9OZg=")</f>
        <v>#VALUE!</v>
      </c>
      <c r="EX1" t="e">
        <f>AND('Current Index'!I12,"AAAAABc9OZk=")</f>
        <v>#VALUE!</v>
      </c>
      <c r="EY1">
        <f>IF('Current Index'!13:13,"AAAAABc9OZo=",0)</f>
        <v>0</v>
      </c>
      <c r="EZ1" t="e">
        <f>AND('Current Index'!A13,"AAAAABc9OZs=")</f>
        <v>#VALUE!</v>
      </c>
      <c r="FA1" t="e">
        <f>AND('Current Index'!#REF!,"AAAAABc9OZw=")</f>
        <v>#REF!</v>
      </c>
      <c r="FB1" t="e">
        <f>AND('Current Index'!B13,"AAAAABc9OZ0=")</f>
        <v>#VALUE!</v>
      </c>
      <c r="FC1" t="e">
        <f>AND('Current Index'!C13,"AAAAABc9OZ4=")</f>
        <v>#VALUE!</v>
      </c>
      <c r="FD1" t="e">
        <f>AND('Current Index'!D13,"AAAAABc9OZ8=")</f>
        <v>#VALUE!</v>
      </c>
      <c r="FE1" t="e">
        <f>AND('Current Index'!E13,"AAAAABc9OaA=")</f>
        <v>#VALUE!</v>
      </c>
      <c r="FF1" t="e">
        <f>AND('Current Index'!F13,"AAAAABc9OaE=")</f>
        <v>#VALUE!</v>
      </c>
      <c r="FG1" t="e">
        <f>AND('Current Index'!G13,"AAAAABc9OaI=")</f>
        <v>#VALUE!</v>
      </c>
      <c r="FH1" t="e">
        <f>AND('Current Index'!H13,"AAAAABc9OaM=")</f>
        <v>#VALUE!</v>
      </c>
      <c r="FI1" t="e">
        <f>AND('Current Index'!I13,"AAAAABc9OaQ=")</f>
        <v>#VALUE!</v>
      </c>
      <c r="FJ1">
        <f>IF('Current Index'!14:14,"AAAAABc9OaU=",0)</f>
        <v>0</v>
      </c>
      <c r="FK1" t="e">
        <f>AND('Current Index'!A14,"AAAAABc9OaY=")</f>
        <v>#VALUE!</v>
      </c>
      <c r="FL1" t="e">
        <f>AND('Current Index'!#REF!,"AAAAABc9Oac=")</f>
        <v>#REF!</v>
      </c>
      <c r="FM1" t="e">
        <f>AND('Current Index'!B14,"AAAAABc9Oag=")</f>
        <v>#VALUE!</v>
      </c>
      <c r="FN1" t="e">
        <f>AND('Current Index'!C14,"AAAAABc9Oak=")</f>
        <v>#VALUE!</v>
      </c>
      <c r="FO1" t="e">
        <f>AND('Current Index'!D14,"AAAAABc9Oao=")</f>
        <v>#VALUE!</v>
      </c>
      <c r="FP1" t="e">
        <f>AND('Current Index'!E14,"AAAAABc9Oas=")</f>
        <v>#VALUE!</v>
      </c>
      <c r="FQ1" t="e">
        <f>AND('Current Index'!F14,"AAAAABc9Oaw=")</f>
        <v>#VALUE!</v>
      </c>
      <c r="FR1" t="e">
        <f>AND('Current Index'!G14,"AAAAABc9Oa0=")</f>
        <v>#VALUE!</v>
      </c>
      <c r="FS1" t="e">
        <f>AND('Current Index'!H14,"AAAAABc9Oa4=")</f>
        <v>#VALUE!</v>
      </c>
      <c r="FT1" t="e">
        <f>AND('Current Index'!I14,"AAAAABc9Oa8=")</f>
        <v>#VALUE!</v>
      </c>
      <c r="FU1">
        <f>IF('Current Index'!15:15,"AAAAABc9ObA=",0)</f>
        <v>0</v>
      </c>
      <c r="FV1" t="e">
        <f>AND('Current Index'!A15,"AAAAABc9ObE=")</f>
        <v>#VALUE!</v>
      </c>
      <c r="FW1" t="e">
        <f>AND('Current Index'!#REF!,"AAAAABc9ObI=")</f>
        <v>#REF!</v>
      </c>
      <c r="FX1" t="e">
        <f>AND('Current Index'!B15,"AAAAABc9ObM=")</f>
        <v>#VALUE!</v>
      </c>
      <c r="FY1" t="e">
        <f>AND('Current Index'!C15,"AAAAABc9ObQ=")</f>
        <v>#VALUE!</v>
      </c>
      <c r="FZ1" t="e">
        <f>AND('Current Index'!D15,"AAAAABc9ObU=")</f>
        <v>#VALUE!</v>
      </c>
      <c r="GA1" t="e">
        <f>AND('Current Index'!E15,"AAAAABc9ObY=")</f>
        <v>#VALUE!</v>
      </c>
      <c r="GB1" t="e">
        <f>AND('Current Index'!F15,"AAAAABc9Obc=")</f>
        <v>#VALUE!</v>
      </c>
      <c r="GC1" t="e">
        <f>AND('Current Index'!G15,"AAAAABc9Obg=")</f>
        <v>#VALUE!</v>
      </c>
      <c r="GD1" t="e">
        <f>AND('Current Index'!H15,"AAAAABc9Obk=")</f>
        <v>#VALUE!</v>
      </c>
      <c r="GE1" t="e">
        <f>AND('Current Index'!I15,"AAAAABc9Obo=")</f>
        <v>#VALUE!</v>
      </c>
      <c r="GF1">
        <f>IF('Current Index'!16:16,"AAAAABc9Obs=",0)</f>
        <v>0</v>
      </c>
      <c r="GG1" t="e">
        <f>AND('Current Index'!A16,"AAAAABc9Obw=")</f>
        <v>#VALUE!</v>
      </c>
      <c r="GH1" t="e">
        <f>AND('Current Index'!#REF!,"AAAAABc9Ob0=")</f>
        <v>#REF!</v>
      </c>
      <c r="GI1" t="e">
        <f>AND('Current Index'!B16,"AAAAABc9Ob4=")</f>
        <v>#VALUE!</v>
      </c>
      <c r="GJ1" t="e">
        <f>AND('Current Index'!C16,"AAAAABc9Ob8=")</f>
        <v>#VALUE!</v>
      </c>
      <c r="GK1" t="e">
        <f>AND('Current Index'!D16,"AAAAABc9OcA=")</f>
        <v>#VALUE!</v>
      </c>
      <c r="GL1" t="e">
        <f>AND('Current Index'!E16,"AAAAABc9OcE=")</f>
        <v>#VALUE!</v>
      </c>
      <c r="GM1" t="e">
        <f>AND('Current Index'!F16,"AAAAABc9OcI=")</f>
        <v>#VALUE!</v>
      </c>
      <c r="GN1" t="e">
        <f>AND('Current Index'!G16,"AAAAABc9OcM=")</f>
        <v>#VALUE!</v>
      </c>
      <c r="GO1" t="e">
        <f>AND('Current Index'!H16,"AAAAABc9OcQ=")</f>
        <v>#VALUE!</v>
      </c>
      <c r="GP1" t="e">
        <f>AND('Current Index'!I16,"AAAAABc9OcU=")</f>
        <v>#VALUE!</v>
      </c>
      <c r="GQ1">
        <f>IF('Current Index'!17:17,"AAAAABc9OcY=",0)</f>
        <v>0</v>
      </c>
      <c r="GR1" t="e">
        <f>AND('Current Index'!A17,"AAAAABc9Occ=")</f>
        <v>#VALUE!</v>
      </c>
      <c r="GS1" t="e">
        <f>AND('Current Index'!#REF!,"AAAAABc9Ocg=")</f>
        <v>#REF!</v>
      </c>
      <c r="GT1" t="e">
        <f>AND('Current Index'!B17,"AAAAABc9Ock=")</f>
        <v>#VALUE!</v>
      </c>
      <c r="GU1" t="e">
        <f>AND('Current Index'!C17,"AAAAABc9Oco=")</f>
        <v>#VALUE!</v>
      </c>
      <c r="GV1" t="e">
        <f>AND('Current Index'!D17,"AAAAABc9Ocs=")</f>
        <v>#VALUE!</v>
      </c>
      <c r="GW1" t="e">
        <f>AND('Current Index'!E17,"AAAAABc9Ocw=")</f>
        <v>#VALUE!</v>
      </c>
      <c r="GX1" t="e">
        <f>AND('Current Index'!F17,"AAAAABc9Oc0=")</f>
        <v>#VALUE!</v>
      </c>
      <c r="GY1" t="e">
        <f>AND('Current Index'!G17,"AAAAABc9Oc4=")</f>
        <v>#VALUE!</v>
      </c>
      <c r="GZ1" t="e">
        <f>AND('Current Index'!H17,"AAAAABc9Oc8=")</f>
        <v>#VALUE!</v>
      </c>
      <c r="HA1" t="e">
        <f>AND('Current Index'!I17,"AAAAABc9OdA=")</f>
        <v>#VALUE!</v>
      </c>
      <c r="HB1">
        <f>IF('Current Index'!18:18,"AAAAABc9OdE=",0)</f>
        <v>0</v>
      </c>
      <c r="HC1" t="e">
        <f>AND('Current Index'!A18,"AAAAABc9OdI=")</f>
        <v>#VALUE!</v>
      </c>
      <c r="HD1" t="e">
        <f>AND('Current Index'!#REF!,"AAAAABc9OdM=")</f>
        <v>#REF!</v>
      </c>
      <c r="HE1" t="e">
        <f>AND('Current Index'!B18,"AAAAABc9OdQ=")</f>
        <v>#VALUE!</v>
      </c>
      <c r="HF1" t="e">
        <f>AND('Current Index'!C18,"AAAAABc9OdU=")</f>
        <v>#VALUE!</v>
      </c>
      <c r="HG1" t="e">
        <f>AND('Current Index'!D18,"AAAAABc9OdY=")</f>
        <v>#VALUE!</v>
      </c>
      <c r="HH1" t="e">
        <f>AND('Current Index'!E18,"AAAAABc9Odc=")</f>
        <v>#VALUE!</v>
      </c>
      <c r="HI1" t="e">
        <f>AND('Current Index'!F18,"AAAAABc9Odg=")</f>
        <v>#VALUE!</v>
      </c>
      <c r="HJ1" t="e">
        <f>AND('Current Index'!G18,"AAAAABc9Odk=")</f>
        <v>#VALUE!</v>
      </c>
      <c r="HK1" t="e">
        <f>AND('Current Index'!H18,"AAAAABc9Odo=")</f>
        <v>#VALUE!</v>
      </c>
      <c r="HL1" t="e">
        <f>AND('Current Index'!I18,"AAAAABc9Ods=")</f>
        <v>#VALUE!</v>
      </c>
      <c r="HM1">
        <f>IF('Current Index'!19:19,"AAAAABc9Odw=",0)</f>
        <v>0</v>
      </c>
      <c r="HN1" t="e">
        <f>AND('Current Index'!A19,"AAAAABc9Od0=")</f>
        <v>#VALUE!</v>
      </c>
      <c r="HO1" t="e">
        <f>AND('Current Index'!#REF!,"AAAAABc9Od4=")</f>
        <v>#REF!</v>
      </c>
      <c r="HP1" t="e">
        <f>AND('Current Index'!B19,"AAAAABc9Od8=")</f>
        <v>#VALUE!</v>
      </c>
      <c r="HQ1" t="e">
        <f>AND('Current Index'!C19,"AAAAABc9OeA=")</f>
        <v>#VALUE!</v>
      </c>
      <c r="HR1" t="e">
        <f>AND('Current Index'!D19,"AAAAABc9OeE=")</f>
        <v>#VALUE!</v>
      </c>
      <c r="HS1" t="e">
        <f>AND('Current Index'!E19,"AAAAABc9OeI=")</f>
        <v>#VALUE!</v>
      </c>
      <c r="HT1" t="e">
        <f>AND('Current Index'!F19,"AAAAABc9OeM=")</f>
        <v>#VALUE!</v>
      </c>
      <c r="HU1" t="e">
        <f>AND('Current Index'!G19,"AAAAABc9OeQ=")</f>
        <v>#VALUE!</v>
      </c>
      <c r="HV1" t="e">
        <f>AND('Current Index'!H19,"AAAAABc9OeU=")</f>
        <v>#VALUE!</v>
      </c>
      <c r="HW1" t="e">
        <f>AND('Current Index'!I19,"AAAAABc9OeY=")</f>
        <v>#VALUE!</v>
      </c>
      <c r="HX1">
        <f>IF('Current Index'!20:20,"AAAAABc9Oec=",0)</f>
        <v>0</v>
      </c>
      <c r="HY1" t="e">
        <f>AND('Current Index'!A20,"AAAAABc9Oeg=")</f>
        <v>#VALUE!</v>
      </c>
      <c r="HZ1" t="e">
        <f>AND('Current Index'!#REF!,"AAAAABc9Oek=")</f>
        <v>#REF!</v>
      </c>
      <c r="IA1" t="e">
        <f>AND('Current Index'!B20,"AAAAABc9Oeo=")</f>
        <v>#VALUE!</v>
      </c>
      <c r="IB1" t="e">
        <f>AND('Current Index'!C20,"AAAAABc9Oes=")</f>
        <v>#VALUE!</v>
      </c>
      <c r="IC1" t="e">
        <f>AND('Current Index'!D20,"AAAAABc9Oew=")</f>
        <v>#VALUE!</v>
      </c>
      <c r="ID1" t="e">
        <f>AND('Current Index'!E20,"AAAAABc9Oe0=")</f>
        <v>#VALUE!</v>
      </c>
      <c r="IE1" t="e">
        <f>AND('Current Index'!F20,"AAAAABc9Oe4=")</f>
        <v>#VALUE!</v>
      </c>
      <c r="IF1" t="e">
        <f>AND('Current Index'!G20,"AAAAABc9Oe8=")</f>
        <v>#VALUE!</v>
      </c>
      <c r="IG1" t="e">
        <f>AND('Current Index'!H20,"AAAAABc9OfA=")</f>
        <v>#VALUE!</v>
      </c>
      <c r="IH1" t="e">
        <f>AND('Current Index'!I20,"AAAAABc9OfE=")</f>
        <v>#VALUE!</v>
      </c>
      <c r="II1">
        <f>IF('Current Index'!21:21,"AAAAABc9OfI=",0)</f>
        <v>0</v>
      </c>
      <c r="IJ1" t="e">
        <f>AND('Current Index'!A21,"AAAAABc9OfM=")</f>
        <v>#VALUE!</v>
      </c>
      <c r="IK1" t="e">
        <f>AND('Current Index'!#REF!,"AAAAABc9OfQ=")</f>
        <v>#REF!</v>
      </c>
      <c r="IL1" t="e">
        <f>AND('Current Index'!B21,"AAAAABc9OfU=")</f>
        <v>#VALUE!</v>
      </c>
      <c r="IM1" t="e">
        <f>AND('Current Index'!C21,"AAAAABc9OfY=")</f>
        <v>#VALUE!</v>
      </c>
      <c r="IN1" t="e">
        <f>AND('Current Index'!D21,"AAAAABc9Ofc=")</f>
        <v>#VALUE!</v>
      </c>
      <c r="IO1" t="e">
        <f>AND('Current Index'!E21,"AAAAABc9Ofg=")</f>
        <v>#VALUE!</v>
      </c>
      <c r="IP1" t="e">
        <f>AND('Current Index'!F21,"AAAAABc9Ofk=")</f>
        <v>#VALUE!</v>
      </c>
      <c r="IQ1" t="e">
        <f>AND('Current Index'!G21,"AAAAABc9Ofo=")</f>
        <v>#VALUE!</v>
      </c>
      <c r="IR1" t="e">
        <f>AND('Current Index'!H21,"AAAAABc9Ofs=")</f>
        <v>#VALUE!</v>
      </c>
      <c r="IS1" t="e">
        <f>AND('Current Index'!I21,"AAAAABc9Ofw=")</f>
        <v>#VALUE!</v>
      </c>
      <c r="IT1">
        <f>IF('Current Index'!22:22,"AAAAABc9Of0=",0)</f>
        <v>0</v>
      </c>
      <c r="IU1" t="e">
        <f>AND('Current Index'!A22,"AAAAABc9Of4=")</f>
        <v>#VALUE!</v>
      </c>
      <c r="IV1" t="e">
        <f>AND('Current Index'!#REF!,"AAAAABc9Of8=")</f>
        <v>#REF!</v>
      </c>
    </row>
    <row r="2" spans="1:256" x14ac:dyDescent="0.25">
      <c r="A2" t="e">
        <f>AND('Current Index'!B22,"AAAAAH471wA=")</f>
        <v>#VALUE!</v>
      </c>
      <c r="B2" t="e">
        <f>AND('Current Index'!C22,"AAAAAH471wE=")</f>
        <v>#VALUE!</v>
      </c>
      <c r="C2" t="e">
        <f>AND('Current Index'!D22,"AAAAAH471wI=")</f>
        <v>#VALUE!</v>
      </c>
      <c r="D2" t="e">
        <f>AND('Current Index'!E22,"AAAAAH471wM=")</f>
        <v>#VALUE!</v>
      </c>
      <c r="E2" t="e">
        <f>AND('Current Index'!F22,"AAAAAH471wQ=")</f>
        <v>#VALUE!</v>
      </c>
      <c r="F2" t="e">
        <f>AND('Current Index'!G22,"AAAAAH471wU=")</f>
        <v>#VALUE!</v>
      </c>
      <c r="G2" t="e">
        <f>AND('Current Index'!H22,"AAAAAH471wY=")</f>
        <v>#VALUE!</v>
      </c>
      <c r="H2" t="e">
        <f>AND('Current Index'!I22,"AAAAAH471wc=")</f>
        <v>#VALUE!</v>
      </c>
      <c r="I2">
        <f>IF('Current Index'!23:23,"AAAAAH471wg=",0)</f>
        <v>0</v>
      </c>
      <c r="J2" t="e">
        <f>AND('Current Index'!A23,"AAAAAH471wk=")</f>
        <v>#VALUE!</v>
      </c>
      <c r="K2" t="e">
        <f>AND('Current Index'!#REF!,"AAAAAH471wo=")</f>
        <v>#REF!</v>
      </c>
      <c r="L2" t="e">
        <f>AND('Current Index'!B23,"AAAAAH471ws=")</f>
        <v>#VALUE!</v>
      </c>
      <c r="M2" t="e">
        <f>AND('Current Index'!C23,"AAAAAH471ww=")</f>
        <v>#VALUE!</v>
      </c>
      <c r="N2" t="e">
        <f>AND('Current Index'!D23,"AAAAAH471w0=")</f>
        <v>#VALUE!</v>
      </c>
      <c r="O2" t="e">
        <f>AND('Current Index'!E23,"AAAAAH471w4=")</f>
        <v>#VALUE!</v>
      </c>
      <c r="P2" t="e">
        <f>AND('Current Index'!F23,"AAAAAH471w8=")</f>
        <v>#VALUE!</v>
      </c>
      <c r="Q2" t="e">
        <f>AND('Current Index'!G23,"AAAAAH471xA=")</f>
        <v>#VALUE!</v>
      </c>
      <c r="R2" t="e">
        <f>AND('Current Index'!H23,"AAAAAH471xE=")</f>
        <v>#VALUE!</v>
      </c>
      <c r="S2" t="e">
        <f>AND('Current Index'!I23,"AAAAAH471xI=")</f>
        <v>#VALUE!</v>
      </c>
      <c r="T2">
        <f>IF('Current Index'!24:24,"AAAAAH471xM=",0)</f>
        <v>0</v>
      </c>
      <c r="U2" t="e">
        <f>AND('Current Index'!A24,"AAAAAH471xQ=")</f>
        <v>#VALUE!</v>
      </c>
      <c r="V2" t="e">
        <f>AND('Current Index'!#REF!,"AAAAAH471xU=")</f>
        <v>#REF!</v>
      </c>
      <c r="W2" t="e">
        <f>AND('Current Index'!B24,"AAAAAH471xY=")</f>
        <v>#VALUE!</v>
      </c>
      <c r="X2" t="e">
        <f>AND('Current Index'!C24,"AAAAAH471xc=")</f>
        <v>#VALUE!</v>
      </c>
      <c r="Y2" t="e">
        <f>AND('Current Index'!D24,"AAAAAH471xg=")</f>
        <v>#VALUE!</v>
      </c>
      <c r="Z2" t="e">
        <f>AND('Current Index'!E24,"AAAAAH471xk=")</f>
        <v>#VALUE!</v>
      </c>
      <c r="AA2" t="e">
        <f>AND('Current Index'!F24,"AAAAAH471xo=")</f>
        <v>#VALUE!</v>
      </c>
      <c r="AB2" t="e">
        <f>AND('Current Index'!G24,"AAAAAH471xs=")</f>
        <v>#VALUE!</v>
      </c>
      <c r="AC2" t="e">
        <f>AND('Current Index'!H24,"AAAAAH471xw=")</f>
        <v>#VALUE!</v>
      </c>
      <c r="AD2" t="e">
        <f>AND('Current Index'!I24,"AAAAAH471x0=")</f>
        <v>#VALUE!</v>
      </c>
      <c r="AE2">
        <f>IF('Current Index'!25:25,"AAAAAH471x4=",0)</f>
        <v>0</v>
      </c>
      <c r="AF2" t="e">
        <f>AND('Current Index'!A25,"AAAAAH471x8=")</f>
        <v>#VALUE!</v>
      </c>
      <c r="AG2" t="e">
        <f>AND('Current Index'!#REF!,"AAAAAH471yA=")</f>
        <v>#REF!</v>
      </c>
      <c r="AH2" t="e">
        <f>AND('Current Index'!B25,"AAAAAH471yE=")</f>
        <v>#VALUE!</v>
      </c>
      <c r="AI2" t="e">
        <f>AND('Current Index'!C25,"AAAAAH471yI=")</f>
        <v>#VALUE!</v>
      </c>
      <c r="AJ2" t="e">
        <f>AND('Current Index'!D25,"AAAAAH471yM=")</f>
        <v>#VALUE!</v>
      </c>
      <c r="AK2" t="e">
        <f>AND('Current Index'!E25,"AAAAAH471yQ=")</f>
        <v>#VALUE!</v>
      </c>
      <c r="AL2" t="e">
        <f>AND('Current Index'!F25,"AAAAAH471yU=")</f>
        <v>#VALUE!</v>
      </c>
      <c r="AM2" t="e">
        <f>AND('Current Index'!G25,"AAAAAH471yY=")</f>
        <v>#VALUE!</v>
      </c>
      <c r="AN2" t="e">
        <f>AND('Current Index'!H25,"AAAAAH471yc=")</f>
        <v>#VALUE!</v>
      </c>
      <c r="AO2" t="e">
        <f>AND('Current Index'!I25,"AAAAAH471yg=")</f>
        <v>#VALUE!</v>
      </c>
      <c r="AP2">
        <f>IF('Current Index'!26:26,"AAAAAH471yk=",0)</f>
        <v>0</v>
      </c>
      <c r="AQ2" t="e">
        <f>AND('Current Index'!A26,"AAAAAH471yo=")</f>
        <v>#VALUE!</v>
      </c>
      <c r="AR2" t="e">
        <f>AND('Current Index'!#REF!,"AAAAAH471ys=")</f>
        <v>#REF!</v>
      </c>
      <c r="AS2" t="e">
        <f>AND('Current Index'!B26,"AAAAAH471yw=")</f>
        <v>#VALUE!</v>
      </c>
      <c r="AT2" t="e">
        <f>AND('Current Index'!C26,"AAAAAH471y0=")</f>
        <v>#VALUE!</v>
      </c>
      <c r="AU2" t="e">
        <f>AND('Current Index'!D26,"AAAAAH471y4=")</f>
        <v>#VALUE!</v>
      </c>
      <c r="AV2" t="e">
        <f>AND('Current Index'!E26,"AAAAAH471y8=")</f>
        <v>#VALUE!</v>
      </c>
      <c r="AW2" t="e">
        <f>AND('Current Index'!F26,"AAAAAH471zA=")</f>
        <v>#VALUE!</v>
      </c>
      <c r="AX2" t="e">
        <f>AND('Current Index'!G26,"AAAAAH471zE=")</f>
        <v>#VALUE!</v>
      </c>
      <c r="AY2" t="e">
        <f>AND('Current Index'!H26,"AAAAAH471zI=")</f>
        <v>#VALUE!</v>
      </c>
      <c r="AZ2" t="e">
        <f>AND('Current Index'!I26,"AAAAAH471zM=")</f>
        <v>#VALUE!</v>
      </c>
      <c r="BA2">
        <f>IF('Current Index'!27:27,"AAAAAH471zQ=",0)</f>
        <v>0</v>
      </c>
      <c r="BB2" t="e">
        <f>AND('Current Index'!A27,"AAAAAH471zU=")</f>
        <v>#VALUE!</v>
      </c>
      <c r="BC2" t="e">
        <f>AND('Current Index'!#REF!,"AAAAAH471zY=")</f>
        <v>#REF!</v>
      </c>
      <c r="BD2" t="e">
        <f>AND('Current Index'!B27,"AAAAAH471zc=")</f>
        <v>#VALUE!</v>
      </c>
      <c r="BE2" t="e">
        <f>AND('Current Index'!C27,"AAAAAH471zg=")</f>
        <v>#VALUE!</v>
      </c>
      <c r="BF2" t="e">
        <f>AND('Current Index'!D27,"AAAAAH471zk=")</f>
        <v>#VALUE!</v>
      </c>
      <c r="BG2" t="e">
        <f>AND('Current Index'!E27,"AAAAAH471zo=")</f>
        <v>#VALUE!</v>
      </c>
      <c r="BH2" t="e">
        <f>AND('Current Index'!F27,"AAAAAH471zs=")</f>
        <v>#VALUE!</v>
      </c>
      <c r="BI2" t="e">
        <f>AND('Current Index'!G27,"AAAAAH471zw=")</f>
        <v>#VALUE!</v>
      </c>
      <c r="BJ2" t="e">
        <f>AND('Current Index'!H27,"AAAAAH471z0=")</f>
        <v>#VALUE!</v>
      </c>
      <c r="BK2" t="e">
        <f>AND('Current Index'!I27,"AAAAAH471z4=")</f>
        <v>#VALUE!</v>
      </c>
      <c r="BL2">
        <f>IF('Current Index'!28:28,"AAAAAH471z8=",0)</f>
        <v>0</v>
      </c>
      <c r="BM2" t="e">
        <f>AND('Current Index'!A28,"AAAAAH4710A=")</f>
        <v>#VALUE!</v>
      </c>
      <c r="BN2" t="e">
        <f>AND('Current Index'!#REF!,"AAAAAH4710E=")</f>
        <v>#REF!</v>
      </c>
      <c r="BO2" t="e">
        <f>AND('Current Index'!B28,"AAAAAH4710I=")</f>
        <v>#VALUE!</v>
      </c>
      <c r="BP2" t="e">
        <f>AND('Current Index'!C28,"AAAAAH4710M=")</f>
        <v>#VALUE!</v>
      </c>
      <c r="BQ2" t="e">
        <f>AND('Current Index'!D28,"AAAAAH4710Q=")</f>
        <v>#VALUE!</v>
      </c>
      <c r="BR2" t="e">
        <f>AND('Current Index'!E28,"AAAAAH4710U=")</f>
        <v>#VALUE!</v>
      </c>
      <c r="BS2" t="e">
        <f>AND('Current Index'!F28,"AAAAAH4710Y=")</f>
        <v>#VALUE!</v>
      </c>
      <c r="BT2" t="e">
        <f>AND('Current Index'!G28,"AAAAAH4710c=")</f>
        <v>#VALUE!</v>
      </c>
      <c r="BU2" t="e">
        <f>AND('Current Index'!H28,"AAAAAH4710g=")</f>
        <v>#VALUE!</v>
      </c>
      <c r="BV2" t="e">
        <f>AND('Current Index'!I28,"AAAAAH4710k=")</f>
        <v>#VALUE!</v>
      </c>
      <c r="BW2">
        <f>IF('Current Index'!30:30,"AAAAAH4710o=",0)</f>
        <v>0</v>
      </c>
      <c r="BX2" t="e">
        <f>AND('Current Index'!A30,"AAAAAH4710s=")</f>
        <v>#VALUE!</v>
      </c>
      <c r="BY2" t="e">
        <f>AND('Current Index'!#REF!,"AAAAAH4710w=")</f>
        <v>#REF!</v>
      </c>
      <c r="BZ2" t="e">
        <f>AND('Current Index'!B30,"AAAAAH47100=")</f>
        <v>#VALUE!</v>
      </c>
      <c r="CA2" t="e">
        <f>AND('Current Index'!C30,"AAAAAH47104=")</f>
        <v>#VALUE!</v>
      </c>
      <c r="CB2" t="e">
        <f>AND('Current Index'!D30,"AAAAAH47108=")</f>
        <v>#VALUE!</v>
      </c>
      <c r="CC2" t="e">
        <f>AND('Current Index'!E30,"AAAAAH4711A=")</f>
        <v>#VALUE!</v>
      </c>
      <c r="CD2" t="e">
        <f>AND('Current Index'!F30,"AAAAAH4711E=")</f>
        <v>#VALUE!</v>
      </c>
      <c r="CE2" t="e">
        <f>AND('Current Index'!G30,"AAAAAH4711I=")</f>
        <v>#VALUE!</v>
      </c>
      <c r="CF2" t="e">
        <f>AND('Current Index'!H30,"AAAAAH4711M=")</f>
        <v>#VALUE!</v>
      </c>
      <c r="CG2" t="e">
        <f>AND('Current Index'!I30,"AAAAAH4711Q=")</f>
        <v>#VALUE!</v>
      </c>
      <c r="CH2">
        <f>IF('Current Index'!31:31,"AAAAAH4711U=",0)</f>
        <v>0</v>
      </c>
      <c r="CI2" t="e">
        <f>AND('Current Index'!A31,"AAAAAH4711Y=")</f>
        <v>#VALUE!</v>
      </c>
      <c r="CJ2" t="e">
        <f>AND('Current Index'!#REF!,"AAAAAH4711c=")</f>
        <v>#REF!</v>
      </c>
      <c r="CK2" t="e">
        <f>AND('Current Index'!B31,"AAAAAH4711g=")</f>
        <v>#VALUE!</v>
      </c>
      <c r="CL2" t="e">
        <f>AND('Current Index'!C31,"AAAAAH4711k=")</f>
        <v>#VALUE!</v>
      </c>
      <c r="CM2" t="e">
        <f>AND('Current Index'!D31,"AAAAAH4711o=")</f>
        <v>#VALUE!</v>
      </c>
      <c r="CN2" t="e">
        <f>AND('Current Index'!E31,"AAAAAH4711s=")</f>
        <v>#VALUE!</v>
      </c>
      <c r="CO2" t="e">
        <f>AND('Current Index'!F31,"AAAAAH4711w=")</f>
        <v>#VALUE!</v>
      </c>
      <c r="CP2" t="e">
        <f>AND('Current Index'!G31,"AAAAAH47110=")</f>
        <v>#VALUE!</v>
      </c>
      <c r="CQ2" t="e">
        <f>AND('Current Index'!H31,"AAAAAH47114=")</f>
        <v>#VALUE!</v>
      </c>
      <c r="CR2" t="e">
        <f>AND('Current Index'!I31,"AAAAAH47118=")</f>
        <v>#VALUE!</v>
      </c>
      <c r="CS2">
        <f>IF('Current Index'!32:32,"AAAAAH4712A=",0)</f>
        <v>0</v>
      </c>
      <c r="CT2" t="e">
        <f>AND('Current Index'!A32,"AAAAAH4712E=")</f>
        <v>#VALUE!</v>
      </c>
      <c r="CU2" t="e">
        <f>AND('Current Index'!#REF!,"AAAAAH4712I=")</f>
        <v>#REF!</v>
      </c>
      <c r="CV2" t="e">
        <f>AND('Current Index'!B32,"AAAAAH4712M=")</f>
        <v>#VALUE!</v>
      </c>
      <c r="CW2" t="e">
        <f>AND('Current Index'!C32,"AAAAAH4712Q=")</f>
        <v>#VALUE!</v>
      </c>
      <c r="CX2" t="e">
        <f>AND('Current Index'!D32,"AAAAAH4712U=")</f>
        <v>#VALUE!</v>
      </c>
      <c r="CY2" t="e">
        <f>AND('Current Index'!E32,"AAAAAH4712Y=")</f>
        <v>#VALUE!</v>
      </c>
      <c r="CZ2" t="e">
        <f>AND('Current Index'!F32,"AAAAAH4712c=")</f>
        <v>#VALUE!</v>
      </c>
      <c r="DA2" t="e">
        <f>AND('Current Index'!G32,"AAAAAH4712g=")</f>
        <v>#VALUE!</v>
      </c>
      <c r="DB2" t="e">
        <f>AND('Current Index'!H32,"AAAAAH4712k=")</f>
        <v>#VALUE!</v>
      </c>
      <c r="DC2" t="e">
        <f>AND('Current Index'!I32,"AAAAAH4712o=")</f>
        <v>#VALUE!</v>
      </c>
      <c r="DD2">
        <f>IF('Current Index'!33:33,"AAAAAH4712s=",0)</f>
        <v>0</v>
      </c>
      <c r="DE2" t="e">
        <f>AND('Current Index'!A33,"AAAAAH4712w=")</f>
        <v>#VALUE!</v>
      </c>
      <c r="DF2" t="e">
        <f>AND('Current Index'!#REF!,"AAAAAH47120=")</f>
        <v>#REF!</v>
      </c>
      <c r="DG2" t="e">
        <f>AND('Current Index'!B33,"AAAAAH47124=")</f>
        <v>#VALUE!</v>
      </c>
      <c r="DH2" t="e">
        <f>AND('Current Index'!C33,"AAAAAH47128=")</f>
        <v>#VALUE!</v>
      </c>
      <c r="DI2" t="e">
        <f>AND('Current Index'!D33,"AAAAAH4713A=")</f>
        <v>#VALUE!</v>
      </c>
      <c r="DJ2" t="e">
        <f>AND('Current Index'!E33,"AAAAAH4713E=")</f>
        <v>#VALUE!</v>
      </c>
      <c r="DK2" t="e">
        <f>AND('Current Index'!F33,"AAAAAH4713I=")</f>
        <v>#VALUE!</v>
      </c>
      <c r="DL2" t="e">
        <f>AND('Current Index'!G33,"AAAAAH4713M=")</f>
        <v>#VALUE!</v>
      </c>
      <c r="DM2" t="e">
        <f>AND('Current Index'!H33,"AAAAAH4713Q=")</f>
        <v>#VALUE!</v>
      </c>
      <c r="DN2" t="e">
        <f>AND('Current Index'!I33,"AAAAAH4713U=")</f>
        <v>#VALUE!</v>
      </c>
      <c r="DO2">
        <f>IF('Current Index'!34:34,"AAAAAH4713Y=",0)</f>
        <v>0</v>
      </c>
      <c r="DP2" t="e">
        <f>AND('Current Index'!A34,"AAAAAH4713c=")</f>
        <v>#VALUE!</v>
      </c>
      <c r="DQ2" t="e">
        <f>AND('Current Index'!#REF!,"AAAAAH4713g=")</f>
        <v>#REF!</v>
      </c>
      <c r="DR2" t="e">
        <f>AND('Current Index'!B34,"AAAAAH4713k=")</f>
        <v>#VALUE!</v>
      </c>
      <c r="DS2" t="e">
        <f>AND('Current Index'!C34,"AAAAAH4713o=")</f>
        <v>#VALUE!</v>
      </c>
      <c r="DT2" t="e">
        <f>AND('Current Index'!D34,"AAAAAH4713s=")</f>
        <v>#VALUE!</v>
      </c>
      <c r="DU2" t="e">
        <f>AND('Current Index'!E34,"AAAAAH4713w=")</f>
        <v>#VALUE!</v>
      </c>
      <c r="DV2" t="e">
        <f>AND('Current Index'!F34,"AAAAAH47130=")</f>
        <v>#VALUE!</v>
      </c>
      <c r="DW2" t="e">
        <f>AND('Current Index'!G34,"AAAAAH47134=")</f>
        <v>#VALUE!</v>
      </c>
      <c r="DX2" t="e">
        <f>AND('Current Index'!H34,"AAAAAH47138=")</f>
        <v>#VALUE!</v>
      </c>
      <c r="DY2" t="e">
        <f>AND('Current Index'!I34,"AAAAAH4714A=")</f>
        <v>#VALUE!</v>
      </c>
      <c r="DZ2">
        <f>IF('Current Index'!35:35,"AAAAAH4714E=",0)</f>
        <v>0</v>
      </c>
      <c r="EA2" t="e">
        <f>AND('Current Index'!A35,"AAAAAH4714I=")</f>
        <v>#VALUE!</v>
      </c>
      <c r="EB2" t="e">
        <f>AND('Current Index'!#REF!,"AAAAAH4714M=")</f>
        <v>#REF!</v>
      </c>
      <c r="EC2" t="e">
        <f>AND('Current Index'!B35,"AAAAAH4714Q=")</f>
        <v>#VALUE!</v>
      </c>
      <c r="ED2" t="e">
        <f>AND('Current Index'!C35,"AAAAAH4714U=")</f>
        <v>#VALUE!</v>
      </c>
      <c r="EE2" t="e">
        <f>AND('Current Index'!D35,"AAAAAH4714Y=")</f>
        <v>#VALUE!</v>
      </c>
      <c r="EF2" t="e">
        <f>AND('Current Index'!E35,"AAAAAH4714c=")</f>
        <v>#VALUE!</v>
      </c>
      <c r="EG2" t="e">
        <f>AND('Current Index'!F35,"AAAAAH4714g=")</f>
        <v>#VALUE!</v>
      </c>
      <c r="EH2" t="e">
        <f>AND('Current Index'!G35,"AAAAAH4714k=")</f>
        <v>#VALUE!</v>
      </c>
      <c r="EI2" t="e">
        <f>AND('Current Index'!H35,"AAAAAH4714o=")</f>
        <v>#VALUE!</v>
      </c>
      <c r="EJ2" t="e">
        <f>AND('Current Index'!I35,"AAAAAH4714s=")</f>
        <v>#VALUE!</v>
      </c>
      <c r="EK2">
        <f>IF('Current Index'!36:36,"AAAAAH4714w=",0)</f>
        <v>0</v>
      </c>
      <c r="EL2" t="e">
        <f>AND('Current Index'!A36,"AAAAAH47140=")</f>
        <v>#VALUE!</v>
      </c>
      <c r="EM2" t="e">
        <f>AND('Current Index'!#REF!,"AAAAAH47144=")</f>
        <v>#REF!</v>
      </c>
      <c r="EN2" t="e">
        <f>AND('Current Index'!B36,"AAAAAH47148=")</f>
        <v>#VALUE!</v>
      </c>
      <c r="EO2" t="e">
        <f>AND('Current Index'!C36,"AAAAAH4715A=")</f>
        <v>#VALUE!</v>
      </c>
      <c r="EP2" t="e">
        <f>AND('Current Index'!D36,"AAAAAH4715E=")</f>
        <v>#VALUE!</v>
      </c>
      <c r="EQ2" t="e">
        <f>AND('Current Index'!E36,"AAAAAH4715I=")</f>
        <v>#VALUE!</v>
      </c>
      <c r="ER2" t="e">
        <f>AND('Current Index'!F36,"AAAAAH4715M=")</f>
        <v>#VALUE!</v>
      </c>
      <c r="ES2" t="e">
        <f>AND('Current Index'!G36,"AAAAAH4715Q=")</f>
        <v>#VALUE!</v>
      </c>
      <c r="ET2" t="e">
        <f>AND('Current Index'!H36,"AAAAAH4715U=")</f>
        <v>#VALUE!</v>
      </c>
      <c r="EU2" t="e">
        <f>AND('Current Index'!I36,"AAAAAH4715Y=")</f>
        <v>#VALUE!</v>
      </c>
      <c r="EV2">
        <f>IF('Current Index'!37:37,"AAAAAH4715c=",0)</f>
        <v>0</v>
      </c>
      <c r="EW2" t="e">
        <f>AND('Current Index'!A37,"AAAAAH4715g=")</f>
        <v>#VALUE!</v>
      </c>
      <c r="EX2" t="e">
        <f>AND('Current Index'!#REF!,"AAAAAH4715k=")</f>
        <v>#REF!</v>
      </c>
      <c r="EY2" t="e">
        <f>AND('Current Index'!B37,"AAAAAH4715o=")</f>
        <v>#VALUE!</v>
      </c>
      <c r="EZ2" t="e">
        <f>AND('Current Index'!C37,"AAAAAH4715s=")</f>
        <v>#VALUE!</v>
      </c>
      <c r="FA2" t="e">
        <f>AND('Current Index'!D37,"AAAAAH4715w=")</f>
        <v>#VALUE!</v>
      </c>
      <c r="FB2" t="e">
        <f>AND('Current Index'!E37,"AAAAAH47150=")</f>
        <v>#VALUE!</v>
      </c>
      <c r="FC2" t="e">
        <f>AND('Current Index'!F37,"AAAAAH47154=")</f>
        <v>#VALUE!</v>
      </c>
      <c r="FD2" t="e">
        <f>AND('Current Index'!G37,"AAAAAH47158=")</f>
        <v>#VALUE!</v>
      </c>
      <c r="FE2" t="e">
        <f>AND('Current Index'!H37,"AAAAAH4716A=")</f>
        <v>#VALUE!</v>
      </c>
      <c r="FF2" t="e">
        <f>AND('Current Index'!I37,"AAAAAH4716E=")</f>
        <v>#VALUE!</v>
      </c>
      <c r="FG2">
        <f>IF('Current Index'!38:38,"AAAAAH4716I=",0)</f>
        <v>0</v>
      </c>
      <c r="FH2" t="e">
        <f>AND('Current Index'!A38,"AAAAAH4716M=")</f>
        <v>#VALUE!</v>
      </c>
      <c r="FI2" t="e">
        <f>AND('Current Index'!#REF!,"AAAAAH4716Q=")</f>
        <v>#REF!</v>
      </c>
      <c r="FJ2" t="e">
        <f>AND('Current Index'!B38,"AAAAAH4716U=")</f>
        <v>#VALUE!</v>
      </c>
      <c r="FK2" t="e">
        <f>AND('Current Index'!C38,"AAAAAH4716Y=")</f>
        <v>#VALUE!</v>
      </c>
      <c r="FL2" t="e">
        <f>AND('Current Index'!D38,"AAAAAH4716c=")</f>
        <v>#VALUE!</v>
      </c>
      <c r="FM2" t="e">
        <f>AND('Current Index'!E38,"AAAAAH4716g=")</f>
        <v>#VALUE!</v>
      </c>
      <c r="FN2" t="e">
        <f>AND('Current Index'!F38,"AAAAAH4716k=")</f>
        <v>#VALUE!</v>
      </c>
      <c r="FO2" t="e">
        <f>AND('Current Index'!G38,"AAAAAH4716o=")</f>
        <v>#VALUE!</v>
      </c>
      <c r="FP2" t="e">
        <f>AND('Current Index'!H38,"AAAAAH4716s=")</f>
        <v>#VALUE!</v>
      </c>
      <c r="FQ2" t="e">
        <f>AND('Current Index'!I38,"AAAAAH4716w=")</f>
        <v>#VALUE!</v>
      </c>
      <c r="FR2">
        <f>IF('Current Index'!39:39,"AAAAAH47160=",0)</f>
        <v>0</v>
      </c>
      <c r="FS2" t="e">
        <f>AND('Current Index'!A39,"AAAAAH47164=")</f>
        <v>#VALUE!</v>
      </c>
      <c r="FT2" t="e">
        <f>AND('Current Index'!#REF!,"AAAAAH47168=")</f>
        <v>#REF!</v>
      </c>
      <c r="FU2" t="e">
        <f>AND('Current Index'!B39,"AAAAAH4717A=")</f>
        <v>#VALUE!</v>
      </c>
      <c r="FV2" t="e">
        <f>AND('Current Index'!C39,"AAAAAH4717E=")</f>
        <v>#VALUE!</v>
      </c>
      <c r="FW2" t="e">
        <f>AND('Current Index'!D39,"AAAAAH4717I=")</f>
        <v>#VALUE!</v>
      </c>
      <c r="FX2" t="e">
        <f>AND('Current Index'!E39,"AAAAAH4717M=")</f>
        <v>#VALUE!</v>
      </c>
      <c r="FY2" t="e">
        <f>AND('Current Index'!F39,"AAAAAH4717Q=")</f>
        <v>#VALUE!</v>
      </c>
      <c r="FZ2" t="e">
        <f>AND('Current Index'!G39,"AAAAAH4717U=")</f>
        <v>#VALUE!</v>
      </c>
      <c r="GA2" t="e">
        <f>AND('Current Index'!H39,"AAAAAH4717Y=")</f>
        <v>#VALUE!</v>
      </c>
      <c r="GB2" t="e">
        <f>AND('Current Index'!I39,"AAAAAH4717c=")</f>
        <v>#VALUE!</v>
      </c>
      <c r="GC2">
        <f>IF('Current Index'!40:40,"AAAAAH4717g=",0)</f>
        <v>0</v>
      </c>
      <c r="GD2" t="e">
        <f>AND('Current Index'!A40,"AAAAAH4717k=")</f>
        <v>#VALUE!</v>
      </c>
      <c r="GE2" t="e">
        <f>AND('Current Index'!#REF!,"AAAAAH4717o=")</f>
        <v>#REF!</v>
      </c>
      <c r="GF2" t="e">
        <f>AND('Current Index'!B40,"AAAAAH4717s=")</f>
        <v>#VALUE!</v>
      </c>
      <c r="GG2" t="e">
        <f>AND('Current Index'!C40,"AAAAAH4717w=")</f>
        <v>#VALUE!</v>
      </c>
      <c r="GH2" t="e">
        <f>AND('Current Index'!D40,"AAAAAH47170=")</f>
        <v>#VALUE!</v>
      </c>
      <c r="GI2" t="e">
        <f>AND('Current Index'!E40,"AAAAAH47174=")</f>
        <v>#VALUE!</v>
      </c>
      <c r="GJ2" t="e">
        <f>AND('Current Index'!F40,"AAAAAH47178=")</f>
        <v>#VALUE!</v>
      </c>
      <c r="GK2" t="e">
        <f>AND('Current Index'!G40,"AAAAAH4718A=")</f>
        <v>#VALUE!</v>
      </c>
      <c r="GL2" t="e">
        <f>AND('Current Index'!H40,"AAAAAH4718E=")</f>
        <v>#VALUE!</v>
      </c>
      <c r="GM2" t="e">
        <f>AND('Current Index'!I40,"AAAAAH4718I=")</f>
        <v>#VALUE!</v>
      </c>
      <c r="GN2">
        <f>IF('Current Index'!41:41,"AAAAAH4718M=",0)</f>
        <v>0</v>
      </c>
      <c r="GO2" t="e">
        <f>AND('Current Index'!A41,"AAAAAH4718Q=")</f>
        <v>#VALUE!</v>
      </c>
      <c r="GP2" t="e">
        <f>AND('Current Index'!#REF!,"AAAAAH4718U=")</f>
        <v>#REF!</v>
      </c>
      <c r="GQ2" t="e">
        <f>AND('Current Index'!B41,"AAAAAH4718Y=")</f>
        <v>#VALUE!</v>
      </c>
      <c r="GR2" t="e">
        <f>AND('Current Index'!C41,"AAAAAH4718c=")</f>
        <v>#VALUE!</v>
      </c>
      <c r="GS2" t="e">
        <f>AND('Current Index'!D41,"AAAAAH4718g=")</f>
        <v>#VALUE!</v>
      </c>
      <c r="GT2" t="e">
        <f>AND('Current Index'!E41,"AAAAAH4718k=")</f>
        <v>#VALUE!</v>
      </c>
      <c r="GU2" t="e">
        <f>AND('Current Index'!F41,"AAAAAH4718o=")</f>
        <v>#VALUE!</v>
      </c>
      <c r="GV2" t="e">
        <f>AND('Current Index'!G41,"AAAAAH4718s=")</f>
        <v>#VALUE!</v>
      </c>
      <c r="GW2" t="e">
        <f>AND('Current Index'!H41,"AAAAAH4718w=")</f>
        <v>#VALUE!</v>
      </c>
      <c r="GX2" t="e">
        <f>AND('Current Index'!I41,"AAAAAH47180=")</f>
        <v>#VALUE!</v>
      </c>
      <c r="GY2">
        <f>IF('Current Index'!42:42,"AAAAAH47184=",0)</f>
        <v>0</v>
      </c>
      <c r="GZ2" t="e">
        <f>AND('Current Index'!A42,"AAAAAH47188=")</f>
        <v>#VALUE!</v>
      </c>
      <c r="HA2" t="e">
        <f>AND('Current Index'!#REF!,"AAAAAH4719A=")</f>
        <v>#REF!</v>
      </c>
      <c r="HB2" t="e">
        <f>AND('Current Index'!B42,"AAAAAH4719E=")</f>
        <v>#VALUE!</v>
      </c>
      <c r="HC2" t="e">
        <f>AND('Current Index'!C42,"AAAAAH4719I=")</f>
        <v>#VALUE!</v>
      </c>
      <c r="HD2" t="e">
        <f>AND('Current Index'!D42,"AAAAAH4719M=")</f>
        <v>#VALUE!</v>
      </c>
      <c r="HE2" t="e">
        <f>AND('Current Index'!E42,"AAAAAH4719Q=")</f>
        <v>#VALUE!</v>
      </c>
      <c r="HF2" t="e">
        <f>AND('Current Index'!F42,"AAAAAH4719U=")</f>
        <v>#VALUE!</v>
      </c>
      <c r="HG2" t="e">
        <f>AND('Current Index'!G42,"AAAAAH4719Y=")</f>
        <v>#VALUE!</v>
      </c>
      <c r="HH2" t="e">
        <f>AND('Current Index'!H42,"AAAAAH4719c=")</f>
        <v>#VALUE!</v>
      </c>
      <c r="HI2" t="e">
        <f>AND('Current Index'!I42,"AAAAAH4719g=")</f>
        <v>#VALUE!</v>
      </c>
      <c r="HJ2">
        <f>IF('Current Index'!43:43,"AAAAAH4719k=",0)</f>
        <v>0</v>
      </c>
      <c r="HK2" t="e">
        <f>AND('Current Index'!A43,"AAAAAH4719o=")</f>
        <v>#VALUE!</v>
      </c>
      <c r="HL2" t="e">
        <f>AND('Current Index'!#REF!,"AAAAAH4719s=")</f>
        <v>#REF!</v>
      </c>
      <c r="HM2" t="e">
        <f>AND('Current Index'!B43,"AAAAAH4719w=")</f>
        <v>#VALUE!</v>
      </c>
      <c r="HN2" t="e">
        <f>AND('Current Index'!C43,"AAAAAH47190=")</f>
        <v>#VALUE!</v>
      </c>
      <c r="HO2" t="e">
        <f>AND('Current Index'!D43,"AAAAAH47194=")</f>
        <v>#VALUE!</v>
      </c>
      <c r="HP2" t="e">
        <f>AND('Current Index'!E43,"AAAAAH47198=")</f>
        <v>#VALUE!</v>
      </c>
      <c r="HQ2" t="e">
        <f>AND('Current Index'!F43,"AAAAAH471+A=")</f>
        <v>#VALUE!</v>
      </c>
      <c r="HR2" t="e">
        <f>AND('Current Index'!G43,"AAAAAH471+E=")</f>
        <v>#VALUE!</v>
      </c>
      <c r="HS2" t="e">
        <f>AND('Current Index'!H43,"AAAAAH471+I=")</f>
        <v>#VALUE!</v>
      </c>
      <c r="HT2" t="e">
        <f>AND('Current Index'!I43,"AAAAAH471+M=")</f>
        <v>#VALUE!</v>
      </c>
      <c r="HU2">
        <f>IF('Current Index'!44:44,"AAAAAH471+Q=",0)</f>
        <v>0</v>
      </c>
      <c r="HV2" t="e">
        <f>AND('Current Index'!A44,"AAAAAH471+U=")</f>
        <v>#VALUE!</v>
      </c>
      <c r="HW2" t="e">
        <f>AND('Current Index'!#REF!,"AAAAAH471+Y=")</f>
        <v>#REF!</v>
      </c>
      <c r="HX2" t="e">
        <f>AND('Current Index'!B44,"AAAAAH471+c=")</f>
        <v>#VALUE!</v>
      </c>
      <c r="HY2" t="e">
        <f>AND('Current Index'!C44,"AAAAAH471+g=")</f>
        <v>#VALUE!</v>
      </c>
      <c r="HZ2" t="e">
        <f>AND('Current Index'!D44,"AAAAAH471+k=")</f>
        <v>#VALUE!</v>
      </c>
      <c r="IA2" t="e">
        <f>AND('Current Index'!E44,"AAAAAH471+o=")</f>
        <v>#VALUE!</v>
      </c>
      <c r="IB2" t="e">
        <f>AND('Current Index'!F44,"AAAAAH471+s=")</f>
        <v>#VALUE!</v>
      </c>
      <c r="IC2" t="e">
        <f>AND('Current Index'!G44,"AAAAAH471+w=")</f>
        <v>#VALUE!</v>
      </c>
      <c r="ID2" t="e">
        <f>AND('Current Index'!H44,"AAAAAH471+0=")</f>
        <v>#VALUE!</v>
      </c>
      <c r="IE2" t="e">
        <f>AND('Current Index'!I44,"AAAAAH471+4=")</f>
        <v>#VALUE!</v>
      </c>
      <c r="IF2">
        <f>IF('Current Index'!45:45,"AAAAAH471+8=",0)</f>
        <v>0</v>
      </c>
      <c r="IG2" t="e">
        <f>AND('Current Index'!A45,"AAAAAH471/A=")</f>
        <v>#VALUE!</v>
      </c>
      <c r="IH2" t="e">
        <f>AND('Current Index'!#REF!,"AAAAAH471/E=")</f>
        <v>#REF!</v>
      </c>
      <c r="II2" t="e">
        <f>AND('Current Index'!B45,"AAAAAH471/I=")</f>
        <v>#VALUE!</v>
      </c>
      <c r="IJ2" t="e">
        <f>AND('Current Index'!C45,"AAAAAH471/M=")</f>
        <v>#VALUE!</v>
      </c>
      <c r="IK2" t="e">
        <f>AND('Current Index'!D45,"AAAAAH471/Q=")</f>
        <v>#VALUE!</v>
      </c>
      <c r="IL2" t="e">
        <f>AND('Current Index'!E45,"AAAAAH471/U=")</f>
        <v>#VALUE!</v>
      </c>
      <c r="IM2" t="e">
        <f>AND('Current Index'!F45,"AAAAAH471/Y=")</f>
        <v>#VALUE!</v>
      </c>
      <c r="IN2" t="e">
        <f>AND('Current Index'!G45,"AAAAAH471/c=")</f>
        <v>#VALUE!</v>
      </c>
      <c r="IO2" t="e">
        <f>AND('Current Index'!H45,"AAAAAH471/g=")</f>
        <v>#VALUE!</v>
      </c>
      <c r="IP2" t="e">
        <f>AND('Current Index'!I45,"AAAAAH471/k=")</f>
        <v>#VALUE!</v>
      </c>
      <c r="IQ2">
        <f>IF('Current Index'!46:46,"AAAAAH471/o=",0)</f>
        <v>0</v>
      </c>
      <c r="IR2" t="e">
        <f>AND('Current Index'!A46,"AAAAAH471/s=")</f>
        <v>#VALUE!</v>
      </c>
      <c r="IS2" t="e">
        <f>AND('Current Index'!#REF!,"AAAAAH471/w=")</f>
        <v>#REF!</v>
      </c>
      <c r="IT2" t="e">
        <f>AND('Current Index'!B46,"AAAAAH471/0=")</f>
        <v>#VALUE!</v>
      </c>
      <c r="IU2" t="e">
        <f>AND('Current Index'!C46,"AAAAAH471/4=")</f>
        <v>#VALUE!</v>
      </c>
      <c r="IV2" t="e">
        <f>AND('Current Index'!D46,"AAAAAH471/8=")</f>
        <v>#VALUE!</v>
      </c>
    </row>
    <row r="3" spans="1:256" x14ac:dyDescent="0.25">
      <c r="A3" t="e">
        <f>AND('Current Index'!E46,"AAAAAH9ufAA=")</f>
        <v>#VALUE!</v>
      </c>
      <c r="B3" t="e">
        <f>AND('Current Index'!F46,"AAAAAH9ufAE=")</f>
        <v>#VALUE!</v>
      </c>
      <c r="C3" t="e">
        <f>AND('Current Index'!G46,"AAAAAH9ufAI=")</f>
        <v>#VALUE!</v>
      </c>
      <c r="D3" t="e">
        <f>AND('Current Index'!H46,"AAAAAH9ufAM=")</f>
        <v>#VALUE!</v>
      </c>
      <c r="E3" t="e">
        <f>AND('Current Index'!I46,"AAAAAH9ufAQ=")</f>
        <v>#VALUE!</v>
      </c>
      <c r="F3" t="str">
        <f>IF('Current Index'!47:47,"AAAAAH9ufAU=",0)</f>
        <v>AAAAAH9ufAU=</v>
      </c>
      <c r="G3" t="e">
        <f>AND('Current Index'!A47,"AAAAAH9ufAY=")</f>
        <v>#VALUE!</v>
      </c>
      <c r="H3" t="e">
        <f>AND('Current Index'!#REF!,"AAAAAH9ufAc=")</f>
        <v>#REF!</v>
      </c>
      <c r="I3" t="e">
        <f>AND('Current Index'!B47,"AAAAAH9ufAg=")</f>
        <v>#VALUE!</v>
      </c>
      <c r="J3" t="e">
        <f>AND('Current Index'!C47,"AAAAAH9ufAk=")</f>
        <v>#VALUE!</v>
      </c>
      <c r="K3" t="e">
        <f>AND('Current Index'!D47,"AAAAAH9ufAo=")</f>
        <v>#VALUE!</v>
      </c>
      <c r="L3" t="e">
        <f>AND('Current Index'!E47,"AAAAAH9ufAs=")</f>
        <v>#VALUE!</v>
      </c>
      <c r="M3" t="e">
        <f>AND('Current Index'!F47,"AAAAAH9ufAw=")</f>
        <v>#VALUE!</v>
      </c>
      <c r="N3" t="e">
        <f>AND('Current Index'!G47,"AAAAAH9ufA0=")</f>
        <v>#VALUE!</v>
      </c>
      <c r="O3" t="e">
        <f>AND('Current Index'!H47,"AAAAAH9ufA4=")</f>
        <v>#VALUE!</v>
      </c>
      <c r="P3" t="e">
        <f>AND('Current Index'!I47,"AAAAAH9ufA8=")</f>
        <v>#VALUE!</v>
      </c>
      <c r="Q3">
        <f>IF('Current Index'!48:48,"AAAAAH9ufBA=",0)</f>
        <v>0</v>
      </c>
      <c r="R3" t="e">
        <f>AND('Current Index'!A48,"AAAAAH9ufBE=")</f>
        <v>#VALUE!</v>
      </c>
      <c r="S3" t="e">
        <f>AND('Current Index'!#REF!,"AAAAAH9ufBI=")</f>
        <v>#REF!</v>
      </c>
      <c r="T3" t="e">
        <f>AND('Current Index'!B48,"AAAAAH9ufBM=")</f>
        <v>#VALUE!</v>
      </c>
      <c r="U3" t="e">
        <f>AND('Current Index'!C48,"AAAAAH9ufBQ=")</f>
        <v>#VALUE!</v>
      </c>
      <c r="V3" t="e">
        <f>AND('Current Index'!D48,"AAAAAH9ufBU=")</f>
        <v>#VALUE!</v>
      </c>
      <c r="W3" t="e">
        <f>AND('Current Index'!E48,"AAAAAH9ufBY=")</f>
        <v>#VALUE!</v>
      </c>
      <c r="X3" t="e">
        <f>AND('Current Index'!F48,"AAAAAH9ufBc=")</f>
        <v>#VALUE!</v>
      </c>
      <c r="Y3" t="e">
        <f>AND('Current Index'!G48,"AAAAAH9ufBg=")</f>
        <v>#VALUE!</v>
      </c>
      <c r="Z3" t="e">
        <f>AND('Current Index'!H48,"AAAAAH9ufBk=")</f>
        <v>#VALUE!</v>
      </c>
      <c r="AA3" t="e">
        <f>AND('Current Index'!I48,"AAAAAH9ufBo=")</f>
        <v>#VALUE!</v>
      </c>
      <c r="AB3">
        <f>IF('Current Index'!49:49,"AAAAAH9ufBs=",0)</f>
        <v>0</v>
      </c>
      <c r="AC3" t="e">
        <f>AND('Current Index'!A49,"AAAAAH9ufBw=")</f>
        <v>#VALUE!</v>
      </c>
      <c r="AD3" t="e">
        <f>AND('Current Index'!#REF!,"AAAAAH9ufB0=")</f>
        <v>#REF!</v>
      </c>
      <c r="AE3" t="e">
        <f>AND('Current Index'!B49,"AAAAAH9ufB4=")</f>
        <v>#VALUE!</v>
      </c>
      <c r="AF3" t="e">
        <f>AND('Current Index'!C49,"AAAAAH9ufB8=")</f>
        <v>#VALUE!</v>
      </c>
      <c r="AG3" t="e">
        <f>AND('Current Index'!D49,"AAAAAH9ufCA=")</f>
        <v>#VALUE!</v>
      </c>
      <c r="AH3" t="e">
        <f>AND('Current Index'!E49,"AAAAAH9ufCE=")</f>
        <v>#VALUE!</v>
      </c>
      <c r="AI3" t="e">
        <f>AND('Current Index'!F49,"AAAAAH9ufCI=")</f>
        <v>#VALUE!</v>
      </c>
      <c r="AJ3" t="e">
        <f>AND('Current Index'!G49,"AAAAAH9ufCM=")</f>
        <v>#VALUE!</v>
      </c>
      <c r="AK3" t="e">
        <f>AND('Current Index'!H49,"AAAAAH9ufCQ=")</f>
        <v>#VALUE!</v>
      </c>
      <c r="AL3" t="e">
        <f>AND('Current Index'!I49,"AAAAAH9ufCU=")</f>
        <v>#VALUE!</v>
      </c>
      <c r="AM3">
        <f>IF('Current Index'!50:50,"AAAAAH9ufCY=",0)</f>
        <v>0</v>
      </c>
      <c r="AN3" t="e">
        <f>AND('Current Index'!A50,"AAAAAH9ufCc=")</f>
        <v>#VALUE!</v>
      </c>
      <c r="AO3" t="e">
        <f>AND('Current Index'!#REF!,"AAAAAH9ufCg=")</f>
        <v>#REF!</v>
      </c>
      <c r="AP3" t="e">
        <f>AND('Current Index'!B50,"AAAAAH9ufCk=")</f>
        <v>#VALUE!</v>
      </c>
      <c r="AQ3" t="e">
        <f>AND('Current Index'!C50,"AAAAAH9ufCo=")</f>
        <v>#VALUE!</v>
      </c>
      <c r="AR3" t="e">
        <f>AND('Current Index'!D50,"AAAAAH9ufCs=")</f>
        <v>#VALUE!</v>
      </c>
      <c r="AS3" t="e">
        <f>AND('Current Index'!E50,"AAAAAH9ufCw=")</f>
        <v>#VALUE!</v>
      </c>
      <c r="AT3" t="e">
        <f>AND('Current Index'!F50,"AAAAAH9ufC0=")</f>
        <v>#VALUE!</v>
      </c>
      <c r="AU3" t="e">
        <f>AND('Current Index'!G50,"AAAAAH9ufC4=")</f>
        <v>#VALUE!</v>
      </c>
      <c r="AV3" t="e">
        <f>AND('Current Index'!H50,"AAAAAH9ufC8=")</f>
        <v>#VALUE!</v>
      </c>
      <c r="AW3" t="e">
        <f>AND('Current Index'!I50,"AAAAAH9ufDA=")</f>
        <v>#VALUE!</v>
      </c>
      <c r="AX3" t="e">
        <f>IF('Current Index'!#REF!,"AAAAAH9ufDE=",0)</f>
        <v>#REF!</v>
      </c>
      <c r="AY3" t="e">
        <f>AND('Current Index'!#REF!,"AAAAAH9ufDI=")</f>
        <v>#REF!</v>
      </c>
      <c r="AZ3" t="e">
        <f>AND('Current Index'!#REF!,"AAAAAH9ufDM=")</f>
        <v>#REF!</v>
      </c>
      <c r="BA3" t="e">
        <f>AND('Current Index'!#REF!,"AAAAAH9ufDQ=")</f>
        <v>#REF!</v>
      </c>
      <c r="BB3" t="e">
        <f>AND('Current Index'!#REF!,"AAAAAH9ufDU=")</f>
        <v>#REF!</v>
      </c>
      <c r="BC3" t="e">
        <f>AND('Current Index'!#REF!,"AAAAAH9ufDY=")</f>
        <v>#REF!</v>
      </c>
      <c r="BD3" t="e">
        <f>AND('Current Index'!#REF!,"AAAAAH9ufDc=")</f>
        <v>#REF!</v>
      </c>
      <c r="BE3" t="e">
        <f>AND('Current Index'!#REF!,"AAAAAH9ufDg=")</f>
        <v>#REF!</v>
      </c>
      <c r="BF3" t="e">
        <f>AND('Current Index'!#REF!,"AAAAAH9ufDk=")</f>
        <v>#REF!</v>
      </c>
      <c r="BG3" t="e">
        <f>AND('Current Index'!#REF!,"AAAAAH9ufDo=")</f>
        <v>#REF!</v>
      </c>
      <c r="BH3" t="e">
        <f>AND('Current Index'!#REF!,"AAAAAH9ufDs=")</f>
        <v>#REF!</v>
      </c>
      <c r="BI3">
        <f>IF('Current Index'!51:51,"AAAAAH9ufDw=",0)</f>
        <v>0</v>
      </c>
      <c r="BJ3" t="e">
        <f>AND('Current Index'!A51,"AAAAAH9ufD0=")</f>
        <v>#VALUE!</v>
      </c>
      <c r="BK3" t="e">
        <f>AND('Current Index'!#REF!,"AAAAAH9ufD4=")</f>
        <v>#REF!</v>
      </c>
      <c r="BL3" t="e">
        <f>AND('Current Index'!B51,"AAAAAH9ufD8=")</f>
        <v>#VALUE!</v>
      </c>
      <c r="BM3" t="e">
        <f>AND('Current Index'!C51,"AAAAAH9ufEA=")</f>
        <v>#VALUE!</v>
      </c>
      <c r="BN3" t="e">
        <f>AND('Current Index'!D51,"AAAAAH9ufEE=")</f>
        <v>#VALUE!</v>
      </c>
      <c r="BO3" t="e">
        <f>AND('Current Index'!E51,"AAAAAH9ufEI=")</f>
        <v>#VALUE!</v>
      </c>
      <c r="BP3" t="e">
        <f>AND('Current Index'!F51,"AAAAAH9ufEM=")</f>
        <v>#VALUE!</v>
      </c>
      <c r="BQ3" t="e">
        <f>AND('Current Index'!G51,"AAAAAH9ufEQ=")</f>
        <v>#VALUE!</v>
      </c>
      <c r="BR3" t="e">
        <f>AND('Current Index'!H51,"AAAAAH9ufEU=")</f>
        <v>#VALUE!</v>
      </c>
      <c r="BS3" t="e">
        <f>AND('Current Index'!I51,"AAAAAH9ufEY=")</f>
        <v>#VALUE!</v>
      </c>
      <c r="BT3">
        <f>IF('Current Index'!52:52,"AAAAAH9ufEc=",0)</f>
        <v>0</v>
      </c>
      <c r="BU3" t="e">
        <f>AND('Current Index'!A52,"AAAAAH9ufEg=")</f>
        <v>#VALUE!</v>
      </c>
      <c r="BV3" t="e">
        <f>AND('Current Index'!#REF!,"AAAAAH9ufEk=")</f>
        <v>#REF!</v>
      </c>
      <c r="BW3" t="e">
        <f>AND('Current Index'!B52,"AAAAAH9ufEo=")</f>
        <v>#VALUE!</v>
      </c>
      <c r="BX3" t="e">
        <f>AND('Current Index'!C52,"AAAAAH9ufEs=")</f>
        <v>#VALUE!</v>
      </c>
      <c r="BY3" t="e">
        <f>AND('Current Index'!D52,"AAAAAH9ufEw=")</f>
        <v>#VALUE!</v>
      </c>
      <c r="BZ3" t="e">
        <f>AND('Current Index'!E52,"AAAAAH9ufE0=")</f>
        <v>#VALUE!</v>
      </c>
      <c r="CA3" t="e">
        <f>AND('Current Index'!F52,"AAAAAH9ufE4=")</f>
        <v>#VALUE!</v>
      </c>
      <c r="CB3" t="e">
        <f>AND('Current Index'!G52,"AAAAAH9ufE8=")</f>
        <v>#VALUE!</v>
      </c>
      <c r="CC3" t="e">
        <f>AND('Current Index'!H52,"AAAAAH9ufFA=")</f>
        <v>#VALUE!</v>
      </c>
      <c r="CD3" t="e">
        <f>AND('Current Index'!I52,"AAAAAH9ufFE=")</f>
        <v>#VALUE!</v>
      </c>
      <c r="CE3" t="e">
        <f>IF('Current Index'!#REF!,"AAAAAH9ufFI=",0)</f>
        <v>#REF!</v>
      </c>
      <c r="CF3" t="e">
        <f>AND('Current Index'!#REF!,"AAAAAH9ufFM=")</f>
        <v>#REF!</v>
      </c>
      <c r="CG3" t="e">
        <f>AND('Current Index'!#REF!,"AAAAAH9ufFQ=")</f>
        <v>#REF!</v>
      </c>
      <c r="CH3" t="e">
        <f>AND('Current Index'!#REF!,"AAAAAH9ufFU=")</f>
        <v>#REF!</v>
      </c>
      <c r="CI3" t="e">
        <f>AND('Current Index'!#REF!,"AAAAAH9ufFY=")</f>
        <v>#REF!</v>
      </c>
      <c r="CJ3" t="e">
        <f>AND('Current Index'!#REF!,"AAAAAH9ufFc=")</f>
        <v>#REF!</v>
      </c>
      <c r="CK3" t="e">
        <f>AND('Current Index'!#REF!,"AAAAAH9ufFg=")</f>
        <v>#REF!</v>
      </c>
      <c r="CL3" t="e">
        <f>AND('Current Index'!#REF!,"AAAAAH9ufFk=")</f>
        <v>#REF!</v>
      </c>
      <c r="CM3" t="e">
        <f>AND('Current Index'!#REF!,"AAAAAH9ufFo=")</f>
        <v>#REF!</v>
      </c>
      <c r="CN3" t="e">
        <f>AND('Current Index'!#REF!,"AAAAAH9ufFs=")</f>
        <v>#REF!</v>
      </c>
      <c r="CO3" t="e">
        <f>AND('Current Index'!#REF!,"AAAAAH9ufFw=")</f>
        <v>#REF!</v>
      </c>
      <c r="CP3">
        <f>IF('Current Index'!66:66,"AAAAAH9ufF0=",0)</f>
        <v>0</v>
      </c>
      <c r="CQ3" t="e">
        <f>AND('Current Index'!A66,"AAAAAH9ufF4=")</f>
        <v>#VALUE!</v>
      </c>
      <c r="CR3" t="e">
        <f>AND('Current Index'!#REF!,"AAAAAH9ufF8=")</f>
        <v>#REF!</v>
      </c>
      <c r="CS3" t="e">
        <f>AND('Current Index'!B66,"AAAAAH9ufGA=")</f>
        <v>#VALUE!</v>
      </c>
      <c r="CT3" t="e">
        <f>AND('Current Index'!C66,"AAAAAH9ufGE=")</f>
        <v>#VALUE!</v>
      </c>
      <c r="CU3" t="e">
        <f>AND('Current Index'!D66,"AAAAAH9ufGI=")</f>
        <v>#VALUE!</v>
      </c>
      <c r="CV3" t="e">
        <f>AND('Current Index'!E66,"AAAAAH9ufGM=")</f>
        <v>#VALUE!</v>
      </c>
      <c r="CW3" t="e">
        <f>AND('Current Index'!F66,"AAAAAH9ufGQ=")</f>
        <v>#VALUE!</v>
      </c>
      <c r="CX3" t="e">
        <f>AND('Current Index'!G66,"AAAAAH9ufGU=")</f>
        <v>#VALUE!</v>
      </c>
      <c r="CY3" t="e">
        <f>AND('Current Index'!H66,"AAAAAH9ufGY=")</f>
        <v>#VALUE!</v>
      </c>
      <c r="CZ3" t="e">
        <f>AND('Current Index'!I66,"AAAAAH9ufGc=")</f>
        <v>#VALUE!</v>
      </c>
      <c r="DA3">
        <f>IF('Current Index'!67:67,"AAAAAH9ufGg=",0)</f>
        <v>0</v>
      </c>
      <c r="DB3" t="e">
        <f>AND('Current Index'!A67,"AAAAAH9ufGk=")</f>
        <v>#VALUE!</v>
      </c>
      <c r="DC3" t="e">
        <f>AND('Current Index'!#REF!,"AAAAAH9ufGo=")</f>
        <v>#REF!</v>
      </c>
      <c r="DD3" t="e">
        <f>AND('Current Index'!B67,"AAAAAH9ufGs=")</f>
        <v>#VALUE!</v>
      </c>
      <c r="DE3" t="e">
        <f>AND('Current Index'!C67,"AAAAAH9ufGw=")</f>
        <v>#VALUE!</v>
      </c>
      <c r="DF3" t="e">
        <f>AND('Current Index'!D67,"AAAAAH9ufG0=")</f>
        <v>#VALUE!</v>
      </c>
      <c r="DG3" t="e">
        <f>AND('Current Index'!E67,"AAAAAH9ufG4=")</f>
        <v>#VALUE!</v>
      </c>
      <c r="DH3" t="e">
        <f>AND('Current Index'!F67,"AAAAAH9ufG8=")</f>
        <v>#VALUE!</v>
      </c>
      <c r="DI3" t="e">
        <f>AND('Current Index'!G67,"AAAAAH9ufHA=")</f>
        <v>#VALUE!</v>
      </c>
      <c r="DJ3" t="e">
        <f>AND('Current Index'!H67,"AAAAAH9ufHE=")</f>
        <v>#VALUE!</v>
      </c>
      <c r="DK3" t="e">
        <f>AND('Current Index'!I67,"AAAAAH9ufHI=")</f>
        <v>#VALUE!</v>
      </c>
      <c r="DL3">
        <f>IF('Current Index'!68:68,"AAAAAH9ufHM=",0)</f>
        <v>0</v>
      </c>
      <c r="DM3" t="e">
        <f>AND('Current Index'!A68,"AAAAAH9ufHQ=")</f>
        <v>#VALUE!</v>
      </c>
      <c r="DN3" t="e">
        <f>AND('Current Index'!#REF!,"AAAAAH9ufHU=")</f>
        <v>#REF!</v>
      </c>
      <c r="DO3" t="e">
        <f>AND('Current Index'!B68,"AAAAAH9ufHY=")</f>
        <v>#VALUE!</v>
      </c>
      <c r="DP3" t="e">
        <f>AND('Current Index'!C68,"AAAAAH9ufHc=")</f>
        <v>#VALUE!</v>
      </c>
      <c r="DQ3" t="e">
        <f>AND('Current Index'!D68,"AAAAAH9ufHg=")</f>
        <v>#VALUE!</v>
      </c>
      <c r="DR3" t="e">
        <f>AND('Current Index'!E68,"AAAAAH9ufHk=")</f>
        <v>#VALUE!</v>
      </c>
      <c r="DS3" t="e">
        <f>AND('Current Index'!F68,"AAAAAH9ufHo=")</f>
        <v>#VALUE!</v>
      </c>
      <c r="DT3" t="e">
        <f>AND('Current Index'!G68,"AAAAAH9ufHs=")</f>
        <v>#VALUE!</v>
      </c>
      <c r="DU3" t="e">
        <f>AND('Current Index'!H68,"AAAAAH9ufHw=")</f>
        <v>#VALUE!</v>
      </c>
      <c r="DV3" t="e">
        <f>AND('Current Index'!I68,"AAAAAH9ufH0=")</f>
        <v>#VALUE!</v>
      </c>
      <c r="DW3">
        <f>IF('Current Index'!69:69,"AAAAAH9ufH4=",0)</f>
        <v>0</v>
      </c>
      <c r="DX3" t="e">
        <f>AND('Current Index'!A69,"AAAAAH9ufH8=")</f>
        <v>#VALUE!</v>
      </c>
      <c r="DY3" t="e">
        <f>AND('Current Index'!#REF!,"AAAAAH9ufIA=")</f>
        <v>#REF!</v>
      </c>
      <c r="DZ3" t="e">
        <f>AND('Current Index'!B69,"AAAAAH9ufIE=")</f>
        <v>#VALUE!</v>
      </c>
      <c r="EA3" t="e">
        <f>AND('Current Index'!C69,"AAAAAH9ufII=")</f>
        <v>#VALUE!</v>
      </c>
      <c r="EB3" t="e">
        <f>AND('Current Index'!D69,"AAAAAH9ufIM=")</f>
        <v>#VALUE!</v>
      </c>
      <c r="EC3" t="e">
        <f>AND('Current Index'!E69,"AAAAAH9ufIQ=")</f>
        <v>#VALUE!</v>
      </c>
      <c r="ED3" t="e">
        <f>AND('Current Index'!F69,"AAAAAH9ufIU=")</f>
        <v>#VALUE!</v>
      </c>
      <c r="EE3" t="e">
        <f>AND('Current Index'!G69,"AAAAAH9ufIY=")</f>
        <v>#VALUE!</v>
      </c>
      <c r="EF3" t="e">
        <f>AND('Current Index'!H69,"AAAAAH9ufIc=")</f>
        <v>#VALUE!</v>
      </c>
      <c r="EG3" t="e">
        <f>AND('Current Index'!I69,"AAAAAH9ufIg=")</f>
        <v>#VALUE!</v>
      </c>
      <c r="EH3">
        <f>IF('Current Index'!70:70,"AAAAAH9ufIk=",0)</f>
        <v>0</v>
      </c>
      <c r="EI3" t="e">
        <f>AND('Current Index'!A70,"AAAAAH9ufIo=")</f>
        <v>#VALUE!</v>
      </c>
      <c r="EJ3" t="e">
        <f>AND('Current Index'!#REF!,"AAAAAH9ufIs=")</f>
        <v>#REF!</v>
      </c>
      <c r="EK3" t="e">
        <f>AND('Current Index'!B70,"AAAAAH9ufIw=")</f>
        <v>#VALUE!</v>
      </c>
      <c r="EL3" t="e">
        <f>AND('Current Index'!C70,"AAAAAH9ufI0=")</f>
        <v>#VALUE!</v>
      </c>
      <c r="EM3" t="e">
        <f>AND('Current Index'!D70,"AAAAAH9ufI4=")</f>
        <v>#VALUE!</v>
      </c>
      <c r="EN3" t="e">
        <f>AND('Current Index'!E70,"AAAAAH9ufI8=")</f>
        <v>#VALUE!</v>
      </c>
      <c r="EO3" t="e">
        <f>AND('Current Index'!F70,"AAAAAH9ufJA=")</f>
        <v>#VALUE!</v>
      </c>
      <c r="EP3" t="e">
        <f>AND('Current Index'!G70,"AAAAAH9ufJE=")</f>
        <v>#VALUE!</v>
      </c>
      <c r="EQ3" t="e">
        <f>AND('Current Index'!H70,"AAAAAH9ufJI=")</f>
        <v>#VALUE!</v>
      </c>
      <c r="ER3" t="e">
        <f>AND('Current Index'!I70,"AAAAAH9ufJM=")</f>
        <v>#VALUE!</v>
      </c>
      <c r="ES3">
        <f>IF('Current Index'!71:71,"AAAAAH9ufJQ=",0)</f>
        <v>0</v>
      </c>
      <c r="ET3" t="e">
        <f>AND('Current Index'!A71,"AAAAAH9ufJU=")</f>
        <v>#VALUE!</v>
      </c>
      <c r="EU3" t="e">
        <f>AND('Current Index'!#REF!,"AAAAAH9ufJY=")</f>
        <v>#REF!</v>
      </c>
      <c r="EV3" t="e">
        <f>AND('Current Index'!B71,"AAAAAH9ufJc=")</f>
        <v>#VALUE!</v>
      </c>
      <c r="EW3" t="e">
        <f>AND('Current Index'!C71,"AAAAAH9ufJg=")</f>
        <v>#VALUE!</v>
      </c>
      <c r="EX3" t="e">
        <f>AND('Current Index'!D71,"AAAAAH9ufJk=")</f>
        <v>#VALUE!</v>
      </c>
      <c r="EY3" t="e">
        <f>AND('Current Index'!E71,"AAAAAH9ufJo=")</f>
        <v>#VALUE!</v>
      </c>
      <c r="EZ3" t="e">
        <f>AND('Current Index'!F71,"AAAAAH9ufJs=")</f>
        <v>#VALUE!</v>
      </c>
      <c r="FA3" t="e">
        <f>AND('Current Index'!G71,"AAAAAH9ufJw=")</f>
        <v>#VALUE!</v>
      </c>
      <c r="FB3" t="e">
        <f>AND('Current Index'!H71,"AAAAAH9ufJ0=")</f>
        <v>#VALUE!</v>
      </c>
      <c r="FC3" t="e">
        <f>AND('Current Index'!I71,"AAAAAH9ufJ4=")</f>
        <v>#VALUE!</v>
      </c>
      <c r="FD3">
        <f>IF('Current Index'!72:72,"AAAAAH9ufJ8=",0)</f>
        <v>0</v>
      </c>
      <c r="FE3" t="e">
        <f>AND('Current Index'!A72,"AAAAAH9ufKA=")</f>
        <v>#VALUE!</v>
      </c>
      <c r="FF3" t="e">
        <f>AND('Current Index'!#REF!,"AAAAAH9ufKE=")</f>
        <v>#REF!</v>
      </c>
      <c r="FG3" t="e">
        <f>AND('Current Index'!B72,"AAAAAH9ufKI=")</f>
        <v>#VALUE!</v>
      </c>
      <c r="FH3" t="e">
        <f>AND('Current Index'!C72,"AAAAAH9ufKM=")</f>
        <v>#VALUE!</v>
      </c>
      <c r="FI3" t="e">
        <f>AND('Current Index'!D72,"AAAAAH9ufKQ=")</f>
        <v>#VALUE!</v>
      </c>
      <c r="FJ3" t="e">
        <f>AND('Current Index'!E72,"AAAAAH9ufKU=")</f>
        <v>#VALUE!</v>
      </c>
      <c r="FK3" t="e">
        <f>AND('Current Index'!F72,"AAAAAH9ufKY=")</f>
        <v>#VALUE!</v>
      </c>
      <c r="FL3" t="e">
        <f>AND('Current Index'!G72,"AAAAAH9ufKc=")</f>
        <v>#VALUE!</v>
      </c>
      <c r="FM3" t="e">
        <f>AND('Current Index'!H72,"AAAAAH9ufKg=")</f>
        <v>#VALUE!</v>
      </c>
      <c r="FN3" t="e">
        <f>AND('Current Index'!I72,"AAAAAH9ufKk=")</f>
        <v>#VALUE!</v>
      </c>
      <c r="FO3">
        <f>IF('Current Index'!73:73,"AAAAAH9ufKo=",0)</f>
        <v>0</v>
      </c>
      <c r="FP3" t="e">
        <f>AND('Current Index'!A73,"AAAAAH9ufKs=")</f>
        <v>#VALUE!</v>
      </c>
      <c r="FQ3" t="e">
        <f>AND('Current Index'!#REF!,"AAAAAH9ufKw=")</f>
        <v>#REF!</v>
      </c>
      <c r="FR3" t="e">
        <f>AND('Current Index'!B73,"AAAAAH9ufK0=")</f>
        <v>#VALUE!</v>
      </c>
      <c r="FS3" t="e">
        <f>AND('Current Index'!C73,"AAAAAH9ufK4=")</f>
        <v>#VALUE!</v>
      </c>
      <c r="FT3" t="e">
        <f>AND('Current Index'!D73,"AAAAAH9ufK8=")</f>
        <v>#VALUE!</v>
      </c>
      <c r="FU3" t="e">
        <f>AND('Current Index'!E73,"AAAAAH9ufLA=")</f>
        <v>#VALUE!</v>
      </c>
      <c r="FV3" t="e">
        <f>AND('Current Index'!F73,"AAAAAH9ufLE=")</f>
        <v>#VALUE!</v>
      </c>
      <c r="FW3" t="e">
        <f>AND('Current Index'!G73,"AAAAAH9ufLI=")</f>
        <v>#VALUE!</v>
      </c>
      <c r="FX3" t="e">
        <f>AND('Current Index'!H73,"AAAAAH9ufLM=")</f>
        <v>#VALUE!</v>
      </c>
      <c r="FY3" t="e">
        <f>AND('Current Index'!I73,"AAAAAH9ufLQ=")</f>
        <v>#VALUE!</v>
      </c>
      <c r="FZ3">
        <f>IF('Current Index'!74:74,"AAAAAH9ufLU=",0)</f>
        <v>0</v>
      </c>
      <c r="GA3" t="e">
        <f>AND('Current Index'!A74,"AAAAAH9ufLY=")</f>
        <v>#VALUE!</v>
      </c>
      <c r="GB3" t="e">
        <f>AND('Current Index'!#REF!,"AAAAAH9ufLc=")</f>
        <v>#REF!</v>
      </c>
      <c r="GC3" t="e">
        <f>AND('Current Index'!B74,"AAAAAH9ufLg=")</f>
        <v>#VALUE!</v>
      </c>
      <c r="GD3" t="e">
        <f>AND('Current Index'!C74,"AAAAAH9ufLk=")</f>
        <v>#VALUE!</v>
      </c>
      <c r="GE3" t="e">
        <f>AND('Current Index'!D74,"AAAAAH9ufLo=")</f>
        <v>#VALUE!</v>
      </c>
      <c r="GF3" t="e">
        <f>AND('Current Index'!E74,"AAAAAH9ufLs=")</f>
        <v>#VALUE!</v>
      </c>
      <c r="GG3" t="e">
        <f>AND('Current Index'!F74,"AAAAAH9ufLw=")</f>
        <v>#VALUE!</v>
      </c>
      <c r="GH3" t="e">
        <f>AND('Current Index'!G74,"AAAAAH9ufL0=")</f>
        <v>#VALUE!</v>
      </c>
      <c r="GI3" t="e">
        <f>AND('Current Index'!H74,"AAAAAH9ufL4=")</f>
        <v>#VALUE!</v>
      </c>
      <c r="GJ3" t="e">
        <f>AND('Current Index'!I74,"AAAAAH9ufL8=")</f>
        <v>#VALUE!</v>
      </c>
      <c r="GK3">
        <f>IF('Current Index'!75:75,"AAAAAH9ufMA=",0)</f>
        <v>0</v>
      </c>
      <c r="GL3" t="e">
        <f>AND('Current Index'!A75,"AAAAAH9ufME=")</f>
        <v>#VALUE!</v>
      </c>
      <c r="GM3" t="e">
        <f>AND('Current Index'!#REF!,"AAAAAH9ufMI=")</f>
        <v>#REF!</v>
      </c>
      <c r="GN3" t="e">
        <f>AND('Current Index'!B75,"AAAAAH9ufMM=")</f>
        <v>#VALUE!</v>
      </c>
      <c r="GO3" t="e">
        <f>AND('Current Index'!C75,"AAAAAH9ufMQ=")</f>
        <v>#VALUE!</v>
      </c>
      <c r="GP3" t="e">
        <f>AND('Current Index'!D75,"AAAAAH9ufMU=")</f>
        <v>#VALUE!</v>
      </c>
      <c r="GQ3" t="e">
        <f>AND('Current Index'!E75,"AAAAAH9ufMY=")</f>
        <v>#VALUE!</v>
      </c>
      <c r="GR3" t="e">
        <f>AND('Current Index'!F75,"AAAAAH9ufMc=")</f>
        <v>#VALUE!</v>
      </c>
      <c r="GS3" t="e">
        <f>AND('Current Index'!G75,"AAAAAH9ufMg=")</f>
        <v>#VALUE!</v>
      </c>
      <c r="GT3" t="e">
        <f>AND('Current Index'!H75,"AAAAAH9ufMk=")</f>
        <v>#VALUE!</v>
      </c>
      <c r="GU3" t="e">
        <f>AND('Current Index'!I75,"AAAAAH9ufMo=")</f>
        <v>#VALUE!</v>
      </c>
      <c r="GV3" t="e">
        <f>IF('Current Index'!#REF!,"AAAAAH9ufMs=",0)</f>
        <v>#REF!</v>
      </c>
      <c r="GW3" t="e">
        <f>AND('Current Index'!#REF!,"AAAAAH9ufMw=")</f>
        <v>#REF!</v>
      </c>
      <c r="GX3" t="e">
        <f>AND('Current Index'!#REF!,"AAAAAH9ufM0=")</f>
        <v>#REF!</v>
      </c>
      <c r="GY3" t="e">
        <f>AND('Current Index'!#REF!,"AAAAAH9ufM4=")</f>
        <v>#REF!</v>
      </c>
      <c r="GZ3" t="e">
        <f>AND('Current Index'!#REF!,"AAAAAH9ufM8=")</f>
        <v>#REF!</v>
      </c>
      <c r="HA3" t="e">
        <f>AND('Current Index'!#REF!,"AAAAAH9ufNA=")</f>
        <v>#REF!</v>
      </c>
      <c r="HB3" t="e">
        <f>AND('Current Index'!#REF!,"AAAAAH9ufNE=")</f>
        <v>#REF!</v>
      </c>
      <c r="HC3" t="e">
        <f>AND('Current Index'!#REF!,"AAAAAH9ufNI=")</f>
        <v>#REF!</v>
      </c>
      <c r="HD3" t="e">
        <f>AND('Current Index'!#REF!,"AAAAAH9ufNM=")</f>
        <v>#REF!</v>
      </c>
      <c r="HE3" t="e">
        <f>AND('Current Index'!#REF!,"AAAAAH9ufNQ=")</f>
        <v>#REF!</v>
      </c>
      <c r="HF3" t="e">
        <f>AND('Current Index'!#REF!,"AAAAAH9ufNU=")</f>
        <v>#REF!</v>
      </c>
      <c r="HG3">
        <f>IF('Current Index'!76:76,"AAAAAH9ufNY=",0)</f>
        <v>0</v>
      </c>
      <c r="HH3" t="e">
        <f>AND('Current Index'!A76,"AAAAAH9ufNc=")</f>
        <v>#VALUE!</v>
      </c>
      <c r="HI3" t="e">
        <f>AND('Current Index'!#REF!,"AAAAAH9ufNg=")</f>
        <v>#REF!</v>
      </c>
      <c r="HJ3" t="e">
        <f>AND('Current Index'!B76,"AAAAAH9ufNk=")</f>
        <v>#VALUE!</v>
      </c>
      <c r="HK3" t="e">
        <f>AND('Current Index'!C76,"AAAAAH9ufNo=")</f>
        <v>#VALUE!</v>
      </c>
      <c r="HL3" t="e">
        <f>AND('Current Index'!D76,"AAAAAH9ufNs=")</f>
        <v>#VALUE!</v>
      </c>
      <c r="HM3" t="e">
        <f>AND('Current Index'!E76,"AAAAAH9ufNw=")</f>
        <v>#VALUE!</v>
      </c>
      <c r="HN3" t="e">
        <f>AND('Current Index'!F76,"AAAAAH9ufN0=")</f>
        <v>#VALUE!</v>
      </c>
      <c r="HO3" t="e">
        <f>AND('Current Index'!G76,"AAAAAH9ufN4=")</f>
        <v>#VALUE!</v>
      </c>
      <c r="HP3" t="e">
        <f>AND('Current Index'!H76,"AAAAAH9ufN8=")</f>
        <v>#VALUE!</v>
      </c>
      <c r="HQ3" t="e">
        <f>AND('Current Index'!I76,"AAAAAH9ufOA=")</f>
        <v>#VALUE!</v>
      </c>
      <c r="HR3">
        <f>IF('Current Index'!77:77,"AAAAAH9ufOE=",0)</f>
        <v>0</v>
      </c>
      <c r="HS3" t="e">
        <f>AND('Current Index'!A77,"AAAAAH9ufOI=")</f>
        <v>#VALUE!</v>
      </c>
      <c r="HT3" t="e">
        <f>AND('Current Index'!#REF!,"AAAAAH9ufOM=")</f>
        <v>#REF!</v>
      </c>
      <c r="HU3" t="e">
        <f>AND('Current Index'!B77,"AAAAAH9ufOQ=")</f>
        <v>#VALUE!</v>
      </c>
      <c r="HV3" t="e">
        <f>AND('Current Index'!C77,"AAAAAH9ufOU=")</f>
        <v>#VALUE!</v>
      </c>
      <c r="HW3" t="e">
        <f>AND('Current Index'!D77,"AAAAAH9ufOY=")</f>
        <v>#VALUE!</v>
      </c>
      <c r="HX3" t="e">
        <f>AND('Current Index'!E77,"AAAAAH9ufOc=")</f>
        <v>#VALUE!</v>
      </c>
      <c r="HY3" t="e">
        <f>AND('Current Index'!F77,"AAAAAH9ufOg=")</f>
        <v>#VALUE!</v>
      </c>
      <c r="HZ3" t="e">
        <f>AND('Current Index'!G77,"AAAAAH9ufOk=")</f>
        <v>#VALUE!</v>
      </c>
      <c r="IA3" t="e">
        <f>AND('Current Index'!H77,"AAAAAH9ufOo=")</f>
        <v>#VALUE!</v>
      </c>
      <c r="IB3" t="e">
        <f>AND('Current Index'!I77,"AAAAAH9ufOs=")</f>
        <v>#VALUE!</v>
      </c>
      <c r="IC3">
        <f>IF('Current Index'!81:81,"AAAAAH9ufOw=",0)</f>
        <v>0</v>
      </c>
      <c r="ID3" t="e">
        <f>AND('Current Index'!A81,"AAAAAH9ufO0=")</f>
        <v>#VALUE!</v>
      </c>
      <c r="IE3" t="e">
        <f>AND('Current Index'!#REF!,"AAAAAH9ufO4=")</f>
        <v>#REF!</v>
      </c>
      <c r="IF3" t="e">
        <f>AND('Current Index'!B81,"AAAAAH9ufO8=")</f>
        <v>#VALUE!</v>
      </c>
      <c r="IG3" t="e">
        <f>AND('Current Index'!C81,"AAAAAH9ufPA=")</f>
        <v>#VALUE!</v>
      </c>
      <c r="IH3" t="e">
        <f>AND('Current Index'!D81,"AAAAAH9ufPE=")</f>
        <v>#VALUE!</v>
      </c>
      <c r="II3" t="e">
        <f>AND('Current Index'!E81,"AAAAAH9ufPI=")</f>
        <v>#VALUE!</v>
      </c>
      <c r="IJ3" t="e">
        <f>AND('Current Index'!F81,"AAAAAH9ufPM=")</f>
        <v>#VALUE!</v>
      </c>
      <c r="IK3" t="e">
        <f>AND('Current Index'!G81,"AAAAAH9ufPQ=")</f>
        <v>#VALUE!</v>
      </c>
      <c r="IL3" t="e">
        <f>AND('Current Index'!H81,"AAAAAH9ufPU=")</f>
        <v>#VALUE!</v>
      </c>
      <c r="IM3" t="e">
        <f>AND('Current Index'!I81,"AAAAAH9ufPY=")</f>
        <v>#VALUE!</v>
      </c>
      <c r="IN3">
        <f>IF('Current Index'!82:82,"AAAAAH9ufPc=",0)</f>
        <v>0</v>
      </c>
      <c r="IO3" t="e">
        <f>AND('Current Index'!A82,"AAAAAH9ufPg=")</f>
        <v>#VALUE!</v>
      </c>
      <c r="IP3" t="e">
        <f>AND('Current Index'!#REF!,"AAAAAH9ufPk=")</f>
        <v>#REF!</v>
      </c>
      <c r="IQ3" t="e">
        <f>AND('Current Index'!B82,"AAAAAH9ufPo=")</f>
        <v>#VALUE!</v>
      </c>
      <c r="IR3" t="e">
        <f>AND('Current Index'!C82,"AAAAAH9ufPs=")</f>
        <v>#VALUE!</v>
      </c>
      <c r="IS3" t="e">
        <f>AND('Current Index'!D82,"AAAAAH9ufPw=")</f>
        <v>#VALUE!</v>
      </c>
      <c r="IT3" t="e">
        <f>AND('Current Index'!E82,"AAAAAH9ufP0=")</f>
        <v>#VALUE!</v>
      </c>
      <c r="IU3" t="e">
        <f>AND('Current Index'!F82,"AAAAAH9ufP4=")</f>
        <v>#VALUE!</v>
      </c>
      <c r="IV3" t="e">
        <f>AND('Current Index'!G82,"AAAAAH9ufP8=")</f>
        <v>#VALUE!</v>
      </c>
    </row>
    <row r="4" spans="1:256" x14ac:dyDescent="0.25">
      <c r="A4" t="e">
        <f>AND('Current Index'!H82,"AAAAAG/rtgA=")</f>
        <v>#VALUE!</v>
      </c>
      <c r="B4" t="e">
        <f>AND('Current Index'!I82,"AAAAAG/rtgE=")</f>
        <v>#VALUE!</v>
      </c>
      <c r="C4" t="e">
        <f>IF('Current Index'!84:84,"AAAAAG/rtgI=",0)</f>
        <v>#VALUE!</v>
      </c>
      <c r="D4" t="e">
        <f>AND('Current Index'!A84,"AAAAAG/rtgM=")</f>
        <v>#VALUE!</v>
      </c>
      <c r="E4" t="e">
        <f>AND('Current Index'!#REF!,"AAAAAG/rtgQ=")</f>
        <v>#REF!</v>
      </c>
      <c r="F4" t="e">
        <f>AND('Current Index'!B84,"AAAAAG/rtgU=")</f>
        <v>#VALUE!</v>
      </c>
      <c r="G4" t="e">
        <f>AND('Current Index'!C84,"AAAAAG/rtgY=")</f>
        <v>#VALUE!</v>
      </c>
      <c r="H4" t="e">
        <f>AND('Current Index'!D84,"AAAAAG/rtgc=")</f>
        <v>#VALUE!</v>
      </c>
      <c r="I4" t="e">
        <f>AND('Current Index'!E84,"AAAAAG/rtgg=")</f>
        <v>#VALUE!</v>
      </c>
      <c r="J4" t="e">
        <f>AND('Current Index'!F84,"AAAAAG/rtgk=")</f>
        <v>#VALUE!</v>
      </c>
      <c r="K4" t="e">
        <f>AND('Current Index'!G84,"AAAAAG/rtgo=")</f>
        <v>#VALUE!</v>
      </c>
      <c r="L4" t="e">
        <f>AND('Current Index'!H84,"AAAAAG/rtgs=")</f>
        <v>#VALUE!</v>
      </c>
      <c r="M4" t="e">
        <f>AND('Current Index'!I84,"AAAAAG/rtgw=")</f>
        <v>#VALUE!</v>
      </c>
      <c r="N4">
        <f>IF('Current Index'!88:88,"AAAAAG/rtg0=",0)</f>
        <v>0</v>
      </c>
      <c r="O4" t="e">
        <f>AND('Current Index'!A88,"AAAAAG/rtg4=")</f>
        <v>#VALUE!</v>
      </c>
      <c r="P4" t="e">
        <f>AND('Current Index'!#REF!,"AAAAAG/rtg8=")</f>
        <v>#REF!</v>
      </c>
      <c r="Q4" t="e">
        <f>AND('Current Index'!B88,"AAAAAG/rthA=")</f>
        <v>#VALUE!</v>
      </c>
      <c r="R4" t="e">
        <f>AND('Current Index'!C88,"AAAAAG/rthE=")</f>
        <v>#VALUE!</v>
      </c>
      <c r="S4" t="e">
        <f>AND('Current Index'!D88,"AAAAAG/rthI=")</f>
        <v>#VALUE!</v>
      </c>
      <c r="T4" t="e">
        <f>AND('Current Index'!E88,"AAAAAG/rthM=")</f>
        <v>#VALUE!</v>
      </c>
      <c r="U4" t="e">
        <f>AND('Current Index'!F88,"AAAAAG/rthQ=")</f>
        <v>#VALUE!</v>
      </c>
      <c r="V4" t="e">
        <f>AND('Current Index'!G88,"AAAAAG/rthU=")</f>
        <v>#VALUE!</v>
      </c>
      <c r="W4" t="e">
        <f>AND('Current Index'!H88,"AAAAAG/rthY=")</f>
        <v>#VALUE!</v>
      </c>
      <c r="X4" t="e">
        <f>AND('Current Index'!I88,"AAAAAG/rthc=")</f>
        <v>#VALUE!</v>
      </c>
      <c r="Y4">
        <f>IF('Current Index'!89:89,"AAAAAG/rthg=",0)</f>
        <v>0</v>
      </c>
      <c r="Z4" t="e">
        <f>AND('Current Index'!A89,"AAAAAG/rthk=")</f>
        <v>#VALUE!</v>
      </c>
      <c r="AA4" t="e">
        <f>AND('Current Index'!#REF!,"AAAAAG/rtho=")</f>
        <v>#REF!</v>
      </c>
      <c r="AB4" t="e">
        <f>AND('Current Index'!B89,"AAAAAG/rths=")</f>
        <v>#VALUE!</v>
      </c>
      <c r="AC4" t="e">
        <f>AND('Current Index'!C89,"AAAAAG/rthw=")</f>
        <v>#VALUE!</v>
      </c>
      <c r="AD4" t="e">
        <f>AND('Current Index'!D89,"AAAAAG/rth0=")</f>
        <v>#VALUE!</v>
      </c>
      <c r="AE4" t="e">
        <f>AND('Current Index'!E89,"AAAAAG/rth4=")</f>
        <v>#VALUE!</v>
      </c>
      <c r="AF4" t="e">
        <f>AND('Current Index'!F89,"AAAAAG/rth8=")</f>
        <v>#VALUE!</v>
      </c>
      <c r="AG4" t="e">
        <f>AND('Current Index'!G89,"AAAAAG/rtiA=")</f>
        <v>#VALUE!</v>
      </c>
      <c r="AH4" t="e">
        <f>AND('Current Index'!H89,"AAAAAG/rtiE=")</f>
        <v>#VALUE!</v>
      </c>
      <c r="AI4" t="e">
        <f>AND('Current Index'!I89,"AAAAAG/rtiI=")</f>
        <v>#VALUE!</v>
      </c>
      <c r="AJ4">
        <f>IF('Current Index'!90:90,"AAAAAG/rtiM=",0)</f>
        <v>0</v>
      </c>
      <c r="AK4" t="e">
        <f>AND('Current Index'!A90,"AAAAAG/rtiQ=")</f>
        <v>#VALUE!</v>
      </c>
      <c r="AL4" t="e">
        <f>AND('Current Index'!#REF!,"AAAAAG/rtiU=")</f>
        <v>#REF!</v>
      </c>
      <c r="AM4" t="e">
        <f>AND('Current Index'!B90,"AAAAAG/rtiY=")</f>
        <v>#VALUE!</v>
      </c>
      <c r="AN4" t="e">
        <f>AND('Current Index'!C90,"AAAAAG/rtic=")</f>
        <v>#VALUE!</v>
      </c>
      <c r="AO4" t="e">
        <f>AND('Current Index'!D90,"AAAAAG/rtig=")</f>
        <v>#VALUE!</v>
      </c>
      <c r="AP4" t="e">
        <f>AND('Current Index'!E90,"AAAAAG/rtik=")</f>
        <v>#VALUE!</v>
      </c>
      <c r="AQ4" t="e">
        <f>AND('Current Index'!F90,"AAAAAG/rtio=")</f>
        <v>#VALUE!</v>
      </c>
      <c r="AR4" t="e">
        <f>AND('Current Index'!G90,"AAAAAG/rtis=")</f>
        <v>#VALUE!</v>
      </c>
      <c r="AS4" t="e">
        <f>AND('Current Index'!H90,"AAAAAG/rtiw=")</f>
        <v>#VALUE!</v>
      </c>
      <c r="AT4" t="e">
        <f>AND('Current Index'!I90,"AAAAAG/rti0=")</f>
        <v>#VALUE!</v>
      </c>
      <c r="AU4">
        <f>IF('Current Index'!91:91,"AAAAAG/rti4=",0)</f>
        <v>0</v>
      </c>
      <c r="AV4" t="e">
        <f>AND('Current Index'!A91,"AAAAAG/rti8=")</f>
        <v>#VALUE!</v>
      </c>
      <c r="AW4" t="e">
        <f>AND('Current Index'!#REF!,"AAAAAG/rtjA=")</f>
        <v>#REF!</v>
      </c>
      <c r="AX4" t="e">
        <f>AND('Current Index'!B91,"AAAAAG/rtjE=")</f>
        <v>#VALUE!</v>
      </c>
      <c r="AY4" t="e">
        <f>AND('Current Index'!C91,"AAAAAG/rtjI=")</f>
        <v>#VALUE!</v>
      </c>
      <c r="AZ4" t="e">
        <f>AND('Current Index'!D91,"AAAAAG/rtjM=")</f>
        <v>#VALUE!</v>
      </c>
      <c r="BA4" t="e">
        <f>AND('Current Index'!E91,"AAAAAG/rtjQ=")</f>
        <v>#VALUE!</v>
      </c>
      <c r="BB4" t="e">
        <f>AND('Current Index'!F91,"AAAAAG/rtjU=")</f>
        <v>#VALUE!</v>
      </c>
      <c r="BC4" t="e">
        <f>AND('Current Index'!G91,"AAAAAG/rtjY=")</f>
        <v>#VALUE!</v>
      </c>
      <c r="BD4" t="e">
        <f>AND('Current Index'!H91,"AAAAAG/rtjc=")</f>
        <v>#VALUE!</v>
      </c>
      <c r="BE4" t="e">
        <f>AND('Current Index'!I91,"AAAAAG/rtjg=")</f>
        <v>#VALUE!</v>
      </c>
      <c r="BF4">
        <f>IF('Current Index'!92:92,"AAAAAG/rtjk=",0)</f>
        <v>0</v>
      </c>
      <c r="BG4" t="e">
        <f>AND('Current Index'!A92,"AAAAAG/rtjo=")</f>
        <v>#VALUE!</v>
      </c>
      <c r="BH4" t="e">
        <f>AND('Current Index'!#REF!,"AAAAAG/rtjs=")</f>
        <v>#REF!</v>
      </c>
      <c r="BI4" t="e">
        <f>AND('Current Index'!B92,"AAAAAG/rtjw=")</f>
        <v>#VALUE!</v>
      </c>
      <c r="BJ4" t="e">
        <f>AND('Current Index'!C92,"AAAAAG/rtj0=")</f>
        <v>#VALUE!</v>
      </c>
      <c r="BK4" t="e">
        <f>AND('Current Index'!D92,"AAAAAG/rtj4=")</f>
        <v>#VALUE!</v>
      </c>
      <c r="BL4" t="e">
        <f>AND('Current Index'!E92,"AAAAAG/rtj8=")</f>
        <v>#VALUE!</v>
      </c>
      <c r="BM4" t="e">
        <f>AND('Current Index'!F92,"AAAAAG/rtkA=")</f>
        <v>#VALUE!</v>
      </c>
      <c r="BN4" t="e">
        <f>AND('Current Index'!G92,"AAAAAG/rtkE=")</f>
        <v>#VALUE!</v>
      </c>
      <c r="BO4" t="e">
        <f>AND('Current Index'!H92,"AAAAAG/rtkI=")</f>
        <v>#VALUE!</v>
      </c>
      <c r="BP4" t="e">
        <f>AND('Current Index'!I92,"AAAAAG/rtkM=")</f>
        <v>#VALUE!</v>
      </c>
      <c r="BQ4">
        <f>IF('Current Index'!93:93,"AAAAAG/rtkQ=",0)</f>
        <v>0</v>
      </c>
      <c r="BR4" t="e">
        <f>AND('Current Index'!A93,"AAAAAG/rtkU=")</f>
        <v>#VALUE!</v>
      </c>
      <c r="BS4" t="e">
        <f>AND('Current Index'!#REF!,"AAAAAG/rtkY=")</f>
        <v>#REF!</v>
      </c>
      <c r="BT4" t="e">
        <f>AND('Current Index'!B93,"AAAAAG/rtkc=")</f>
        <v>#VALUE!</v>
      </c>
      <c r="BU4" t="e">
        <f>AND('Current Index'!C93,"AAAAAG/rtkg=")</f>
        <v>#VALUE!</v>
      </c>
      <c r="BV4" t="e">
        <f>AND('Current Index'!D93,"AAAAAG/rtkk=")</f>
        <v>#VALUE!</v>
      </c>
      <c r="BW4" t="e">
        <f>AND('Current Index'!E93,"AAAAAG/rtko=")</f>
        <v>#VALUE!</v>
      </c>
      <c r="BX4" t="e">
        <f>AND('Current Index'!F93,"AAAAAG/rtks=")</f>
        <v>#VALUE!</v>
      </c>
      <c r="BY4" t="e">
        <f>AND('Current Index'!G93,"AAAAAG/rtkw=")</f>
        <v>#VALUE!</v>
      </c>
      <c r="BZ4" t="e">
        <f>AND('Current Index'!H93,"AAAAAG/rtk0=")</f>
        <v>#VALUE!</v>
      </c>
      <c r="CA4" t="e">
        <f>AND('Current Index'!I93,"AAAAAG/rtk4=")</f>
        <v>#VALUE!</v>
      </c>
      <c r="CB4">
        <f>IF('Current Index'!94:94,"AAAAAG/rtk8=",0)</f>
        <v>0</v>
      </c>
      <c r="CC4" t="e">
        <f>AND('Current Index'!A94,"AAAAAG/rtlA=")</f>
        <v>#VALUE!</v>
      </c>
      <c r="CD4" t="e">
        <f>AND('Current Index'!#REF!,"AAAAAG/rtlE=")</f>
        <v>#REF!</v>
      </c>
      <c r="CE4" t="e">
        <f>AND('Current Index'!B94,"AAAAAG/rtlI=")</f>
        <v>#VALUE!</v>
      </c>
      <c r="CF4" t="e">
        <f>AND('Current Index'!C94,"AAAAAG/rtlM=")</f>
        <v>#VALUE!</v>
      </c>
      <c r="CG4" t="e">
        <f>AND('Current Index'!D94,"AAAAAG/rtlQ=")</f>
        <v>#VALUE!</v>
      </c>
      <c r="CH4" t="e">
        <f>AND('Current Index'!E94,"AAAAAG/rtlU=")</f>
        <v>#VALUE!</v>
      </c>
      <c r="CI4" t="e">
        <f>AND('Current Index'!F94,"AAAAAG/rtlY=")</f>
        <v>#VALUE!</v>
      </c>
      <c r="CJ4" t="e">
        <f>AND('Current Index'!G94,"AAAAAG/rtlc=")</f>
        <v>#VALUE!</v>
      </c>
      <c r="CK4" t="e">
        <f>AND('Current Index'!H94,"AAAAAG/rtlg=")</f>
        <v>#VALUE!</v>
      </c>
      <c r="CL4" t="e">
        <f>AND('Current Index'!I94,"AAAAAG/rtlk=")</f>
        <v>#VALUE!</v>
      </c>
      <c r="CM4">
        <f>IF('Current Index'!95:95,"AAAAAG/rtlo=",0)</f>
        <v>0</v>
      </c>
      <c r="CN4" t="e">
        <f>AND('Current Index'!A95,"AAAAAG/rtls=")</f>
        <v>#VALUE!</v>
      </c>
      <c r="CO4" t="e">
        <f>AND('Current Index'!#REF!,"AAAAAG/rtlw=")</f>
        <v>#REF!</v>
      </c>
      <c r="CP4" t="e">
        <f>AND('Current Index'!B95,"AAAAAG/rtl0=")</f>
        <v>#VALUE!</v>
      </c>
      <c r="CQ4" t="e">
        <f>AND('Current Index'!C95,"AAAAAG/rtl4=")</f>
        <v>#VALUE!</v>
      </c>
      <c r="CR4" t="e">
        <f>AND('Current Index'!D95,"AAAAAG/rtl8=")</f>
        <v>#VALUE!</v>
      </c>
      <c r="CS4" t="e">
        <f>AND('Current Index'!E95,"AAAAAG/rtmA=")</f>
        <v>#VALUE!</v>
      </c>
      <c r="CT4" t="e">
        <f>AND('Current Index'!F95,"AAAAAG/rtmE=")</f>
        <v>#VALUE!</v>
      </c>
      <c r="CU4" t="e">
        <f>AND('Current Index'!G95,"AAAAAG/rtmI=")</f>
        <v>#VALUE!</v>
      </c>
      <c r="CV4" t="e">
        <f>AND('Current Index'!H95,"AAAAAG/rtmM=")</f>
        <v>#VALUE!</v>
      </c>
      <c r="CW4" t="e">
        <f>AND('Current Index'!I95,"AAAAAG/rtmQ=")</f>
        <v>#VALUE!</v>
      </c>
      <c r="CX4">
        <f>IF('Current Index'!96:96,"AAAAAG/rtmU=",0)</f>
        <v>0</v>
      </c>
      <c r="CY4" t="e">
        <f>AND('Current Index'!A96,"AAAAAG/rtmY=")</f>
        <v>#VALUE!</v>
      </c>
      <c r="CZ4" t="e">
        <f>AND('Current Index'!#REF!,"AAAAAG/rtmc=")</f>
        <v>#REF!</v>
      </c>
      <c r="DA4" t="e">
        <f>AND('Current Index'!B96,"AAAAAG/rtmg=")</f>
        <v>#VALUE!</v>
      </c>
      <c r="DB4" t="e">
        <f>AND('Current Index'!C96,"AAAAAG/rtmk=")</f>
        <v>#VALUE!</v>
      </c>
      <c r="DC4" t="e">
        <f>AND('Current Index'!D96,"AAAAAG/rtmo=")</f>
        <v>#VALUE!</v>
      </c>
      <c r="DD4" t="e">
        <f>AND('Current Index'!E96,"AAAAAG/rtms=")</f>
        <v>#VALUE!</v>
      </c>
      <c r="DE4" t="e">
        <f>AND('Current Index'!F96,"AAAAAG/rtmw=")</f>
        <v>#VALUE!</v>
      </c>
      <c r="DF4" t="e">
        <f>AND('Current Index'!G96,"AAAAAG/rtm0=")</f>
        <v>#VALUE!</v>
      </c>
      <c r="DG4" t="e">
        <f>AND('Current Index'!H96,"AAAAAG/rtm4=")</f>
        <v>#VALUE!</v>
      </c>
      <c r="DH4" t="e">
        <f>AND('Current Index'!I96,"AAAAAG/rtm8=")</f>
        <v>#VALUE!</v>
      </c>
      <c r="DI4">
        <f>IF('Current Index'!97:97,"AAAAAG/rtnA=",0)</f>
        <v>0</v>
      </c>
      <c r="DJ4" t="e">
        <f>AND('Current Index'!A97,"AAAAAG/rtnE=")</f>
        <v>#VALUE!</v>
      </c>
      <c r="DK4" t="e">
        <f>AND('Current Index'!#REF!,"AAAAAG/rtnI=")</f>
        <v>#REF!</v>
      </c>
      <c r="DL4" t="e">
        <f>AND('Current Index'!B97,"AAAAAG/rtnM=")</f>
        <v>#VALUE!</v>
      </c>
      <c r="DM4" t="e">
        <f>AND('Current Index'!C97,"AAAAAG/rtnQ=")</f>
        <v>#VALUE!</v>
      </c>
      <c r="DN4" t="e">
        <f>AND('Current Index'!D97,"AAAAAG/rtnU=")</f>
        <v>#VALUE!</v>
      </c>
      <c r="DO4" t="e">
        <f>AND('Current Index'!E97,"AAAAAG/rtnY=")</f>
        <v>#VALUE!</v>
      </c>
      <c r="DP4" t="e">
        <f>AND('Current Index'!F97,"AAAAAG/rtnc=")</f>
        <v>#VALUE!</v>
      </c>
      <c r="DQ4" t="e">
        <f>AND('Current Index'!G97,"AAAAAG/rtng=")</f>
        <v>#VALUE!</v>
      </c>
      <c r="DR4" t="e">
        <f>AND('Current Index'!H97,"AAAAAG/rtnk=")</f>
        <v>#VALUE!</v>
      </c>
      <c r="DS4" t="e">
        <f>AND('Current Index'!I97,"AAAAAG/rtno=")</f>
        <v>#VALUE!</v>
      </c>
      <c r="DT4">
        <f>IF('Current Index'!98:98,"AAAAAG/rtns=",0)</f>
        <v>0</v>
      </c>
      <c r="DU4" t="e">
        <f>AND('Current Index'!A98,"AAAAAG/rtnw=")</f>
        <v>#VALUE!</v>
      </c>
      <c r="DV4" t="e">
        <f>AND('Current Index'!#REF!,"AAAAAG/rtn0=")</f>
        <v>#REF!</v>
      </c>
      <c r="DW4" t="e">
        <f>AND('Current Index'!B98,"AAAAAG/rtn4=")</f>
        <v>#VALUE!</v>
      </c>
      <c r="DX4" t="e">
        <f>AND('Current Index'!C98,"AAAAAG/rtn8=")</f>
        <v>#VALUE!</v>
      </c>
      <c r="DY4" t="e">
        <f>AND('Current Index'!D98,"AAAAAG/rtoA=")</f>
        <v>#VALUE!</v>
      </c>
      <c r="DZ4" t="e">
        <f>AND('Current Index'!E98,"AAAAAG/rtoE=")</f>
        <v>#VALUE!</v>
      </c>
      <c r="EA4" t="e">
        <f>AND('Current Index'!F98,"AAAAAG/rtoI=")</f>
        <v>#VALUE!</v>
      </c>
      <c r="EB4" t="e">
        <f>AND('Current Index'!G98,"AAAAAG/rtoM=")</f>
        <v>#VALUE!</v>
      </c>
      <c r="EC4" t="e">
        <f>AND('Current Index'!H98,"AAAAAG/rtoQ=")</f>
        <v>#VALUE!</v>
      </c>
      <c r="ED4" t="e">
        <f>AND('Current Index'!I98,"AAAAAG/rtoU=")</f>
        <v>#VALUE!</v>
      </c>
      <c r="EE4">
        <f>IF('Current Index'!99:99,"AAAAAG/rtoY=",0)</f>
        <v>0</v>
      </c>
      <c r="EF4" t="e">
        <f>AND('Current Index'!A99,"AAAAAG/rtoc=")</f>
        <v>#VALUE!</v>
      </c>
      <c r="EG4" t="e">
        <f>AND('Current Index'!#REF!,"AAAAAG/rtog=")</f>
        <v>#REF!</v>
      </c>
      <c r="EH4" t="e">
        <f>AND('Current Index'!B99,"AAAAAG/rtok=")</f>
        <v>#VALUE!</v>
      </c>
      <c r="EI4" t="e">
        <f>AND('Current Index'!C99,"AAAAAG/rtoo=")</f>
        <v>#VALUE!</v>
      </c>
      <c r="EJ4" t="e">
        <f>AND('Current Index'!D99,"AAAAAG/rtos=")</f>
        <v>#VALUE!</v>
      </c>
      <c r="EK4" t="e">
        <f>AND('Current Index'!E99,"AAAAAG/rtow=")</f>
        <v>#VALUE!</v>
      </c>
      <c r="EL4" t="e">
        <f>AND('Current Index'!F99,"AAAAAG/rto0=")</f>
        <v>#VALUE!</v>
      </c>
      <c r="EM4" t="e">
        <f>AND('Current Index'!G99,"AAAAAG/rto4=")</f>
        <v>#VALUE!</v>
      </c>
      <c r="EN4" t="e">
        <f>AND('Current Index'!H99,"AAAAAG/rto8=")</f>
        <v>#VALUE!</v>
      </c>
      <c r="EO4" t="e">
        <f>AND('Current Index'!I99,"AAAAAG/rtpA=")</f>
        <v>#VALUE!</v>
      </c>
      <c r="EP4">
        <f>IF('Current Index'!100:100,"AAAAAG/rtpE=",0)</f>
        <v>0</v>
      </c>
      <c r="EQ4" t="e">
        <f>AND('Current Index'!A100,"AAAAAG/rtpI=")</f>
        <v>#VALUE!</v>
      </c>
      <c r="ER4" t="e">
        <f>AND('Current Index'!#REF!,"AAAAAG/rtpM=")</f>
        <v>#REF!</v>
      </c>
      <c r="ES4" t="e">
        <f>AND('Current Index'!B100,"AAAAAG/rtpQ=")</f>
        <v>#VALUE!</v>
      </c>
      <c r="ET4" t="e">
        <f>AND('Current Index'!C100,"AAAAAG/rtpU=")</f>
        <v>#VALUE!</v>
      </c>
      <c r="EU4" t="e">
        <f>AND('Current Index'!D100,"AAAAAG/rtpY=")</f>
        <v>#VALUE!</v>
      </c>
      <c r="EV4" t="e">
        <f>AND('Current Index'!E100,"AAAAAG/rtpc=")</f>
        <v>#VALUE!</v>
      </c>
      <c r="EW4" t="e">
        <f>AND('Current Index'!F100,"AAAAAG/rtpg=")</f>
        <v>#VALUE!</v>
      </c>
      <c r="EX4" t="e">
        <f>AND('Current Index'!G100,"AAAAAG/rtpk=")</f>
        <v>#VALUE!</v>
      </c>
      <c r="EY4" t="e">
        <f>AND('Current Index'!H100,"AAAAAG/rtpo=")</f>
        <v>#VALUE!</v>
      </c>
      <c r="EZ4" t="e">
        <f>AND('Current Index'!I100,"AAAAAG/rtps=")</f>
        <v>#VALUE!</v>
      </c>
      <c r="FA4">
        <f>IF('Current Index'!101:101,"AAAAAG/rtpw=",0)</f>
        <v>0</v>
      </c>
      <c r="FB4" t="e">
        <f>AND('Current Index'!A101,"AAAAAG/rtp0=")</f>
        <v>#VALUE!</v>
      </c>
      <c r="FC4" t="e">
        <f>AND('Current Index'!#REF!,"AAAAAG/rtp4=")</f>
        <v>#REF!</v>
      </c>
      <c r="FD4" t="e">
        <f>AND('Current Index'!B101,"AAAAAG/rtp8=")</f>
        <v>#VALUE!</v>
      </c>
      <c r="FE4" t="e">
        <f>AND('Current Index'!C101,"AAAAAG/rtqA=")</f>
        <v>#VALUE!</v>
      </c>
      <c r="FF4" t="e">
        <f>AND('Current Index'!D101,"AAAAAG/rtqE=")</f>
        <v>#VALUE!</v>
      </c>
      <c r="FG4" t="e">
        <f>AND('Current Index'!E101,"AAAAAG/rtqI=")</f>
        <v>#VALUE!</v>
      </c>
      <c r="FH4" t="e">
        <f>AND('Current Index'!F101,"AAAAAG/rtqM=")</f>
        <v>#VALUE!</v>
      </c>
      <c r="FI4" t="e">
        <f>AND('Current Index'!G101,"AAAAAG/rtqQ=")</f>
        <v>#VALUE!</v>
      </c>
      <c r="FJ4" t="e">
        <f>AND('Current Index'!H101,"AAAAAG/rtqU=")</f>
        <v>#VALUE!</v>
      </c>
      <c r="FK4" t="e">
        <f>AND('Current Index'!I101,"AAAAAG/rtqY=")</f>
        <v>#VALUE!</v>
      </c>
      <c r="FL4">
        <f>IF('Current Index'!102:102,"AAAAAG/rtqc=",0)</f>
        <v>0</v>
      </c>
      <c r="FM4" t="e">
        <f>AND('Current Index'!A102,"AAAAAG/rtqg=")</f>
        <v>#VALUE!</v>
      </c>
      <c r="FN4" t="e">
        <f>AND('Current Index'!#REF!,"AAAAAG/rtqk=")</f>
        <v>#REF!</v>
      </c>
      <c r="FO4" t="e">
        <f>AND('Current Index'!B102,"AAAAAG/rtqo=")</f>
        <v>#VALUE!</v>
      </c>
      <c r="FP4" t="e">
        <f>AND('Current Index'!C102,"AAAAAG/rtqs=")</f>
        <v>#VALUE!</v>
      </c>
      <c r="FQ4" t="e">
        <f>AND('Current Index'!D102,"AAAAAG/rtqw=")</f>
        <v>#VALUE!</v>
      </c>
      <c r="FR4" t="e">
        <f>AND('Current Index'!E102,"AAAAAG/rtq0=")</f>
        <v>#VALUE!</v>
      </c>
      <c r="FS4" t="e">
        <f>AND('Current Index'!F102,"AAAAAG/rtq4=")</f>
        <v>#VALUE!</v>
      </c>
      <c r="FT4" t="e">
        <f>AND('Current Index'!G102,"AAAAAG/rtq8=")</f>
        <v>#VALUE!</v>
      </c>
      <c r="FU4" t="e">
        <f>AND('Current Index'!H102,"AAAAAG/rtrA=")</f>
        <v>#VALUE!</v>
      </c>
      <c r="FV4" t="e">
        <f>AND('Current Index'!I102,"AAAAAG/rtrE=")</f>
        <v>#VALUE!</v>
      </c>
      <c r="FW4">
        <f>IF('Current Index'!103:103,"AAAAAG/rtrI=",0)</f>
        <v>0</v>
      </c>
      <c r="FX4" t="e">
        <f>AND('Current Index'!A103,"AAAAAG/rtrM=")</f>
        <v>#VALUE!</v>
      </c>
      <c r="FY4" t="e">
        <f>AND('Current Index'!#REF!,"AAAAAG/rtrQ=")</f>
        <v>#REF!</v>
      </c>
      <c r="FZ4" t="e">
        <f>AND('Current Index'!B103,"AAAAAG/rtrU=")</f>
        <v>#VALUE!</v>
      </c>
      <c r="GA4" t="e">
        <f>AND('Current Index'!C103,"AAAAAG/rtrY=")</f>
        <v>#VALUE!</v>
      </c>
      <c r="GB4" t="e">
        <f>AND('Current Index'!D103,"AAAAAG/rtrc=")</f>
        <v>#VALUE!</v>
      </c>
      <c r="GC4" t="e">
        <f>AND('Current Index'!E103,"AAAAAG/rtrg=")</f>
        <v>#VALUE!</v>
      </c>
      <c r="GD4" t="e">
        <f>AND('Current Index'!F103,"AAAAAG/rtrk=")</f>
        <v>#VALUE!</v>
      </c>
      <c r="GE4" t="e">
        <f>AND('Current Index'!G103,"AAAAAG/rtro=")</f>
        <v>#VALUE!</v>
      </c>
      <c r="GF4" t="e">
        <f>AND('Current Index'!H103,"AAAAAG/rtrs=")</f>
        <v>#VALUE!</v>
      </c>
      <c r="GG4" t="e">
        <f>AND('Current Index'!I103,"AAAAAG/rtrw=")</f>
        <v>#VALUE!</v>
      </c>
      <c r="GH4" t="e">
        <f>IF('Current Index'!#REF!,"AAAAAG/rtr0=",0)</f>
        <v>#REF!</v>
      </c>
      <c r="GI4" t="e">
        <f>AND('Current Index'!#REF!,"AAAAAG/rtr4=")</f>
        <v>#REF!</v>
      </c>
      <c r="GJ4" t="e">
        <f>AND('Current Index'!#REF!,"AAAAAG/rtr8=")</f>
        <v>#REF!</v>
      </c>
      <c r="GK4" t="e">
        <f>AND('Current Index'!#REF!,"AAAAAG/rtsA=")</f>
        <v>#REF!</v>
      </c>
      <c r="GL4" t="e">
        <f>AND('Current Index'!#REF!,"AAAAAG/rtsE=")</f>
        <v>#REF!</v>
      </c>
      <c r="GM4" t="e">
        <f>AND('Current Index'!#REF!,"AAAAAG/rtsI=")</f>
        <v>#REF!</v>
      </c>
      <c r="GN4" t="e">
        <f>AND('Current Index'!#REF!,"AAAAAG/rtsM=")</f>
        <v>#REF!</v>
      </c>
      <c r="GO4" t="e">
        <f>AND('Current Index'!#REF!,"AAAAAG/rtsQ=")</f>
        <v>#REF!</v>
      </c>
      <c r="GP4" t="e">
        <f>AND('Current Index'!#REF!,"AAAAAG/rtsU=")</f>
        <v>#REF!</v>
      </c>
      <c r="GQ4" t="e">
        <f>AND('Current Index'!#REF!,"AAAAAG/rtsY=")</f>
        <v>#REF!</v>
      </c>
      <c r="GR4" t="e">
        <f>AND('Current Index'!#REF!,"AAAAAG/rtsc=")</f>
        <v>#REF!</v>
      </c>
      <c r="GS4" t="e">
        <f>IF('Current Index'!#REF!,"AAAAAG/rtsg=",0)</f>
        <v>#REF!</v>
      </c>
      <c r="GT4" t="e">
        <f>AND('Current Index'!#REF!,"AAAAAG/rtsk=")</f>
        <v>#REF!</v>
      </c>
      <c r="GU4" t="e">
        <f>AND('Current Index'!#REF!,"AAAAAG/rtso=")</f>
        <v>#REF!</v>
      </c>
      <c r="GV4" t="e">
        <f>AND('Current Index'!#REF!,"AAAAAG/rtss=")</f>
        <v>#REF!</v>
      </c>
      <c r="GW4" t="e">
        <f>AND('Current Index'!#REF!,"AAAAAG/rtsw=")</f>
        <v>#REF!</v>
      </c>
      <c r="GX4" t="e">
        <f>AND('Current Index'!#REF!,"AAAAAG/rts0=")</f>
        <v>#REF!</v>
      </c>
      <c r="GY4" t="e">
        <f>AND('Current Index'!#REF!,"AAAAAG/rts4=")</f>
        <v>#REF!</v>
      </c>
      <c r="GZ4" t="e">
        <f>AND('Current Index'!#REF!,"AAAAAG/rts8=")</f>
        <v>#REF!</v>
      </c>
      <c r="HA4" t="e">
        <f>AND('Current Index'!#REF!,"AAAAAG/rttA=")</f>
        <v>#REF!</v>
      </c>
      <c r="HB4" t="e">
        <f>AND('Current Index'!#REF!,"AAAAAG/rttE=")</f>
        <v>#REF!</v>
      </c>
      <c r="HC4" t="e">
        <f>AND('Current Index'!#REF!,"AAAAAG/rttI=")</f>
        <v>#REF!</v>
      </c>
      <c r="HD4">
        <f>IF('Current Index'!117:117,"AAAAAG/rttM=",0)</f>
        <v>0</v>
      </c>
      <c r="HE4" t="e">
        <f>AND('Current Index'!A117,"AAAAAG/rttQ=")</f>
        <v>#VALUE!</v>
      </c>
      <c r="HF4" t="e">
        <f>AND('Current Index'!#REF!,"AAAAAG/rttU=")</f>
        <v>#REF!</v>
      </c>
      <c r="HG4" t="e">
        <f>AND('Current Index'!B117,"AAAAAG/rttY=")</f>
        <v>#VALUE!</v>
      </c>
      <c r="HH4" t="e">
        <f>AND('Current Index'!C117,"AAAAAG/rttc=")</f>
        <v>#VALUE!</v>
      </c>
      <c r="HI4" t="e">
        <f>AND('Current Index'!D117,"AAAAAG/rttg=")</f>
        <v>#VALUE!</v>
      </c>
      <c r="HJ4" t="e">
        <f>AND('Current Index'!E117,"AAAAAG/rttk=")</f>
        <v>#VALUE!</v>
      </c>
      <c r="HK4" t="e">
        <f>AND('Current Index'!F117,"AAAAAG/rtto=")</f>
        <v>#VALUE!</v>
      </c>
      <c r="HL4" t="e">
        <f>AND('Current Index'!G117,"AAAAAG/rtts=")</f>
        <v>#VALUE!</v>
      </c>
      <c r="HM4" t="e">
        <f>AND('Current Index'!H117,"AAAAAG/rttw=")</f>
        <v>#VALUE!</v>
      </c>
      <c r="HN4" t="e">
        <f>AND('Current Index'!I117,"AAAAAG/rtt0=")</f>
        <v>#VALUE!</v>
      </c>
      <c r="HO4">
        <f>IF('Current Index'!118:118,"AAAAAG/rtt4=",0)</f>
        <v>0</v>
      </c>
      <c r="HP4" t="e">
        <f>AND('Current Index'!A118,"AAAAAG/rtt8=")</f>
        <v>#VALUE!</v>
      </c>
      <c r="HQ4" t="e">
        <f>AND('Current Index'!#REF!,"AAAAAG/rtuA=")</f>
        <v>#REF!</v>
      </c>
      <c r="HR4" t="e">
        <f>AND('Current Index'!B118,"AAAAAG/rtuE=")</f>
        <v>#VALUE!</v>
      </c>
      <c r="HS4" t="e">
        <f>AND('Current Index'!C118,"AAAAAG/rtuI=")</f>
        <v>#VALUE!</v>
      </c>
      <c r="HT4" t="e">
        <f>AND('Current Index'!D118,"AAAAAG/rtuM=")</f>
        <v>#VALUE!</v>
      </c>
      <c r="HU4" t="e">
        <f>AND('Current Index'!E118,"AAAAAG/rtuQ=")</f>
        <v>#VALUE!</v>
      </c>
      <c r="HV4" t="e">
        <f>AND('Current Index'!F118,"AAAAAG/rtuU=")</f>
        <v>#VALUE!</v>
      </c>
      <c r="HW4" t="e">
        <f>AND('Current Index'!G118,"AAAAAG/rtuY=")</f>
        <v>#VALUE!</v>
      </c>
      <c r="HX4" t="e">
        <f>AND('Current Index'!H118,"AAAAAG/rtuc=")</f>
        <v>#VALUE!</v>
      </c>
      <c r="HY4" t="e">
        <f>AND('Current Index'!I118,"AAAAAG/rtug=")</f>
        <v>#VALUE!</v>
      </c>
      <c r="HZ4" t="e">
        <f>IF('Current Index'!#REF!,"AAAAAG/rtuk=",0)</f>
        <v>#REF!</v>
      </c>
      <c r="IA4" t="e">
        <f>AND('Current Index'!#REF!,"AAAAAG/rtuo=")</f>
        <v>#REF!</v>
      </c>
      <c r="IB4" t="e">
        <f>AND('Current Index'!#REF!,"AAAAAG/rtus=")</f>
        <v>#REF!</v>
      </c>
      <c r="IC4" t="e">
        <f>AND('Current Index'!#REF!,"AAAAAG/rtuw=")</f>
        <v>#REF!</v>
      </c>
      <c r="ID4" t="e">
        <f>AND('Current Index'!#REF!,"AAAAAG/rtu0=")</f>
        <v>#REF!</v>
      </c>
      <c r="IE4" t="e">
        <f>AND('Current Index'!#REF!,"AAAAAG/rtu4=")</f>
        <v>#REF!</v>
      </c>
      <c r="IF4" t="e">
        <f>AND('Current Index'!#REF!,"AAAAAG/rtu8=")</f>
        <v>#REF!</v>
      </c>
      <c r="IG4" t="e">
        <f>AND('Current Index'!#REF!,"AAAAAG/rtvA=")</f>
        <v>#REF!</v>
      </c>
      <c r="IH4" t="e">
        <f>AND('Current Index'!#REF!,"AAAAAG/rtvE=")</f>
        <v>#REF!</v>
      </c>
      <c r="II4" t="e">
        <f>AND('Current Index'!#REF!,"AAAAAG/rtvI=")</f>
        <v>#REF!</v>
      </c>
      <c r="IJ4" t="e">
        <f>AND('Current Index'!#REF!,"AAAAAG/rtvM=")</f>
        <v>#REF!</v>
      </c>
      <c r="IK4">
        <f>IF('Current Index'!119:119,"AAAAAG/rtvQ=",0)</f>
        <v>0</v>
      </c>
      <c r="IL4" t="e">
        <f>AND('Current Index'!A119,"AAAAAG/rtvU=")</f>
        <v>#VALUE!</v>
      </c>
      <c r="IM4" t="e">
        <f>AND('Current Index'!#REF!,"AAAAAG/rtvY=")</f>
        <v>#REF!</v>
      </c>
      <c r="IN4" t="e">
        <f>AND('Current Index'!B119,"AAAAAG/rtvc=")</f>
        <v>#VALUE!</v>
      </c>
      <c r="IO4" t="e">
        <f>AND('Current Index'!C119,"AAAAAG/rtvg=")</f>
        <v>#VALUE!</v>
      </c>
      <c r="IP4" t="e">
        <f>AND('Current Index'!D119,"AAAAAG/rtvk=")</f>
        <v>#VALUE!</v>
      </c>
      <c r="IQ4" t="e">
        <f>AND('Current Index'!E119,"AAAAAG/rtvo=")</f>
        <v>#VALUE!</v>
      </c>
      <c r="IR4" t="e">
        <f>AND('Current Index'!F119,"AAAAAG/rtvs=")</f>
        <v>#VALUE!</v>
      </c>
      <c r="IS4" t="e">
        <f>AND('Current Index'!G119,"AAAAAG/rtvw=")</f>
        <v>#VALUE!</v>
      </c>
      <c r="IT4" t="e">
        <f>AND('Current Index'!H119,"AAAAAG/rtv0=")</f>
        <v>#VALUE!</v>
      </c>
      <c r="IU4" t="e">
        <f>AND('Current Index'!I119,"AAAAAG/rtv4=")</f>
        <v>#VALUE!</v>
      </c>
      <c r="IV4">
        <f>IF('Current Index'!120:120,"AAAAAG/rtv8=",0)</f>
        <v>0</v>
      </c>
    </row>
    <row r="5" spans="1:256" x14ac:dyDescent="0.25">
      <c r="A5" t="e">
        <f>AND('Current Index'!A120,"AAAAAHzv9AA=")</f>
        <v>#VALUE!</v>
      </c>
      <c r="B5" t="e">
        <f>AND('Current Index'!#REF!,"AAAAAHzv9AE=")</f>
        <v>#REF!</v>
      </c>
      <c r="C5" t="e">
        <f>AND('Current Index'!B120,"AAAAAHzv9AI=")</f>
        <v>#VALUE!</v>
      </c>
      <c r="D5" t="e">
        <f>AND('Current Index'!C120,"AAAAAHzv9AM=")</f>
        <v>#VALUE!</v>
      </c>
      <c r="E5" t="e">
        <f>AND('Current Index'!D120,"AAAAAHzv9AQ=")</f>
        <v>#VALUE!</v>
      </c>
      <c r="F5" t="e">
        <f>AND('Current Index'!E120,"AAAAAHzv9AU=")</f>
        <v>#VALUE!</v>
      </c>
      <c r="G5" t="e">
        <f>AND('Current Index'!F120,"AAAAAHzv9AY=")</f>
        <v>#VALUE!</v>
      </c>
      <c r="H5" t="e">
        <f>AND('Current Index'!G120,"AAAAAHzv9Ac=")</f>
        <v>#VALUE!</v>
      </c>
      <c r="I5" t="e">
        <f>AND('Current Index'!H120,"AAAAAHzv9Ag=")</f>
        <v>#VALUE!</v>
      </c>
      <c r="J5" t="e">
        <f>AND('Current Index'!I120,"AAAAAHzv9Ak=")</f>
        <v>#VALUE!</v>
      </c>
      <c r="K5">
        <f>IF('Current Index'!121:121,"AAAAAHzv9Ao=",0)</f>
        <v>0</v>
      </c>
      <c r="L5" t="e">
        <f>AND('Current Index'!A121,"AAAAAHzv9As=")</f>
        <v>#VALUE!</v>
      </c>
      <c r="M5" t="e">
        <f>AND('Current Index'!#REF!,"AAAAAHzv9Aw=")</f>
        <v>#REF!</v>
      </c>
      <c r="N5" t="e">
        <f>AND('Current Index'!B121,"AAAAAHzv9A0=")</f>
        <v>#VALUE!</v>
      </c>
      <c r="O5" t="e">
        <f>AND('Current Index'!C121,"AAAAAHzv9A4=")</f>
        <v>#VALUE!</v>
      </c>
      <c r="P5" t="e">
        <f>AND('Current Index'!D121,"AAAAAHzv9A8=")</f>
        <v>#VALUE!</v>
      </c>
      <c r="Q5" t="e">
        <f>AND('Current Index'!E121,"AAAAAHzv9BA=")</f>
        <v>#VALUE!</v>
      </c>
      <c r="R5" t="e">
        <f>AND('Current Index'!F121,"AAAAAHzv9BE=")</f>
        <v>#VALUE!</v>
      </c>
      <c r="S5" t="e">
        <f>AND('Current Index'!G121,"AAAAAHzv9BI=")</f>
        <v>#VALUE!</v>
      </c>
      <c r="T5" t="e">
        <f>AND('Current Index'!H121,"AAAAAHzv9BM=")</f>
        <v>#VALUE!</v>
      </c>
      <c r="U5" t="e">
        <f>AND('Current Index'!I121,"AAAAAHzv9BQ=")</f>
        <v>#VALUE!</v>
      </c>
      <c r="V5">
        <f>IF('Current Index'!122:122,"AAAAAHzv9BU=",0)</f>
        <v>0</v>
      </c>
      <c r="W5" t="e">
        <f>AND('Current Index'!A122,"AAAAAHzv9BY=")</f>
        <v>#VALUE!</v>
      </c>
      <c r="X5" t="e">
        <f>AND('Current Index'!#REF!,"AAAAAHzv9Bc=")</f>
        <v>#REF!</v>
      </c>
      <c r="Y5" t="e">
        <f>AND('Current Index'!B122,"AAAAAHzv9Bg=")</f>
        <v>#VALUE!</v>
      </c>
      <c r="Z5" t="e">
        <f>AND('Current Index'!C122,"AAAAAHzv9Bk=")</f>
        <v>#VALUE!</v>
      </c>
      <c r="AA5" t="e">
        <f>AND('Current Index'!D122,"AAAAAHzv9Bo=")</f>
        <v>#VALUE!</v>
      </c>
      <c r="AB5" t="e">
        <f>AND('Current Index'!E122,"AAAAAHzv9Bs=")</f>
        <v>#VALUE!</v>
      </c>
      <c r="AC5" t="e">
        <f>AND('Current Index'!F122,"AAAAAHzv9Bw=")</f>
        <v>#VALUE!</v>
      </c>
      <c r="AD5" t="e">
        <f>AND('Current Index'!G122,"AAAAAHzv9B0=")</f>
        <v>#VALUE!</v>
      </c>
      <c r="AE5" t="e">
        <f>AND('Current Index'!H122,"AAAAAHzv9B4=")</f>
        <v>#VALUE!</v>
      </c>
      <c r="AF5" t="e">
        <f>AND('Current Index'!I122,"AAAAAHzv9B8=")</f>
        <v>#VALUE!</v>
      </c>
      <c r="AG5" t="e">
        <f>IF('Current Index'!#REF!,"AAAAAHzv9CA=",0)</f>
        <v>#REF!</v>
      </c>
      <c r="AH5" t="e">
        <f>AND('Current Index'!#REF!,"AAAAAHzv9CE=")</f>
        <v>#REF!</v>
      </c>
      <c r="AI5" t="e">
        <f>AND('Current Index'!#REF!,"AAAAAHzv9CI=")</f>
        <v>#REF!</v>
      </c>
      <c r="AJ5" t="e">
        <f>AND('Current Index'!#REF!,"AAAAAHzv9CM=")</f>
        <v>#REF!</v>
      </c>
      <c r="AK5" t="e">
        <f>AND('Current Index'!#REF!,"AAAAAHzv9CQ=")</f>
        <v>#REF!</v>
      </c>
      <c r="AL5" t="e">
        <f>AND('Current Index'!#REF!,"AAAAAHzv9CU=")</f>
        <v>#REF!</v>
      </c>
      <c r="AM5" t="e">
        <f>AND('Current Index'!#REF!,"AAAAAHzv9CY=")</f>
        <v>#REF!</v>
      </c>
      <c r="AN5" t="e">
        <f>AND('Current Index'!#REF!,"AAAAAHzv9Cc=")</f>
        <v>#REF!</v>
      </c>
      <c r="AO5" t="e">
        <f>AND('Current Index'!#REF!,"AAAAAHzv9Cg=")</f>
        <v>#REF!</v>
      </c>
      <c r="AP5" t="e">
        <f>AND('Current Index'!#REF!,"AAAAAHzv9Ck=")</f>
        <v>#REF!</v>
      </c>
      <c r="AQ5" t="e">
        <f>AND('Current Index'!#REF!,"AAAAAHzv9Co=")</f>
        <v>#REF!</v>
      </c>
      <c r="AR5">
        <f>IF('Current Index'!123:123,"AAAAAHzv9Cs=",0)</f>
        <v>0</v>
      </c>
      <c r="AS5" t="e">
        <f>AND('Current Index'!A123,"AAAAAHzv9Cw=")</f>
        <v>#VALUE!</v>
      </c>
      <c r="AT5" t="e">
        <f>AND('Current Index'!#REF!,"AAAAAHzv9C0=")</f>
        <v>#REF!</v>
      </c>
      <c r="AU5" t="e">
        <f>AND('Current Index'!B123,"AAAAAHzv9C4=")</f>
        <v>#VALUE!</v>
      </c>
      <c r="AV5" t="e">
        <f>AND('Current Index'!C123,"AAAAAHzv9C8=")</f>
        <v>#VALUE!</v>
      </c>
      <c r="AW5" t="e">
        <f>AND('Current Index'!D123,"AAAAAHzv9DA=")</f>
        <v>#VALUE!</v>
      </c>
      <c r="AX5" t="e">
        <f>AND('Current Index'!E123,"AAAAAHzv9DE=")</f>
        <v>#VALUE!</v>
      </c>
      <c r="AY5" t="e">
        <f>AND('Current Index'!F123,"AAAAAHzv9DI=")</f>
        <v>#VALUE!</v>
      </c>
      <c r="AZ5" t="e">
        <f>AND('Current Index'!G123,"AAAAAHzv9DM=")</f>
        <v>#VALUE!</v>
      </c>
      <c r="BA5" t="e">
        <f>AND('Current Index'!H123,"AAAAAHzv9DQ=")</f>
        <v>#VALUE!</v>
      </c>
      <c r="BB5" t="e">
        <f>AND('Current Index'!I123,"AAAAAHzv9DU=")</f>
        <v>#VALUE!</v>
      </c>
      <c r="BC5" t="e">
        <f>IF('Current Index'!#REF!,"AAAAAHzv9DY=",0)</f>
        <v>#REF!</v>
      </c>
      <c r="BD5" t="e">
        <f>AND('Current Index'!#REF!,"AAAAAHzv9Dc=")</f>
        <v>#REF!</v>
      </c>
      <c r="BE5" t="e">
        <f>AND('Current Index'!#REF!,"AAAAAHzv9Dg=")</f>
        <v>#REF!</v>
      </c>
      <c r="BF5" t="e">
        <f>AND('Current Index'!#REF!,"AAAAAHzv9Dk=")</f>
        <v>#REF!</v>
      </c>
      <c r="BG5" t="e">
        <f>AND('Current Index'!#REF!,"AAAAAHzv9Do=")</f>
        <v>#REF!</v>
      </c>
      <c r="BH5" t="e">
        <f>AND('Current Index'!#REF!,"AAAAAHzv9Ds=")</f>
        <v>#REF!</v>
      </c>
      <c r="BI5" t="e">
        <f>AND('Current Index'!#REF!,"AAAAAHzv9Dw=")</f>
        <v>#REF!</v>
      </c>
      <c r="BJ5" t="e">
        <f>AND('Current Index'!#REF!,"AAAAAHzv9D0=")</f>
        <v>#REF!</v>
      </c>
      <c r="BK5" t="e">
        <f>AND('Current Index'!#REF!,"AAAAAHzv9D4=")</f>
        <v>#REF!</v>
      </c>
      <c r="BL5" t="e">
        <f>AND('Current Index'!#REF!,"AAAAAHzv9D8=")</f>
        <v>#REF!</v>
      </c>
      <c r="BM5" t="e">
        <f>AND('Current Index'!#REF!,"AAAAAHzv9EA=")</f>
        <v>#REF!</v>
      </c>
      <c r="BN5">
        <f>IF('Current Index'!124:124,"AAAAAHzv9EE=",0)</f>
        <v>0</v>
      </c>
      <c r="BO5" t="e">
        <f>AND('Current Index'!A124,"AAAAAHzv9EI=")</f>
        <v>#VALUE!</v>
      </c>
      <c r="BP5" t="e">
        <f>AND('Current Index'!#REF!,"AAAAAHzv9EM=")</f>
        <v>#REF!</v>
      </c>
      <c r="BQ5" t="e">
        <f>AND('Current Index'!B124,"AAAAAHzv9EQ=")</f>
        <v>#VALUE!</v>
      </c>
      <c r="BR5" t="e">
        <f>AND('Current Index'!C124,"AAAAAHzv9EU=")</f>
        <v>#VALUE!</v>
      </c>
      <c r="BS5" t="e">
        <f>AND('Current Index'!D124,"AAAAAHzv9EY=")</f>
        <v>#VALUE!</v>
      </c>
      <c r="BT5" t="e">
        <f>AND('Current Index'!E124,"AAAAAHzv9Ec=")</f>
        <v>#VALUE!</v>
      </c>
      <c r="BU5" t="e">
        <f>AND('Current Index'!F124,"AAAAAHzv9Eg=")</f>
        <v>#VALUE!</v>
      </c>
      <c r="BV5" t="e">
        <f>AND('Current Index'!G124,"AAAAAHzv9Ek=")</f>
        <v>#VALUE!</v>
      </c>
      <c r="BW5" t="e">
        <f>AND('Current Index'!H124,"AAAAAHzv9Eo=")</f>
        <v>#VALUE!</v>
      </c>
      <c r="BX5" t="e">
        <f>AND('Current Index'!I124,"AAAAAHzv9Es=")</f>
        <v>#VALUE!</v>
      </c>
      <c r="BY5">
        <f>IF('Current Index'!125:125,"AAAAAHzv9Ew=",0)</f>
        <v>0</v>
      </c>
      <c r="BZ5" t="e">
        <f>AND('Current Index'!A125,"AAAAAHzv9E0=")</f>
        <v>#VALUE!</v>
      </c>
      <c r="CA5" t="e">
        <f>AND('Current Index'!#REF!,"AAAAAHzv9E4=")</f>
        <v>#REF!</v>
      </c>
      <c r="CB5" t="e">
        <f>AND('Current Index'!B125,"AAAAAHzv9E8=")</f>
        <v>#VALUE!</v>
      </c>
      <c r="CC5" t="e">
        <f>AND('Current Index'!C125,"AAAAAHzv9FA=")</f>
        <v>#VALUE!</v>
      </c>
      <c r="CD5" t="e">
        <f>AND('Current Index'!D125,"AAAAAHzv9FE=")</f>
        <v>#VALUE!</v>
      </c>
      <c r="CE5" t="e">
        <f>AND('Current Index'!E125,"AAAAAHzv9FI=")</f>
        <v>#VALUE!</v>
      </c>
      <c r="CF5" t="e">
        <f>AND('Current Index'!F125,"AAAAAHzv9FM=")</f>
        <v>#VALUE!</v>
      </c>
      <c r="CG5" t="e">
        <f>AND('Current Index'!G125,"AAAAAHzv9FQ=")</f>
        <v>#VALUE!</v>
      </c>
      <c r="CH5" t="e">
        <f>AND('Current Index'!H125,"AAAAAHzv9FU=")</f>
        <v>#VALUE!</v>
      </c>
      <c r="CI5" t="e">
        <f>AND('Current Index'!I125,"AAAAAHzv9FY=")</f>
        <v>#VALUE!</v>
      </c>
      <c r="CJ5">
        <f>IF('Current Index'!126:126,"AAAAAHzv9Fc=",0)</f>
        <v>0</v>
      </c>
      <c r="CK5" t="e">
        <f>AND('Current Index'!A126,"AAAAAHzv9Fg=")</f>
        <v>#VALUE!</v>
      </c>
      <c r="CL5" t="e">
        <f>AND('Current Index'!#REF!,"AAAAAHzv9Fk=")</f>
        <v>#REF!</v>
      </c>
      <c r="CM5" t="e">
        <f>AND('Current Index'!B126,"AAAAAHzv9Fo=")</f>
        <v>#VALUE!</v>
      </c>
      <c r="CN5" t="e">
        <f>AND('Current Index'!C126,"AAAAAHzv9Fs=")</f>
        <v>#VALUE!</v>
      </c>
      <c r="CO5" t="e">
        <f>AND('Current Index'!D126,"AAAAAHzv9Fw=")</f>
        <v>#VALUE!</v>
      </c>
      <c r="CP5" t="e">
        <f>AND('Current Index'!E126,"AAAAAHzv9F0=")</f>
        <v>#VALUE!</v>
      </c>
      <c r="CQ5" t="e">
        <f>AND('Current Index'!F126,"AAAAAHzv9F4=")</f>
        <v>#VALUE!</v>
      </c>
      <c r="CR5" t="e">
        <f>AND('Current Index'!G126,"AAAAAHzv9F8=")</f>
        <v>#VALUE!</v>
      </c>
      <c r="CS5" t="e">
        <f>AND('Current Index'!H126,"AAAAAHzv9GA=")</f>
        <v>#VALUE!</v>
      </c>
      <c r="CT5" t="e">
        <f>AND('Current Index'!I126,"AAAAAHzv9GE=")</f>
        <v>#VALUE!</v>
      </c>
      <c r="CU5">
        <f>IF('Current Index'!127:127,"AAAAAHzv9GI=",0)</f>
        <v>0</v>
      </c>
      <c r="CV5" t="e">
        <f>AND('Current Index'!A127,"AAAAAHzv9GM=")</f>
        <v>#VALUE!</v>
      </c>
      <c r="CW5" t="e">
        <f>AND('Current Index'!#REF!,"AAAAAHzv9GQ=")</f>
        <v>#REF!</v>
      </c>
      <c r="CX5" t="e">
        <f>AND('Current Index'!B127,"AAAAAHzv9GU=")</f>
        <v>#VALUE!</v>
      </c>
      <c r="CY5" t="e">
        <f>AND('Current Index'!C127,"AAAAAHzv9GY=")</f>
        <v>#VALUE!</v>
      </c>
      <c r="CZ5" t="e">
        <f>AND('Current Index'!D127,"AAAAAHzv9Gc=")</f>
        <v>#VALUE!</v>
      </c>
      <c r="DA5" t="e">
        <f>AND('Current Index'!E127,"AAAAAHzv9Gg=")</f>
        <v>#VALUE!</v>
      </c>
      <c r="DB5" t="e">
        <f>AND('Current Index'!F127,"AAAAAHzv9Gk=")</f>
        <v>#VALUE!</v>
      </c>
      <c r="DC5" t="e">
        <f>AND('Current Index'!G127,"AAAAAHzv9Go=")</f>
        <v>#VALUE!</v>
      </c>
      <c r="DD5" t="e">
        <f>AND('Current Index'!H127,"AAAAAHzv9Gs=")</f>
        <v>#VALUE!</v>
      </c>
      <c r="DE5" t="e">
        <f>AND('Current Index'!I127,"AAAAAHzv9Gw=")</f>
        <v>#VALUE!</v>
      </c>
      <c r="DF5">
        <f>IF('Current Index'!128:128,"AAAAAHzv9G0=",0)</f>
        <v>0</v>
      </c>
      <c r="DG5" t="e">
        <f>AND('Current Index'!A128,"AAAAAHzv9G4=")</f>
        <v>#VALUE!</v>
      </c>
      <c r="DH5" t="e">
        <f>AND('Current Index'!#REF!,"AAAAAHzv9G8=")</f>
        <v>#REF!</v>
      </c>
      <c r="DI5" t="e">
        <f>AND('Current Index'!B128,"AAAAAHzv9HA=")</f>
        <v>#VALUE!</v>
      </c>
      <c r="DJ5" t="e">
        <f>AND('Current Index'!C128,"AAAAAHzv9HE=")</f>
        <v>#VALUE!</v>
      </c>
      <c r="DK5" t="e">
        <f>AND('Current Index'!D128,"AAAAAHzv9HI=")</f>
        <v>#VALUE!</v>
      </c>
      <c r="DL5" t="e">
        <f>AND('Current Index'!E128,"AAAAAHzv9HM=")</f>
        <v>#VALUE!</v>
      </c>
      <c r="DM5" t="e">
        <f>AND('Current Index'!F128,"AAAAAHzv9HQ=")</f>
        <v>#VALUE!</v>
      </c>
      <c r="DN5" t="e">
        <f>AND('Current Index'!G128,"AAAAAHzv9HU=")</f>
        <v>#VALUE!</v>
      </c>
      <c r="DO5" t="e">
        <f>AND('Current Index'!H128,"AAAAAHzv9HY=")</f>
        <v>#VALUE!</v>
      </c>
      <c r="DP5" t="e">
        <f>AND('Current Index'!I128,"AAAAAHzv9Hc=")</f>
        <v>#VALUE!</v>
      </c>
      <c r="DQ5">
        <f>IF('Current Index'!129:129,"AAAAAHzv9Hg=",0)</f>
        <v>0</v>
      </c>
      <c r="DR5" t="e">
        <f>AND('Current Index'!A129,"AAAAAHzv9Hk=")</f>
        <v>#VALUE!</v>
      </c>
      <c r="DS5" t="e">
        <f>AND('Current Index'!#REF!,"AAAAAHzv9Ho=")</f>
        <v>#REF!</v>
      </c>
      <c r="DT5" t="e">
        <f>AND('Current Index'!B129,"AAAAAHzv9Hs=")</f>
        <v>#VALUE!</v>
      </c>
      <c r="DU5" t="e">
        <f>AND('Current Index'!C129,"AAAAAHzv9Hw=")</f>
        <v>#VALUE!</v>
      </c>
      <c r="DV5" t="e">
        <f>AND('Current Index'!D129,"AAAAAHzv9H0=")</f>
        <v>#VALUE!</v>
      </c>
      <c r="DW5" t="e">
        <f>AND('Current Index'!E129,"AAAAAHzv9H4=")</f>
        <v>#VALUE!</v>
      </c>
      <c r="DX5" t="e">
        <f>AND('Current Index'!F129,"AAAAAHzv9H8=")</f>
        <v>#VALUE!</v>
      </c>
      <c r="DY5" t="e">
        <f>AND('Current Index'!G129,"AAAAAHzv9IA=")</f>
        <v>#VALUE!</v>
      </c>
      <c r="DZ5" t="e">
        <f>AND('Current Index'!H129,"AAAAAHzv9IE=")</f>
        <v>#VALUE!</v>
      </c>
      <c r="EA5" t="e">
        <f>AND('Current Index'!I129,"AAAAAHzv9II=")</f>
        <v>#VALUE!</v>
      </c>
      <c r="EB5">
        <f>IF('Current Index'!130:130,"AAAAAHzv9IM=",0)</f>
        <v>0</v>
      </c>
      <c r="EC5" t="e">
        <f>AND('Current Index'!A130,"AAAAAHzv9IQ=")</f>
        <v>#VALUE!</v>
      </c>
      <c r="ED5" t="e">
        <f>AND('Current Index'!#REF!,"AAAAAHzv9IU=")</f>
        <v>#REF!</v>
      </c>
      <c r="EE5" t="e">
        <f>AND('Current Index'!B130,"AAAAAHzv9IY=")</f>
        <v>#VALUE!</v>
      </c>
      <c r="EF5" t="e">
        <f>AND('Current Index'!C130,"AAAAAHzv9Ic=")</f>
        <v>#VALUE!</v>
      </c>
      <c r="EG5" t="e">
        <f>AND('Current Index'!D130,"AAAAAHzv9Ig=")</f>
        <v>#VALUE!</v>
      </c>
      <c r="EH5" t="e">
        <f>AND('Current Index'!E130,"AAAAAHzv9Ik=")</f>
        <v>#VALUE!</v>
      </c>
      <c r="EI5" t="e">
        <f>AND('Current Index'!F130,"AAAAAHzv9Io=")</f>
        <v>#VALUE!</v>
      </c>
      <c r="EJ5" t="e">
        <f>AND('Current Index'!G130,"AAAAAHzv9Is=")</f>
        <v>#VALUE!</v>
      </c>
      <c r="EK5" t="e">
        <f>AND('Current Index'!H130,"AAAAAHzv9Iw=")</f>
        <v>#VALUE!</v>
      </c>
      <c r="EL5" t="e">
        <f>AND('Current Index'!I130,"AAAAAHzv9I0=")</f>
        <v>#VALUE!</v>
      </c>
      <c r="EM5" t="e">
        <f>IF('Current Index'!#REF!,"AAAAAHzv9I4=",0)</f>
        <v>#REF!</v>
      </c>
      <c r="EN5" t="e">
        <f>AND('Current Index'!#REF!,"AAAAAHzv9I8=")</f>
        <v>#REF!</v>
      </c>
      <c r="EO5" t="e">
        <f>AND('Current Index'!#REF!,"AAAAAHzv9JA=")</f>
        <v>#REF!</v>
      </c>
      <c r="EP5" t="e">
        <f>AND('Current Index'!#REF!,"AAAAAHzv9JE=")</f>
        <v>#REF!</v>
      </c>
      <c r="EQ5" t="e">
        <f>AND('Current Index'!#REF!,"AAAAAHzv9JI=")</f>
        <v>#REF!</v>
      </c>
      <c r="ER5" t="e">
        <f>AND('Current Index'!#REF!,"AAAAAHzv9JM=")</f>
        <v>#REF!</v>
      </c>
      <c r="ES5" t="e">
        <f>AND('Current Index'!#REF!,"AAAAAHzv9JQ=")</f>
        <v>#REF!</v>
      </c>
      <c r="ET5" t="e">
        <f>AND('Current Index'!#REF!,"AAAAAHzv9JU=")</f>
        <v>#REF!</v>
      </c>
      <c r="EU5" t="e">
        <f>AND('Current Index'!#REF!,"AAAAAHzv9JY=")</f>
        <v>#REF!</v>
      </c>
      <c r="EV5" t="e">
        <f>AND('Current Index'!#REF!,"AAAAAHzv9Jc=")</f>
        <v>#REF!</v>
      </c>
      <c r="EW5" t="e">
        <f>AND('Current Index'!#REF!,"AAAAAHzv9Jg=")</f>
        <v>#REF!</v>
      </c>
      <c r="EX5">
        <f>IF('Current Index'!132:132,"AAAAAHzv9Jk=",0)</f>
        <v>0</v>
      </c>
      <c r="EY5" t="e">
        <f>AND('Current Index'!A132,"AAAAAHzv9Jo=")</f>
        <v>#VALUE!</v>
      </c>
      <c r="EZ5" t="e">
        <f>AND('Current Index'!#REF!,"AAAAAHzv9Js=")</f>
        <v>#REF!</v>
      </c>
      <c r="FA5" t="e">
        <f>AND('Current Index'!B132,"AAAAAHzv9Jw=")</f>
        <v>#VALUE!</v>
      </c>
      <c r="FB5" t="e">
        <f>AND('Current Index'!C132,"AAAAAHzv9J0=")</f>
        <v>#VALUE!</v>
      </c>
      <c r="FC5" t="e">
        <f>AND('Current Index'!D132,"AAAAAHzv9J4=")</f>
        <v>#VALUE!</v>
      </c>
      <c r="FD5" t="e">
        <f>AND('Current Index'!E132,"AAAAAHzv9J8=")</f>
        <v>#VALUE!</v>
      </c>
      <c r="FE5" t="e">
        <f>AND('Current Index'!F132,"AAAAAHzv9KA=")</f>
        <v>#VALUE!</v>
      </c>
      <c r="FF5" t="e">
        <f>AND('Current Index'!G132,"AAAAAHzv9KE=")</f>
        <v>#VALUE!</v>
      </c>
      <c r="FG5" t="e">
        <f>AND('Current Index'!H132,"AAAAAHzv9KI=")</f>
        <v>#VALUE!</v>
      </c>
      <c r="FH5" t="e">
        <f>AND('Current Index'!I132,"AAAAAHzv9KM=")</f>
        <v>#VALUE!</v>
      </c>
      <c r="FI5">
        <f>IF('Current Index'!133:133,"AAAAAHzv9KQ=",0)</f>
        <v>0</v>
      </c>
      <c r="FJ5" t="e">
        <f>AND('Current Index'!A133,"AAAAAHzv9KU=")</f>
        <v>#VALUE!</v>
      </c>
      <c r="FK5" t="e">
        <f>AND('Current Index'!#REF!,"AAAAAHzv9KY=")</f>
        <v>#REF!</v>
      </c>
      <c r="FL5" t="e">
        <f>AND('Current Index'!B133,"AAAAAHzv9Kc=")</f>
        <v>#VALUE!</v>
      </c>
      <c r="FM5" t="e">
        <f>AND('Current Index'!C133,"AAAAAHzv9Kg=")</f>
        <v>#VALUE!</v>
      </c>
      <c r="FN5" t="e">
        <f>AND('Current Index'!D133,"AAAAAHzv9Kk=")</f>
        <v>#VALUE!</v>
      </c>
      <c r="FO5" t="e">
        <f>AND('Current Index'!E133,"AAAAAHzv9Ko=")</f>
        <v>#VALUE!</v>
      </c>
      <c r="FP5" t="e">
        <f>AND('Current Index'!F133,"AAAAAHzv9Ks=")</f>
        <v>#VALUE!</v>
      </c>
      <c r="FQ5" t="e">
        <f>AND('Current Index'!G133,"AAAAAHzv9Kw=")</f>
        <v>#VALUE!</v>
      </c>
      <c r="FR5" t="e">
        <f>AND('Current Index'!H133,"AAAAAHzv9K0=")</f>
        <v>#VALUE!</v>
      </c>
      <c r="FS5" t="e">
        <f>AND('Current Index'!I133,"AAAAAHzv9K4=")</f>
        <v>#VALUE!</v>
      </c>
      <c r="FT5" t="e">
        <f>IF('Current Index'!#REF!,"AAAAAHzv9K8=",0)</f>
        <v>#REF!</v>
      </c>
      <c r="FU5" t="e">
        <f>AND('Current Index'!#REF!,"AAAAAHzv9LA=")</f>
        <v>#REF!</v>
      </c>
      <c r="FV5" t="e">
        <f>AND('Current Index'!#REF!,"AAAAAHzv9LE=")</f>
        <v>#REF!</v>
      </c>
      <c r="FW5" t="e">
        <f>AND('Current Index'!#REF!,"AAAAAHzv9LI=")</f>
        <v>#REF!</v>
      </c>
      <c r="FX5" t="e">
        <f>AND('Current Index'!#REF!,"AAAAAHzv9LM=")</f>
        <v>#REF!</v>
      </c>
      <c r="FY5" t="e">
        <f>AND('Current Index'!#REF!,"AAAAAHzv9LQ=")</f>
        <v>#REF!</v>
      </c>
      <c r="FZ5" t="e">
        <f>AND('Current Index'!#REF!,"AAAAAHzv9LU=")</f>
        <v>#REF!</v>
      </c>
      <c r="GA5" t="e">
        <f>AND('Current Index'!#REF!,"AAAAAHzv9LY=")</f>
        <v>#REF!</v>
      </c>
      <c r="GB5" t="e">
        <f>AND('Current Index'!#REF!,"AAAAAHzv9Lc=")</f>
        <v>#REF!</v>
      </c>
      <c r="GC5" t="e">
        <f>AND('Current Index'!#REF!,"AAAAAHzv9Lg=")</f>
        <v>#REF!</v>
      </c>
      <c r="GD5" t="e">
        <f>AND('Current Index'!#REF!,"AAAAAHzv9Lk=")</f>
        <v>#REF!</v>
      </c>
      <c r="GE5" t="e">
        <f>IF('Current Index'!#REF!,"AAAAAHzv9Lo=",0)</f>
        <v>#REF!</v>
      </c>
      <c r="GF5" t="e">
        <f>AND('Current Index'!#REF!,"AAAAAHzv9Ls=")</f>
        <v>#REF!</v>
      </c>
      <c r="GG5" t="e">
        <f>AND('Current Index'!#REF!,"AAAAAHzv9Lw=")</f>
        <v>#REF!</v>
      </c>
      <c r="GH5" t="e">
        <f>AND('Current Index'!#REF!,"AAAAAHzv9L0=")</f>
        <v>#REF!</v>
      </c>
      <c r="GI5" t="e">
        <f>AND('Current Index'!#REF!,"AAAAAHzv9L4=")</f>
        <v>#REF!</v>
      </c>
      <c r="GJ5" t="e">
        <f>AND('Current Index'!#REF!,"AAAAAHzv9L8=")</f>
        <v>#REF!</v>
      </c>
      <c r="GK5" t="e">
        <f>AND('Current Index'!#REF!,"AAAAAHzv9MA=")</f>
        <v>#REF!</v>
      </c>
      <c r="GL5" t="e">
        <f>AND('Current Index'!#REF!,"AAAAAHzv9ME=")</f>
        <v>#REF!</v>
      </c>
      <c r="GM5" t="e">
        <f>AND('Current Index'!#REF!,"AAAAAHzv9MI=")</f>
        <v>#REF!</v>
      </c>
      <c r="GN5" t="e">
        <f>AND('Current Index'!#REF!,"AAAAAHzv9MM=")</f>
        <v>#REF!</v>
      </c>
      <c r="GO5" t="e">
        <f>AND('Current Index'!#REF!,"AAAAAHzv9MQ=")</f>
        <v>#REF!</v>
      </c>
      <c r="GP5" t="e">
        <f>IF('Current Index'!#REF!,"AAAAAHzv9MU=",0)</f>
        <v>#REF!</v>
      </c>
      <c r="GQ5" t="e">
        <f>AND('Current Index'!#REF!,"AAAAAHzv9MY=")</f>
        <v>#REF!</v>
      </c>
      <c r="GR5" t="e">
        <f>AND('Current Index'!#REF!,"AAAAAHzv9Mc=")</f>
        <v>#REF!</v>
      </c>
      <c r="GS5" t="e">
        <f>AND('Current Index'!#REF!,"AAAAAHzv9Mg=")</f>
        <v>#REF!</v>
      </c>
      <c r="GT5" t="e">
        <f>AND('Current Index'!#REF!,"AAAAAHzv9Mk=")</f>
        <v>#REF!</v>
      </c>
      <c r="GU5" t="e">
        <f>AND('Current Index'!#REF!,"AAAAAHzv9Mo=")</f>
        <v>#REF!</v>
      </c>
      <c r="GV5" t="e">
        <f>AND('Current Index'!#REF!,"AAAAAHzv9Ms=")</f>
        <v>#REF!</v>
      </c>
      <c r="GW5" t="e">
        <f>AND('Current Index'!#REF!,"AAAAAHzv9Mw=")</f>
        <v>#REF!</v>
      </c>
      <c r="GX5" t="e">
        <f>AND('Current Index'!#REF!,"AAAAAHzv9M0=")</f>
        <v>#REF!</v>
      </c>
      <c r="GY5" t="e">
        <f>AND('Current Index'!#REF!,"AAAAAHzv9M4=")</f>
        <v>#REF!</v>
      </c>
      <c r="GZ5" t="e">
        <f>AND('Current Index'!#REF!,"AAAAAHzv9M8=")</f>
        <v>#REF!</v>
      </c>
      <c r="HA5" t="e">
        <f>IF('Current Index'!#REF!,"AAAAAHzv9NA=",0)</f>
        <v>#REF!</v>
      </c>
      <c r="HB5" t="e">
        <f>AND('Current Index'!#REF!,"AAAAAHzv9NE=")</f>
        <v>#REF!</v>
      </c>
      <c r="HC5" t="e">
        <f>AND('Current Index'!#REF!,"AAAAAHzv9NI=")</f>
        <v>#REF!</v>
      </c>
      <c r="HD5" t="e">
        <f>AND('Current Index'!#REF!,"AAAAAHzv9NM=")</f>
        <v>#REF!</v>
      </c>
      <c r="HE5" t="e">
        <f>AND('Current Index'!#REF!,"AAAAAHzv9NQ=")</f>
        <v>#REF!</v>
      </c>
      <c r="HF5" t="e">
        <f>AND('Current Index'!#REF!,"AAAAAHzv9NU=")</f>
        <v>#REF!</v>
      </c>
      <c r="HG5" t="e">
        <f>AND('Current Index'!#REF!,"AAAAAHzv9NY=")</f>
        <v>#REF!</v>
      </c>
      <c r="HH5" t="e">
        <f>AND('Current Index'!#REF!,"AAAAAHzv9Nc=")</f>
        <v>#REF!</v>
      </c>
      <c r="HI5" t="e">
        <f>AND('Current Index'!#REF!,"AAAAAHzv9Ng=")</f>
        <v>#REF!</v>
      </c>
      <c r="HJ5" t="e">
        <f>AND('Current Index'!#REF!,"AAAAAHzv9Nk=")</f>
        <v>#REF!</v>
      </c>
      <c r="HK5" t="e">
        <f>AND('Current Index'!#REF!,"AAAAAHzv9No=")</f>
        <v>#REF!</v>
      </c>
      <c r="HL5" t="e">
        <f>IF('Current Index'!#REF!,"AAAAAHzv9Ns=",0)</f>
        <v>#REF!</v>
      </c>
      <c r="HM5" t="e">
        <f>AND('Current Index'!#REF!,"AAAAAHzv9Nw=")</f>
        <v>#REF!</v>
      </c>
      <c r="HN5" t="e">
        <f>AND('Current Index'!#REF!,"AAAAAHzv9N0=")</f>
        <v>#REF!</v>
      </c>
      <c r="HO5" t="e">
        <f>AND('Current Index'!#REF!,"AAAAAHzv9N4=")</f>
        <v>#REF!</v>
      </c>
      <c r="HP5" t="e">
        <f>AND('Current Index'!#REF!,"AAAAAHzv9N8=")</f>
        <v>#REF!</v>
      </c>
      <c r="HQ5" t="e">
        <f>AND('Current Index'!#REF!,"AAAAAHzv9OA=")</f>
        <v>#REF!</v>
      </c>
      <c r="HR5" t="e">
        <f>AND('Current Index'!#REF!,"AAAAAHzv9OE=")</f>
        <v>#REF!</v>
      </c>
      <c r="HS5" t="e">
        <f>AND('Current Index'!#REF!,"AAAAAHzv9OI=")</f>
        <v>#REF!</v>
      </c>
      <c r="HT5" t="e">
        <f>AND('Current Index'!#REF!,"AAAAAHzv9OM=")</f>
        <v>#REF!</v>
      </c>
      <c r="HU5" t="e">
        <f>AND('Current Index'!#REF!,"AAAAAHzv9OQ=")</f>
        <v>#REF!</v>
      </c>
      <c r="HV5" t="e">
        <f>AND('Current Index'!#REF!,"AAAAAHzv9OU=")</f>
        <v>#REF!</v>
      </c>
      <c r="HW5">
        <f>IF('Current Index'!137:137,"AAAAAHzv9OY=",0)</f>
        <v>0</v>
      </c>
      <c r="HX5" t="e">
        <f>AND('Current Index'!A137,"AAAAAHzv9Oc=")</f>
        <v>#VALUE!</v>
      </c>
      <c r="HY5" t="e">
        <f>AND('Current Index'!#REF!,"AAAAAHzv9Og=")</f>
        <v>#REF!</v>
      </c>
      <c r="HZ5" t="e">
        <f>AND('Current Index'!B137,"AAAAAHzv9Ok=")</f>
        <v>#VALUE!</v>
      </c>
      <c r="IA5" t="e">
        <f>AND('Current Index'!C137,"AAAAAHzv9Oo=")</f>
        <v>#VALUE!</v>
      </c>
      <c r="IB5" t="e">
        <f>AND('Current Index'!D137,"AAAAAHzv9Os=")</f>
        <v>#VALUE!</v>
      </c>
      <c r="IC5" t="e">
        <f>AND('Current Index'!E137,"AAAAAHzv9Ow=")</f>
        <v>#VALUE!</v>
      </c>
      <c r="ID5" t="e">
        <f>AND('Current Index'!F137,"AAAAAHzv9O0=")</f>
        <v>#VALUE!</v>
      </c>
      <c r="IE5" t="e">
        <f>AND('Current Index'!G137,"AAAAAHzv9O4=")</f>
        <v>#VALUE!</v>
      </c>
      <c r="IF5" t="e">
        <f>AND('Current Index'!H137,"AAAAAHzv9O8=")</f>
        <v>#VALUE!</v>
      </c>
      <c r="IG5" t="e">
        <f>AND('Current Index'!I137,"AAAAAHzv9PA=")</f>
        <v>#VALUE!</v>
      </c>
      <c r="IH5" t="e">
        <f>IF('Current Index'!#REF!,"AAAAAHzv9PE=",0)</f>
        <v>#REF!</v>
      </c>
      <c r="II5" t="e">
        <f>AND('Current Index'!#REF!,"AAAAAHzv9PI=")</f>
        <v>#REF!</v>
      </c>
      <c r="IJ5" t="e">
        <f>AND('Current Index'!#REF!,"AAAAAHzv9PM=")</f>
        <v>#REF!</v>
      </c>
      <c r="IK5" t="e">
        <f>AND('Current Index'!#REF!,"AAAAAHzv9PQ=")</f>
        <v>#REF!</v>
      </c>
      <c r="IL5" t="e">
        <f>AND('Current Index'!#REF!,"AAAAAHzv9PU=")</f>
        <v>#REF!</v>
      </c>
      <c r="IM5" t="e">
        <f>AND('Current Index'!#REF!,"AAAAAHzv9PY=")</f>
        <v>#REF!</v>
      </c>
      <c r="IN5" t="e">
        <f>AND('Current Index'!#REF!,"AAAAAHzv9Pc=")</f>
        <v>#REF!</v>
      </c>
      <c r="IO5" t="e">
        <f>AND('Current Index'!#REF!,"AAAAAHzv9Pg=")</f>
        <v>#REF!</v>
      </c>
      <c r="IP5" t="e">
        <f>AND('Current Index'!#REF!,"AAAAAHzv9Pk=")</f>
        <v>#REF!</v>
      </c>
      <c r="IQ5" t="e">
        <f>AND('Current Index'!#REF!,"AAAAAHzv9Po=")</f>
        <v>#REF!</v>
      </c>
      <c r="IR5" t="e">
        <f>AND('Current Index'!#REF!,"AAAAAHzv9Ps=")</f>
        <v>#REF!</v>
      </c>
      <c r="IS5">
        <f>IF('Current Index'!138:138,"AAAAAHzv9Pw=",0)</f>
        <v>0</v>
      </c>
      <c r="IT5" t="e">
        <f>AND('Current Index'!A138,"AAAAAHzv9P0=")</f>
        <v>#VALUE!</v>
      </c>
      <c r="IU5" t="e">
        <f>AND('Current Index'!#REF!,"AAAAAHzv9P4=")</f>
        <v>#REF!</v>
      </c>
      <c r="IV5" t="e">
        <f>AND('Current Index'!B138,"AAAAAHzv9P8=")</f>
        <v>#VALUE!</v>
      </c>
    </row>
    <row r="6" spans="1:256" x14ac:dyDescent="0.25">
      <c r="A6" t="e">
        <f>AND('Current Index'!C138,"AAAAAFjruwA=")</f>
        <v>#VALUE!</v>
      </c>
      <c r="B6" t="e">
        <f>AND('Current Index'!D138,"AAAAAFjruwE=")</f>
        <v>#VALUE!</v>
      </c>
      <c r="C6" t="e">
        <f>AND('Current Index'!E138,"AAAAAFjruwI=")</f>
        <v>#VALUE!</v>
      </c>
      <c r="D6" t="e">
        <f>AND('Current Index'!F138,"AAAAAFjruwM=")</f>
        <v>#VALUE!</v>
      </c>
      <c r="E6" t="e">
        <f>AND('Current Index'!G138,"AAAAAFjruwQ=")</f>
        <v>#VALUE!</v>
      </c>
      <c r="F6" t="e">
        <f>AND('Current Index'!H138,"AAAAAFjruwU=")</f>
        <v>#VALUE!</v>
      </c>
      <c r="G6" t="e">
        <f>AND('Current Index'!I138,"AAAAAFjruwY=")</f>
        <v>#VALUE!</v>
      </c>
      <c r="H6" t="e">
        <f>IF('Current Index'!#REF!,"AAAAAFjruwc=",0)</f>
        <v>#REF!</v>
      </c>
      <c r="I6" t="e">
        <f>AND('Current Index'!#REF!,"AAAAAFjruwg=")</f>
        <v>#REF!</v>
      </c>
      <c r="J6" t="e">
        <f>AND('Current Index'!#REF!,"AAAAAFjruwk=")</f>
        <v>#REF!</v>
      </c>
      <c r="K6" t="e">
        <f>AND('Current Index'!#REF!,"AAAAAFjruwo=")</f>
        <v>#REF!</v>
      </c>
      <c r="L6" t="e">
        <f>AND('Current Index'!#REF!,"AAAAAFjruws=")</f>
        <v>#REF!</v>
      </c>
      <c r="M6" t="e">
        <f>AND('Current Index'!#REF!,"AAAAAFjruww=")</f>
        <v>#REF!</v>
      </c>
      <c r="N6" t="e">
        <f>AND('Current Index'!#REF!,"AAAAAFjruw0=")</f>
        <v>#REF!</v>
      </c>
      <c r="O6" t="e">
        <f>AND('Current Index'!#REF!,"AAAAAFjruw4=")</f>
        <v>#REF!</v>
      </c>
      <c r="P6" t="e">
        <f>AND('Current Index'!#REF!,"AAAAAFjruw8=")</f>
        <v>#REF!</v>
      </c>
      <c r="Q6" t="e">
        <f>AND('Current Index'!#REF!,"AAAAAFjruxA=")</f>
        <v>#REF!</v>
      </c>
      <c r="R6" t="e">
        <f>AND('Current Index'!#REF!,"AAAAAFjruxE=")</f>
        <v>#REF!</v>
      </c>
      <c r="S6">
        <f>IF('Current Index'!139:139,"AAAAAFjruxI=",0)</f>
        <v>0</v>
      </c>
      <c r="T6" t="e">
        <f>AND('Current Index'!A139,"AAAAAFjruxM=")</f>
        <v>#VALUE!</v>
      </c>
      <c r="U6" t="e">
        <f>AND('Current Index'!#REF!,"AAAAAFjruxQ=")</f>
        <v>#REF!</v>
      </c>
      <c r="V6" t="e">
        <f>AND('Current Index'!B139,"AAAAAFjruxU=")</f>
        <v>#VALUE!</v>
      </c>
      <c r="W6" t="e">
        <f>AND('Current Index'!C139,"AAAAAFjruxY=")</f>
        <v>#VALUE!</v>
      </c>
      <c r="X6" t="e">
        <f>AND('Current Index'!D139,"AAAAAFjruxc=")</f>
        <v>#VALUE!</v>
      </c>
      <c r="Y6" t="e">
        <f>AND('Current Index'!E139,"AAAAAFjruxg=")</f>
        <v>#VALUE!</v>
      </c>
      <c r="Z6" t="e">
        <f>AND('Current Index'!F139,"AAAAAFjruxk=")</f>
        <v>#VALUE!</v>
      </c>
      <c r="AA6" t="e">
        <f>AND('Current Index'!G139,"AAAAAFjruxo=")</f>
        <v>#VALUE!</v>
      </c>
      <c r="AB6" t="e">
        <f>AND('Current Index'!H139,"AAAAAFjruxs=")</f>
        <v>#VALUE!</v>
      </c>
      <c r="AC6" t="e">
        <f>AND('Current Index'!I139,"AAAAAFjruxw=")</f>
        <v>#VALUE!</v>
      </c>
      <c r="AD6">
        <f>IF('Current Index'!140:140,"AAAAAFjrux0=",0)</f>
        <v>0</v>
      </c>
      <c r="AE6" t="e">
        <f>AND('Current Index'!A140,"AAAAAFjrux4=")</f>
        <v>#VALUE!</v>
      </c>
      <c r="AF6" t="e">
        <f>AND('Current Index'!#REF!,"AAAAAFjrux8=")</f>
        <v>#REF!</v>
      </c>
      <c r="AG6" t="e">
        <f>AND('Current Index'!B140,"AAAAAFjruyA=")</f>
        <v>#VALUE!</v>
      </c>
      <c r="AH6" t="e">
        <f>AND('Current Index'!C140,"AAAAAFjruyE=")</f>
        <v>#VALUE!</v>
      </c>
      <c r="AI6" t="e">
        <f>AND('Current Index'!D140,"AAAAAFjruyI=")</f>
        <v>#VALUE!</v>
      </c>
      <c r="AJ6" t="e">
        <f>AND('Current Index'!E140,"AAAAAFjruyM=")</f>
        <v>#VALUE!</v>
      </c>
      <c r="AK6" t="e">
        <f>AND('Current Index'!F140,"AAAAAFjruyQ=")</f>
        <v>#VALUE!</v>
      </c>
      <c r="AL6" t="e">
        <f>AND('Current Index'!G140,"AAAAAFjruyU=")</f>
        <v>#VALUE!</v>
      </c>
      <c r="AM6" t="e">
        <f>AND('Current Index'!H140,"AAAAAFjruyY=")</f>
        <v>#VALUE!</v>
      </c>
      <c r="AN6" t="e">
        <f>AND('Current Index'!I140,"AAAAAFjruyc=")</f>
        <v>#VALUE!</v>
      </c>
      <c r="AO6">
        <f>IF('Current Index'!141:141,"AAAAAFjruyg=",0)</f>
        <v>0</v>
      </c>
      <c r="AP6" t="e">
        <f>AND('Current Index'!A141,"AAAAAFjruyk=")</f>
        <v>#VALUE!</v>
      </c>
      <c r="AQ6" t="e">
        <f>AND('Current Index'!#REF!,"AAAAAFjruyo=")</f>
        <v>#REF!</v>
      </c>
      <c r="AR6" t="e">
        <f>AND('Current Index'!B141,"AAAAAFjruys=")</f>
        <v>#VALUE!</v>
      </c>
      <c r="AS6" t="e">
        <f>AND('Current Index'!C141,"AAAAAFjruyw=")</f>
        <v>#VALUE!</v>
      </c>
      <c r="AT6" t="e">
        <f>AND('Current Index'!D141,"AAAAAFjruy0=")</f>
        <v>#VALUE!</v>
      </c>
      <c r="AU6" t="e">
        <f>AND('Current Index'!E141,"AAAAAFjruy4=")</f>
        <v>#VALUE!</v>
      </c>
      <c r="AV6" t="e">
        <f>AND('Current Index'!F141,"AAAAAFjruy8=")</f>
        <v>#VALUE!</v>
      </c>
      <c r="AW6" t="e">
        <f>AND('Current Index'!G141,"AAAAAFjruzA=")</f>
        <v>#VALUE!</v>
      </c>
      <c r="AX6" t="e">
        <f>AND('Current Index'!H141,"AAAAAFjruzE=")</f>
        <v>#VALUE!</v>
      </c>
      <c r="AY6" t="e">
        <f>AND('Current Index'!I141,"AAAAAFjruzI=")</f>
        <v>#VALUE!</v>
      </c>
      <c r="AZ6">
        <f>IF('Current Index'!142:142,"AAAAAFjruzM=",0)</f>
        <v>0</v>
      </c>
      <c r="BA6" t="e">
        <f>AND('Current Index'!A142,"AAAAAFjruzQ=")</f>
        <v>#VALUE!</v>
      </c>
      <c r="BB6" t="e">
        <f>AND('Current Index'!#REF!,"AAAAAFjruzU=")</f>
        <v>#REF!</v>
      </c>
      <c r="BC6" t="e">
        <f>AND('Current Index'!B142,"AAAAAFjruzY=")</f>
        <v>#VALUE!</v>
      </c>
      <c r="BD6" t="e">
        <f>AND('Current Index'!C142,"AAAAAFjruzc=")</f>
        <v>#VALUE!</v>
      </c>
      <c r="BE6" t="e">
        <f>AND('Current Index'!D142,"AAAAAFjruzg=")</f>
        <v>#VALUE!</v>
      </c>
      <c r="BF6" t="e">
        <f>AND('Current Index'!E142,"AAAAAFjruzk=")</f>
        <v>#VALUE!</v>
      </c>
      <c r="BG6" t="e">
        <f>AND('Current Index'!F142,"AAAAAFjruzo=")</f>
        <v>#VALUE!</v>
      </c>
      <c r="BH6" t="e">
        <f>AND('Current Index'!G142,"AAAAAFjruzs=")</f>
        <v>#VALUE!</v>
      </c>
      <c r="BI6" t="e">
        <f>AND('Current Index'!H142,"AAAAAFjruzw=")</f>
        <v>#VALUE!</v>
      </c>
      <c r="BJ6" t="e">
        <f>AND('Current Index'!I142,"AAAAAFjruz0=")</f>
        <v>#VALUE!</v>
      </c>
      <c r="BK6">
        <f>IF('Current Index'!143:143,"AAAAAFjruz4=",0)</f>
        <v>0</v>
      </c>
      <c r="BL6" t="e">
        <f>AND('Current Index'!A143,"AAAAAFjruz8=")</f>
        <v>#VALUE!</v>
      </c>
      <c r="BM6" t="e">
        <f>AND('Current Index'!#REF!,"AAAAAFjru0A=")</f>
        <v>#REF!</v>
      </c>
      <c r="BN6" t="e">
        <f>AND('Current Index'!B143,"AAAAAFjru0E=")</f>
        <v>#VALUE!</v>
      </c>
      <c r="BO6" t="e">
        <f>AND('Current Index'!C143,"AAAAAFjru0I=")</f>
        <v>#VALUE!</v>
      </c>
      <c r="BP6" t="e">
        <f>AND('Current Index'!D143,"AAAAAFjru0M=")</f>
        <v>#VALUE!</v>
      </c>
      <c r="BQ6" t="e">
        <f>AND('Current Index'!E143,"AAAAAFjru0Q=")</f>
        <v>#VALUE!</v>
      </c>
      <c r="BR6" t="e">
        <f>AND('Current Index'!F143,"AAAAAFjru0U=")</f>
        <v>#VALUE!</v>
      </c>
      <c r="BS6" t="e">
        <f>AND('Current Index'!G143,"AAAAAFjru0Y=")</f>
        <v>#VALUE!</v>
      </c>
      <c r="BT6" t="e">
        <f>AND('Current Index'!H143,"AAAAAFjru0c=")</f>
        <v>#VALUE!</v>
      </c>
      <c r="BU6" t="e">
        <f>AND('Current Index'!I143,"AAAAAFjru0g=")</f>
        <v>#VALUE!</v>
      </c>
      <c r="BV6">
        <f>IF('Current Index'!144:144,"AAAAAFjru0k=",0)</f>
        <v>0</v>
      </c>
      <c r="BW6" t="e">
        <f>AND('Current Index'!A144,"AAAAAFjru0o=")</f>
        <v>#VALUE!</v>
      </c>
      <c r="BX6" t="e">
        <f>AND('Current Index'!#REF!,"AAAAAFjru0s=")</f>
        <v>#REF!</v>
      </c>
      <c r="BY6" t="e">
        <f>AND('Current Index'!B144,"AAAAAFjru0w=")</f>
        <v>#VALUE!</v>
      </c>
      <c r="BZ6" t="e">
        <f>AND('Current Index'!C144,"AAAAAFjru00=")</f>
        <v>#VALUE!</v>
      </c>
      <c r="CA6" t="e">
        <f>AND('Current Index'!D144,"AAAAAFjru04=")</f>
        <v>#VALUE!</v>
      </c>
      <c r="CB6" t="e">
        <f>AND('Current Index'!E144,"AAAAAFjru08=")</f>
        <v>#VALUE!</v>
      </c>
      <c r="CC6" t="e">
        <f>AND('Current Index'!F144,"AAAAAFjru1A=")</f>
        <v>#VALUE!</v>
      </c>
      <c r="CD6" t="e">
        <f>AND('Current Index'!G144,"AAAAAFjru1E=")</f>
        <v>#VALUE!</v>
      </c>
      <c r="CE6" t="e">
        <f>AND('Current Index'!H144,"AAAAAFjru1I=")</f>
        <v>#VALUE!</v>
      </c>
      <c r="CF6" t="e">
        <f>AND('Current Index'!I144,"AAAAAFjru1M=")</f>
        <v>#VALUE!</v>
      </c>
      <c r="CG6">
        <f>IF('Current Index'!145:145,"AAAAAFjru1Q=",0)</f>
        <v>0</v>
      </c>
      <c r="CH6" t="e">
        <f>AND('Current Index'!A145,"AAAAAFjru1U=")</f>
        <v>#VALUE!</v>
      </c>
      <c r="CI6" t="e">
        <f>AND('Current Index'!#REF!,"AAAAAFjru1Y=")</f>
        <v>#REF!</v>
      </c>
      <c r="CJ6" t="e">
        <f>AND('Current Index'!B145,"AAAAAFjru1c=")</f>
        <v>#VALUE!</v>
      </c>
      <c r="CK6" t="e">
        <f>AND('Current Index'!C145,"AAAAAFjru1g=")</f>
        <v>#VALUE!</v>
      </c>
      <c r="CL6" t="e">
        <f>AND('Current Index'!D145,"AAAAAFjru1k=")</f>
        <v>#VALUE!</v>
      </c>
      <c r="CM6" t="e">
        <f>AND('Current Index'!E145,"AAAAAFjru1o=")</f>
        <v>#VALUE!</v>
      </c>
      <c r="CN6" t="e">
        <f>AND('Current Index'!F145,"AAAAAFjru1s=")</f>
        <v>#VALUE!</v>
      </c>
      <c r="CO6" t="e">
        <f>AND('Current Index'!G145,"AAAAAFjru1w=")</f>
        <v>#VALUE!</v>
      </c>
      <c r="CP6" t="e">
        <f>AND('Current Index'!H145,"AAAAAFjru10=")</f>
        <v>#VALUE!</v>
      </c>
      <c r="CQ6" t="e">
        <f>AND('Current Index'!I145,"AAAAAFjru14=")</f>
        <v>#VALUE!</v>
      </c>
      <c r="CR6">
        <f>IF('Current Index'!146:146,"AAAAAFjru18=",0)</f>
        <v>0</v>
      </c>
      <c r="CS6" t="e">
        <f>AND('Current Index'!A146,"AAAAAFjru2A=")</f>
        <v>#VALUE!</v>
      </c>
      <c r="CT6" t="e">
        <f>AND('Current Index'!#REF!,"AAAAAFjru2E=")</f>
        <v>#REF!</v>
      </c>
      <c r="CU6" t="e">
        <f>AND('Current Index'!B146,"AAAAAFjru2I=")</f>
        <v>#VALUE!</v>
      </c>
      <c r="CV6" t="e">
        <f>AND('Current Index'!C146,"AAAAAFjru2M=")</f>
        <v>#VALUE!</v>
      </c>
      <c r="CW6" t="e">
        <f>AND('Current Index'!D146,"AAAAAFjru2Q=")</f>
        <v>#VALUE!</v>
      </c>
      <c r="CX6" t="e">
        <f>AND('Current Index'!E146,"AAAAAFjru2U=")</f>
        <v>#VALUE!</v>
      </c>
      <c r="CY6" t="e">
        <f>AND('Current Index'!F146,"AAAAAFjru2Y=")</f>
        <v>#VALUE!</v>
      </c>
      <c r="CZ6" t="e">
        <f>AND('Current Index'!G146,"AAAAAFjru2c=")</f>
        <v>#VALUE!</v>
      </c>
      <c r="DA6" t="e">
        <f>AND('Current Index'!H146,"AAAAAFjru2g=")</f>
        <v>#VALUE!</v>
      </c>
      <c r="DB6" t="e">
        <f>AND('Current Index'!I146,"AAAAAFjru2k=")</f>
        <v>#VALUE!</v>
      </c>
      <c r="DC6">
        <f>IF('Current Index'!147:147,"AAAAAFjru2o=",0)</f>
        <v>0</v>
      </c>
      <c r="DD6" t="e">
        <f>AND('Current Index'!A147,"AAAAAFjru2s=")</f>
        <v>#VALUE!</v>
      </c>
      <c r="DE6" t="e">
        <f>AND('Current Index'!#REF!,"AAAAAFjru2w=")</f>
        <v>#REF!</v>
      </c>
      <c r="DF6" t="e">
        <f>AND('Current Index'!B147,"AAAAAFjru20=")</f>
        <v>#VALUE!</v>
      </c>
      <c r="DG6" t="e">
        <f>AND('Current Index'!C147,"AAAAAFjru24=")</f>
        <v>#VALUE!</v>
      </c>
      <c r="DH6" t="e">
        <f>AND('Current Index'!D147,"AAAAAFjru28=")</f>
        <v>#VALUE!</v>
      </c>
      <c r="DI6" t="e">
        <f>AND('Current Index'!E147,"AAAAAFjru3A=")</f>
        <v>#VALUE!</v>
      </c>
      <c r="DJ6" t="e">
        <f>AND('Current Index'!F147,"AAAAAFjru3E=")</f>
        <v>#VALUE!</v>
      </c>
      <c r="DK6" t="e">
        <f>AND('Current Index'!G147,"AAAAAFjru3I=")</f>
        <v>#VALUE!</v>
      </c>
      <c r="DL6" t="e">
        <f>AND('Current Index'!H147,"AAAAAFjru3M=")</f>
        <v>#VALUE!</v>
      </c>
      <c r="DM6" t="e">
        <f>AND('Current Index'!I147,"AAAAAFjru3Q=")</f>
        <v>#VALUE!</v>
      </c>
      <c r="DN6" t="e">
        <f>IF('Current Index'!#REF!,"AAAAAFjru3U=",0)</f>
        <v>#REF!</v>
      </c>
      <c r="DO6" t="e">
        <f>AND('Current Index'!#REF!,"AAAAAFjru3Y=")</f>
        <v>#REF!</v>
      </c>
      <c r="DP6" t="e">
        <f>AND('Current Index'!#REF!,"AAAAAFjru3c=")</f>
        <v>#REF!</v>
      </c>
      <c r="DQ6" t="e">
        <f>AND('Current Index'!#REF!,"AAAAAFjru3g=")</f>
        <v>#REF!</v>
      </c>
      <c r="DR6" t="e">
        <f>AND('Current Index'!#REF!,"AAAAAFjru3k=")</f>
        <v>#REF!</v>
      </c>
      <c r="DS6" t="e">
        <f>AND('Current Index'!#REF!,"AAAAAFjru3o=")</f>
        <v>#REF!</v>
      </c>
      <c r="DT6" t="e">
        <f>AND('Current Index'!#REF!,"AAAAAFjru3s=")</f>
        <v>#REF!</v>
      </c>
      <c r="DU6" t="e">
        <f>AND('Current Index'!#REF!,"AAAAAFjru3w=")</f>
        <v>#REF!</v>
      </c>
      <c r="DV6" t="e">
        <f>AND('Current Index'!#REF!,"AAAAAFjru30=")</f>
        <v>#REF!</v>
      </c>
      <c r="DW6" t="e">
        <f>AND('Current Index'!#REF!,"AAAAAFjru34=")</f>
        <v>#REF!</v>
      </c>
      <c r="DX6" t="e">
        <f>AND('Current Index'!#REF!,"AAAAAFjru38=")</f>
        <v>#REF!</v>
      </c>
      <c r="DY6" t="e">
        <f>IF('Current Index'!#REF!,"AAAAAFjru4A=",0)</f>
        <v>#REF!</v>
      </c>
      <c r="DZ6" t="e">
        <f>AND('Current Index'!#REF!,"AAAAAFjru4E=")</f>
        <v>#REF!</v>
      </c>
      <c r="EA6" t="e">
        <f>AND('Current Index'!#REF!,"AAAAAFjru4I=")</f>
        <v>#REF!</v>
      </c>
      <c r="EB6" t="e">
        <f>AND('Current Index'!#REF!,"AAAAAFjru4M=")</f>
        <v>#REF!</v>
      </c>
      <c r="EC6" t="e">
        <f>AND('Current Index'!#REF!,"AAAAAFjru4Q=")</f>
        <v>#REF!</v>
      </c>
      <c r="ED6" t="e">
        <f>AND('Current Index'!#REF!,"AAAAAFjru4U=")</f>
        <v>#REF!</v>
      </c>
      <c r="EE6" t="e">
        <f>AND('Current Index'!#REF!,"AAAAAFjru4Y=")</f>
        <v>#REF!</v>
      </c>
      <c r="EF6" t="e">
        <f>AND('Current Index'!#REF!,"AAAAAFjru4c=")</f>
        <v>#REF!</v>
      </c>
      <c r="EG6" t="e">
        <f>AND('Current Index'!#REF!,"AAAAAFjru4g=")</f>
        <v>#REF!</v>
      </c>
      <c r="EH6" t="e">
        <f>AND('Current Index'!#REF!,"AAAAAFjru4k=")</f>
        <v>#REF!</v>
      </c>
      <c r="EI6" t="e">
        <f>AND('Current Index'!#REF!,"AAAAAFjru4o=")</f>
        <v>#REF!</v>
      </c>
      <c r="EJ6" t="e">
        <f>IF('Current Index'!#REF!,"AAAAAFjru4s=",0)</f>
        <v>#REF!</v>
      </c>
      <c r="EK6" t="e">
        <f>AND('Current Index'!#REF!,"AAAAAFjru4w=")</f>
        <v>#REF!</v>
      </c>
      <c r="EL6" t="e">
        <f>AND('Current Index'!#REF!,"AAAAAFjru40=")</f>
        <v>#REF!</v>
      </c>
      <c r="EM6" t="e">
        <f>AND('Current Index'!#REF!,"AAAAAFjru44=")</f>
        <v>#REF!</v>
      </c>
      <c r="EN6" t="e">
        <f>AND('Current Index'!#REF!,"AAAAAFjru48=")</f>
        <v>#REF!</v>
      </c>
      <c r="EO6" t="e">
        <f>AND('Current Index'!#REF!,"AAAAAFjru5A=")</f>
        <v>#REF!</v>
      </c>
      <c r="EP6" t="e">
        <f>AND('Current Index'!#REF!,"AAAAAFjru5E=")</f>
        <v>#REF!</v>
      </c>
      <c r="EQ6" t="e">
        <f>AND('Current Index'!#REF!,"AAAAAFjru5I=")</f>
        <v>#REF!</v>
      </c>
      <c r="ER6" t="e">
        <f>AND('Current Index'!#REF!,"AAAAAFjru5M=")</f>
        <v>#REF!</v>
      </c>
      <c r="ES6" t="e">
        <f>AND('Current Index'!#REF!,"AAAAAFjru5Q=")</f>
        <v>#REF!</v>
      </c>
      <c r="ET6" t="e">
        <f>AND('Current Index'!#REF!,"AAAAAFjru5U=")</f>
        <v>#REF!</v>
      </c>
      <c r="EU6">
        <f>IF('Current Index'!148:148,"AAAAAFjru5Y=",0)</f>
        <v>0</v>
      </c>
      <c r="EV6" t="e">
        <f>AND('Current Index'!A148,"AAAAAFjru5c=")</f>
        <v>#VALUE!</v>
      </c>
      <c r="EW6" t="e">
        <f>AND('Current Index'!#REF!,"AAAAAFjru5g=")</f>
        <v>#REF!</v>
      </c>
      <c r="EX6" t="e">
        <f>AND('Current Index'!B148,"AAAAAFjru5k=")</f>
        <v>#VALUE!</v>
      </c>
      <c r="EY6" t="e">
        <f>AND('Current Index'!C148,"AAAAAFjru5o=")</f>
        <v>#VALUE!</v>
      </c>
      <c r="EZ6" t="e">
        <f>AND('Current Index'!D148,"AAAAAFjru5s=")</f>
        <v>#VALUE!</v>
      </c>
      <c r="FA6" t="e">
        <f>AND('Current Index'!E148,"AAAAAFjru5w=")</f>
        <v>#VALUE!</v>
      </c>
      <c r="FB6" t="e">
        <f>AND('Current Index'!F148,"AAAAAFjru50=")</f>
        <v>#VALUE!</v>
      </c>
      <c r="FC6" t="e">
        <f>AND('Current Index'!G148,"AAAAAFjru54=")</f>
        <v>#VALUE!</v>
      </c>
      <c r="FD6" t="e">
        <f>AND('Current Index'!H148,"AAAAAFjru58=")</f>
        <v>#VALUE!</v>
      </c>
      <c r="FE6" t="e">
        <f>AND('Current Index'!I148,"AAAAAFjru6A=")</f>
        <v>#VALUE!</v>
      </c>
      <c r="FF6">
        <f>IF('Current Index'!150:150,"AAAAAFjru6E=",0)</f>
        <v>0</v>
      </c>
      <c r="FG6" t="e">
        <f>AND('Current Index'!A150,"AAAAAFjru6I=")</f>
        <v>#VALUE!</v>
      </c>
      <c r="FH6" t="e">
        <f>AND('Current Index'!#REF!,"AAAAAFjru6M=")</f>
        <v>#REF!</v>
      </c>
      <c r="FI6" t="e">
        <f>AND('Current Index'!B150,"AAAAAFjru6Q=")</f>
        <v>#VALUE!</v>
      </c>
      <c r="FJ6" t="e">
        <f>AND('Current Index'!C150,"AAAAAFjru6U=")</f>
        <v>#VALUE!</v>
      </c>
      <c r="FK6" t="e">
        <f>AND('Current Index'!D150,"AAAAAFjru6Y=")</f>
        <v>#VALUE!</v>
      </c>
      <c r="FL6" t="e">
        <f>AND('Current Index'!E150,"AAAAAFjru6c=")</f>
        <v>#VALUE!</v>
      </c>
      <c r="FM6" t="e">
        <f>AND('Current Index'!F150,"AAAAAFjru6g=")</f>
        <v>#VALUE!</v>
      </c>
      <c r="FN6" t="e">
        <f>AND('Current Index'!G150,"AAAAAFjru6k=")</f>
        <v>#VALUE!</v>
      </c>
      <c r="FO6" t="e">
        <f>AND('Current Index'!H150,"AAAAAFjru6o=")</f>
        <v>#VALUE!</v>
      </c>
      <c r="FP6" t="e">
        <f>AND('Current Index'!I150,"AAAAAFjru6s=")</f>
        <v>#VALUE!</v>
      </c>
      <c r="FQ6">
        <f>IF('Current Index'!152:152,"AAAAAFjru6w=",0)</f>
        <v>0</v>
      </c>
      <c r="FR6" t="e">
        <f>AND('Current Index'!A152,"AAAAAFjru60=")</f>
        <v>#VALUE!</v>
      </c>
      <c r="FS6" t="e">
        <f>AND('Current Index'!#REF!,"AAAAAFjru64=")</f>
        <v>#REF!</v>
      </c>
      <c r="FT6" t="e">
        <f>AND('Current Index'!B152,"AAAAAFjru68=")</f>
        <v>#VALUE!</v>
      </c>
      <c r="FU6" t="e">
        <f>AND('Current Index'!C152,"AAAAAFjru7A=")</f>
        <v>#VALUE!</v>
      </c>
      <c r="FV6" t="e">
        <f>AND('Current Index'!D152,"AAAAAFjru7E=")</f>
        <v>#VALUE!</v>
      </c>
      <c r="FW6" t="e">
        <f>AND('Current Index'!E152,"AAAAAFjru7I=")</f>
        <v>#VALUE!</v>
      </c>
      <c r="FX6" t="e">
        <f>AND('Current Index'!F152,"AAAAAFjru7M=")</f>
        <v>#VALUE!</v>
      </c>
      <c r="FY6" t="e">
        <f>AND('Current Index'!G152,"AAAAAFjru7Q=")</f>
        <v>#VALUE!</v>
      </c>
      <c r="FZ6" t="e">
        <f>AND('Current Index'!H152,"AAAAAFjru7U=")</f>
        <v>#VALUE!</v>
      </c>
      <c r="GA6" t="e">
        <f>AND('Current Index'!I152,"AAAAAFjru7Y=")</f>
        <v>#VALUE!</v>
      </c>
      <c r="GB6">
        <f>IF('Current Index'!153:153,"AAAAAFjru7c=",0)</f>
        <v>0</v>
      </c>
      <c r="GC6" t="e">
        <f>AND('Current Index'!A153,"AAAAAFjru7g=")</f>
        <v>#VALUE!</v>
      </c>
      <c r="GD6" t="e">
        <f>AND('Current Index'!#REF!,"AAAAAFjru7k=")</f>
        <v>#REF!</v>
      </c>
      <c r="GE6" t="e">
        <f>AND('Current Index'!B153,"AAAAAFjru7o=")</f>
        <v>#VALUE!</v>
      </c>
      <c r="GF6" t="e">
        <f>AND('Current Index'!C153,"AAAAAFjru7s=")</f>
        <v>#VALUE!</v>
      </c>
      <c r="GG6" t="e">
        <f>AND('Current Index'!D153,"AAAAAFjru7w=")</f>
        <v>#VALUE!</v>
      </c>
      <c r="GH6" t="e">
        <f>AND('Current Index'!E153,"AAAAAFjru70=")</f>
        <v>#VALUE!</v>
      </c>
      <c r="GI6" t="e">
        <f>AND('Current Index'!F153,"AAAAAFjru74=")</f>
        <v>#VALUE!</v>
      </c>
      <c r="GJ6" t="e">
        <f>AND('Current Index'!G153,"AAAAAFjru78=")</f>
        <v>#VALUE!</v>
      </c>
      <c r="GK6" t="e">
        <f>AND('Current Index'!H153,"AAAAAFjru8A=")</f>
        <v>#VALUE!</v>
      </c>
      <c r="GL6" t="e">
        <f>AND('Current Index'!I153,"AAAAAFjru8E=")</f>
        <v>#VALUE!</v>
      </c>
      <c r="GM6">
        <f>IF('Current Index'!154:154,"AAAAAFjru8I=",0)</f>
        <v>0</v>
      </c>
      <c r="GN6" t="e">
        <f>AND('Current Index'!A154,"AAAAAFjru8M=")</f>
        <v>#VALUE!</v>
      </c>
      <c r="GO6" t="e">
        <f>AND('Current Index'!#REF!,"AAAAAFjru8Q=")</f>
        <v>#REF!</v>
      </c>
      <c r="GP6" t="e">
        <f>AND('Current Index'!B154,"AAAAAFjru8U=")</f>
        <v>#VALUE!</v>
      </c>
      <c r="GQ6" t="e">
        <f>AND('Current Index'!C154,"AAAAAFjru8Y=")</f>
        <v>#VALUE!</v>
      </c>
      <c r="GR6" t="e">
        <f>AND('Current Index'!D154,"AAAAAFjru8c=")</f>
        <v>#VALUE!</v>
      </c>
      <c r="GS6" t="e">
        <f>AND('Current Index'!E154,"AAAAAFjru8g=")</f>
        <v>#VALUE!</v>
      </c>
      <c r="GT6" t="e">
        <f>AND('Current Index'!F154,"AAAAAFjru8k=")</f>
        <v>#VALUE!</v>
      </c>
      <c r="GU6" t="e">
        <f>AND('Current Index'!G154,"AAAAAFjru8o=")</f>
        <v>#VALUE!</v>
      </c>
      <c r="GV6" t="e">
        <f>AND('Current Index'!H154,"AAAAAFjru8s=")</f>
        <v>#VALUE!</v>
      </c>
      <c r="GW6" t="e">
        <f>AND('Current Index'!I154,"AAAAAFjru8w=")</f>
        <v>#VALUE!</v>
      </c>
      <c r="GX6">
        <f>IF('Current Index'!156:156,"AAAAAFjru80=",0)</f>
        <v>0</v>
      </c>
      <c r="GY6" t="e">
        <f>AND('Current Index'!A156,"AAAAAFjru84=")</f>
        <v>#VALUE!</v>
      </c>
      <c r="GZ6" t="e">
        <f>AND('Current Index'!#REF!,"AAAAAFjru88=")</f>
        <v>#REF!</v>
      </c>
      <c r="HA6" t="e">
        <f>AND('Current Index'!B156,"AAAAAFjru9A=")</f>
        <v>#VALUE!</v>
      </c>
      <c r="HB6" t="e">
        <f>AND('Current Index'!C156,"AAAAAFjru9E=")</f>
        <v>#VALUE!</v>
      </c>
      <c r="HC6" t="e">
        <f>AND('Current Index'!D156,"AAAAAFjru9I=")</f>
        <v>#VALUE!</v>
      </c>
      <c r="HD6" t="e">
        <f>AND('Current Index'!E156,"AAAAAFjru9M=")</f>
        <v>#VALUE!</v>
      </c>
      <c r="HE6" t="e">
        <f>AND('Current Index'!F156,"AAAAAFjru9Q=")</f>
        <v>#VALUE!</v>
      </c>
      <c r="HF6" t="e">
        <f>AND('Current Index'!G156,"AAAAAFjru9U=")</f>
        <v>#VALUE!</v>
      </c>
      <c r="HG6" t="e">
        <f>AND('Current Index'!H156,"AAAAAFjru9Y=")</f>
        <v>#VALUE!</v>
      </c>
      <c r="HH6" t="e">
        <f>AND('Current Index'!I156,"AAAAAFjru9c=")</f>
        <v>#VALUE!</v>
      </c>
      <c r="HI6">
        <f>IF('Current Index'!157:157,"AAAAAFjru9g=",0)</f>
        <v>0</v>
      </c>
      <c r="HJ6" t="e">
        <f>AND('Current Index'!A157,"AAAAAFjru9k=")</f>
        <v>#VALUE!</v>
      </c>
      <c r="HK6" t="e">
        <f>AND('Current Index'!#REF!,"AAAAAFjru9o=")</f>
        <v>#REF!</v>
      </c>
      <c r="HL6" t="e">
        <f>AND('Current Index'!B157,"AAAAAFjru9s=")</f>
        <v>#VALUE!</v>
      </c>
      <c r="HM6" t="e">
        <f>AND('Current Index'!C157,"AAAAAFjru9w=")</f>
        <v>#VALUE!</v>
      </c>
      <c r="HN6" t="e">
        <f>AND('Current Index'!D157,"AAAAAFjru90=")</f>
        <v>#VALUE!</v>
      </c>
      <c r="HO6" t="e">
        <f>AND('Current Index'!E157,"AAAAAFjru94=")</f>
        <v>#VALUE!</v>
      </c>
      <c r="HP6" t="e">
        <f>AND('Current Index'!F157,"AAAAAFjru98=")</f>
        <v>#VALUE!</v>
      </c>
      <c r="HQ6" t="e">
        <f>AND('Current Index'!G157,"AAAAAFjru+A=")</f>
        <v>#VALUE!</v>
      </c>
      <c r="HR6" t="e">
        <f>AND('Current Index'!H157,"AAAAAFjru+E=")</f>
        <v>#VALUE!</v>
      </c>
      <c r="HS6" t="e">
        <f>AND('Current Index'!I157,"AAAAAFjru+I=")</f>
        <v>#VALUE!</v>
      </c>
      <c r="HT6" t="e">
        <f>IF('Current Index'!#REF!,"AAAAAFjru+M=",0)</f>
        <v>#REF!</v>
      </c>
      <c r="HU6" t="e">
        <f>AND('Current Index'!#REF!,"AAAAAFjru+Q=")</f>
        <v>#REF!</v>
      </c>
      <c r="HV6" t="e">
        <f>AND('Current Index'!#REF!,"AAAAAFjru+U=")</f>
        <v>#REF!</v>
      </c>
      <c r="HW6" t="e">
        <f>AND('Current Index'!#REF!,"AAAAAFjru+Y=")</f>
        <v>#REF!</v>
      </c>
      <c r="HX6" t="e">
        <f>AND('Current Index'!#REF!,"AAAAAFjru+c=")</f>
        <v>#REF!</v>
      </c>
      <c r="HY6" t="e">
        <f>AND('Current Index'!#REF!,"AAAAAFjru+g=")</f>
        <v>#REF!</v>
      </c>
      <c r="HZ6" t="e">
        <f>AND('Current Index'!#REF!,"AAAAAFjru+k=")</f>
        <v>#REF!</v>
      </c>
      <c r="IA6" t="e">
        <f>AND('Current Index'!#REF!,"AAAAAFjru+o=")</f>
        <v>#REF!</v>
      </c>
      <c r="IB6" t="e">
        <f>AND('Current Index'!#REF!,"AAAAAFjru+s=")</f>
        <v>#REF!</v>
      </c>
      <c r="IC6" t="e">
        <f>AND('Current Index'!#REF!,"AAAAAFjru+w=")</f>
        <v>#REF!</v>
      </c>
      <c r="ID6" t="e">
        <f>AND('Current Index'!#REF!,"AAAAAFjru+0=")</f>
        <v>#REF!</v>
      </c>
      <c r="IE6">
        <f>IF('Current Index'!158:158,"AAAAAFjru+4=",0)</f>
        <v>0</v>
      </c>
      <c r="IF6" t="e">
        <f>AND('Current Index'!A158,"AAAAAFjru+8=")</f>
        <v>#VALUE!</v>
      </c>
      <c r="IG6" t="e">
        <f>AND('Current Index'!#REF!,"AAAAAFjru/A=")</f>
        <v>#REF!</v>
      </c>
      <c r="IH6" t="e">
        <f>AND('Current Index'!B158,"AAAAAFjru/E=")</f>
        <v>#VALUE!</v>
      </c>
      <c r="II6" t="e">
        <f>AND('Current Index'!C158,"AAAAAFjru/I=")</f>
        <v>#VALUE!</v>
      </c>
      <c r="IJ6" t="e">
        <f>AND('Current Index'!D158,"AAAAAFjru/M=")</f>
        <v>#VALUE!</v>
      </c>
      <c r="IK6" t="e">
        <f>AND('Current Index'!E158,"AAAAAFjru/Q=")</f>
        <v>#VALUE!</v>
      </c>
      <c r="IL6" t="e">
        <f>AND('Current Index'!F158,"AAAAAFjru/U=")</f>
        <v>#VALUE!</v>
      </c>
      <c r="IM6" t="e">
        <f>AND('Current Index'!G158,"AAAAAFjru/Y=")</f>
        <v>#VALUE!</v>
      </c>
      <c r="IN6" t="e">
        <f>AND('Current Index'!H158,"AAAAAFjru/c=")</f>
        <v>#VALUE!</v>
      </c>
      <c r="IO6" t="e">
        <f>AND('Current Index'!I158,"AAAAAFjru/g=")</f>
        <v>#VALUE!</v>
      </c>
      <c r="IP6">
        <f>IF('Current Index'!159:159,"AAAAAFjru/k=",0)</f>
        <v>0</v>
      </c>
      <c r="IQ6" t="e">
        <f>AND('Current Index'!A159,"AAAAAFjru/o=")</f>
        <v>#VALUE!</v>
      </c>
      <c r="IR6" t="e">
        <f>AND('Current Index'!#REF!,"AAAAAFjru/s=")</f>
        <v>#REF!</v>
      </c>
      <c r="IS6" t="e">
        <f>AND('Current Index'!B159,"AAAAAFjru/w=")</f>
        <v>#VALUE!</v>
      </c>
      <c r="IT6" t="e">
        <f>AND('Current Index'!C159,"AAAAAFjru/0=")</f>
        <v>#VALUE!</v>
      </c>
      <c r="IU6" t="e">
        <f>AND('Current Index'!D159,"AAAAAFjru/4=")</f>
        <v>#VALUE!</v>
      </c>
      <c r="IV6" t="e">
        <f>AND('Current Index'!E159,"AAAAAFjru/8=")</f>
        <v>#VALUE!</v>
      </c>
    </row>
    <row r="7" spans="1:256" x14ac:dyDescent="0.25">
      <c r="A7" t="e">
        <f>AND('Current Index'!F159,"AAAAAHd/cwA=")</f>
        <v>#VALUE!</v>
      </c>
      <c r="B7" t="e">
        <f>AND('Current Index'!G159,"AAAAAHd/cwE=")</f>
        <v>#VALUE!</v>
      </c>
      <c r="C7" t="e">
        <f>AND('Current Index'!H159,"AAAAAHd/cwI=")</f>
        <v>#VALUE!</v>
      </c>
      <c r="D7" t="e">
        <f>AND('Current Index'!I159,"AAAAAHd/cwM=")</f>
        <v>#VALUE!</v>
      </c>
      <c r="E7" t="e">
        <f>IF('Current Index'!160:160,"AAAAAHd/cwQ=",0)</f>
        <v>#VALUE!</v>
      </c>
      <c r="F7" t="e">
        <f>AND('Current Index'!A160,"AAAAAHd/cwU=")</f>
        <v>#VALUE!</v>
      </c>
      <c r="G7" t="e">
        <f>AND('Current Index'!#REF!,"AAAAAHd/cwY=")</f>
        <v>#REF!</v>
      </c>
      <c r="H7" t="e">
        <f>AND('Current Index'!B160,"AAAAAHd/cwc=")</f>
        <v>#VALUE!</v>
      </c>
      <c r="I7" t="e">
        <f>AND('Current Index'!C160,"AAAAAHd/cwg=")</f>
        <v>#VALUE!</v>
      </c>
      <c r="J7" t="e">
        <f>AND('Current Index'!D160,"AAAAAHd/cwk=")</f>
        <v>#VALUE!</v>
      </c>
      <c r="K7" t="e">
        <f>AND('Current Index'!E160,"AAAAAHd/cwo=")</f>
        <v>#VALUE!</v>
      </c>
      <c r="L7" t="e">
        <f>AND('Current Index'!F160,"AAAAAHd/cws=")</f>
        <v>#VALUE!</v>
      </c>
      <c r="M7" t="e">
        <f>AND('Current Index'!G160,"AAAAAHd/cww=")</f>
        <v>#VALUE!</v>
      </c>
      <c r="N7" t="e">
        <f>AND('Current Index'!H160,"AAAAAHd/cw0=")</f>
        <v>#VALUE!</v>
      </c>
      <c r="O7" t="e">
        <f>AND('Current Index'!I160,"AAAAAHd/cw4=")</f>
        <v>#VALUE!</v>
      </c>
      <c r="P7">
        <f>IF('Current Index'!161:161,"AAAAAHd/cw8=",0)</f>
        <v>0</v>
      </c>
      <c r="Q7" t="e">
        <f>AND('Current Index'!A161,"AAAAAHd/cxA=")</f>
        <v>#VALUE!</v>
      </c>
      <c r="R7" t="e">
        <f>AND('Current Index'!#REF!,"AAAAAHd/cxE=")</f>
        <v>#REF!</v>
      </c>
      <c r="S7" t="e">
        <f>AND('Current Index'!B161,"AAAAAHd/cxI=")</f>
        <v>#VALUE!</v>
      </c>
      <c r="T7" t="e">
        <f>AND('Current Index'!C161,"AAAAAHd/cxM=")</f>
        <v>#VALUE!</v>
      </c>
      <c r="U7" t="e">
        <f>AND('Current Index'!D161,"AAAAAHd/cxQ=")</f>
        <v>#VALUE!</v>
      </c>
      <c r="V7" t="e">
        <f>AND('Current Index'!E161,"AAAAAHd/cxU=")</f>
        <v>#VALUE!</v>
      </c>
      <c r="W7" t="e">
        <f>AND('Current Index'!F161,"AAAAAHd/cxY=")</f>
        <v>#VALUE!</v>
      </c>
      <c r="X7" t="e">
        <f>AND('Current Index'!G161,"AAAAAHd/cxc=")</f>
        <v>#VALUE!</v>
      </c>
      <c r="Y7" t="e">
        <f>AND('Current Index'!H161,"AAAAAHd/cxg=")</f>
        <v>#VALUE!</v>
      </c>
      <c r="Z7" t="e">
        <f>AND('Current Index'!I161,"AAAAAHd/cxk=")</f>
        <v>#VALUE!</v>
      </c>
      <c r="AA7">
        <f>IF('Current Index'!162:162,"AAAAAHd/cxo=",0)</f>
        <v>0</v>
      </c>
      <c r="AB7" t="e">
        <f>AND('Current Index'!A162,"AAAAAHd/cxs=")</f>
        <v>#VALUE!</v>
      </c>
      <c r="AC7" t="e">
        <f>AND('Current Index'!#REF!,"AAAAAHd/cxw=")</f>
        <v>#REF!</v>
      </c>
      <c r="AD7" t="e">
        <f>AND('Current Index'!B162,"AAAAAHd/cx0=")</f>
        <v>#VALUE!</v>
      </c>
      <c r="AE7" t="e">
        <f>AND('Current Index'!C162,"AAAAAHd/cx4=")</f>
        <v>#VALUE!</v>
      </c>
      <c r="AF7" t="e">
        <f>AND('Current Index'!D162,"AAAAAHd/cx8=")</f>
        <v>#VALUE!</v>
      </c>
      <c r="AG7" t="e">
        <f>AND('Current Index'!E162,"AAAAAHd/cyA=")</f>
        <v>#VALUE!</v>
      </c>
      <c r="AH7" t="e">
        <f>AND('Current Index'!F162,"AAAAAHd/cyE=")</f>
        <v>#VALUE!</v>
      </c>
      <c r="AI7" t="e">
        <f>AND('Current Index'!G162,"AAAAAHd/cyI=")</f>
        <v>#VALUE!</v>
      </c>
      <c r="AJ7" t="e">
        <f>AND('Current Index'!H162,"AAAAAHd/cyM=")</f>
        <v>#VALUE!</v>
      </c>
      <c r="AK7" t="e">
        <f>AND('Current Index'!I162,"AAAAAHd/cyQ=")</f>
        <v>#VALUE!</v>
      </c>
      <c r="AL7">
        <f>IF('Current Index'!163:163,"AAAAAHd/cyU=",0)</f>
        <v>0</v>
      </c>
      <c r="AM7" t="e">
        <f>AND('Current Index'!A163,"AAAAAHd/cyY=")</f>
        <v>#VALUE!</v>
      </c>
      <c r="AN7" t="e">
        <f>AND('Current Index'!#REF!,"AAAAAHd/cyc=")</f>
        <v>#REF!</v>
      </c>
      <c r="AO7" t="e">
        <f>AND('Current Index'!B163,"AAAAAHd/cyg=")</f>
        <v>#VALUE!</v>
      </c>
      <c r="AP7" t="e">
        <f>AND('Current Index'!C163,"AAAAAHd/cyk=")</f>
        <v>#VALUE!</v>
      </c>
      <c r="AQ7" t="e">
        <f>AND('Current Index'!D163,"AAAAAHd/cyo=")</f>
        <v>#VALUE!</v>
      </c>
      <c r="AR7" t="e">
        <f>AND('Current Index'!E163,"AAAAAHd/cys=")</f>
        <v>#VALUE!</v>
      </c>
      <c r="AS7" t="e">
        <f>AND('Current Index'!F163,"AAAAAHd/cyw=")</f>
        <v>#VALUE!</v>
      </c>
      <c r="AT7" t="e">
        <f>AND('Current Index'!G163,"AAAAAHd/cy0=")</f>
        <v>#VALUE!</v>
      </c>
      <c r="AU7" t="e">
        <f>AND('Current Index'!H163,"AAAAAHd/cy4=")</f>
        <v>#VALUE!</v>
      </c>
      <c r="AV7" t="e">
        <f>AND('Current Index'!I163,"AAAAAHd/cy8=")</f>
        <v>#VALUE!</v>
      </c>
      <c r="AW7">
        <f>IF('Current Index'!164:164,"AAAAAHd/czA=",0)</f>
        <v>0</v>
      </c>
      <c r="AX7" t="e">
        <f>AND('Current Index'!A164,"AAAAAHd/czE=")</f>
        <v>#VALUE!</v>
      </c>
      <c r="AY7" t="e">
        <f>AND('Current Index'!#REF!,"AAAAAHd/czI=")</f>
        <v>#REF!</v>
      </c>
      <c r="AZ7" t="e">
        <f>AND('Current Index'!B164,"AAAAAHd/czM=")</f>
        <v>#VALUE!</v>
      </c>
      <c r="BA7" t="e">
        <f>AND('Current Index'!C164,"AAAAAHd/czQ=")</f>
        <v>#VALUE!</v>
      </c>
      <c r="BB7" t="e">
        <f>AND('Current Index'!D164,"AAAAAHd/czU=")</f>
        <v>#VALUE!</v>
      </c>
      <c r="BC7" t="e">
        <f>AND('Current Index'!E164,"AAAAAHd/czY=")</f>
        <v>#VALUE!</v>
      </c>
      <c r="BD7" t="e">
        <f>AND('Current Index'!F164,"AAAAAHd/czc=")</f>
        <v>#VALUE!</v>
      </c>
      <c r="BE7" t="e">
        <f>AND('Current Index'!G164,"AAAAAHd/czg=")</f>
        <v>#VALUE!</v>
      </c>
      <c r="BF7" t="e">
        <f>AND('Current Index'!H164,"AAAAAHd/czk=")</f>
        <v>#VALUE!</v>
      </c>
      <c r="BG7" t="e">
        <f>AND('Current Index'!I164,"AAAAAHd/czo=")</f>
        <v>#VALUE!</v>
      </c>
      <c r="BH7">
        <f>IF('Current Index'!165:165,"AAAAAHd/czs=",0)</f>
        <v>0</v>
      </c>
      <c r="BI7" t="e">
        <f>AND('Current Index'!A165,"AAAAAHd/czw=")</f>
        <v>#VALUE!</v>
      </c>
      <c r="BJ7" t="e">
        <f>AND('Current Index'!#REF!,"AAAAAHd/cz0=")</f>
        <v>#REF!</v>
      </c>
      <c r="BK7" t="e">
        <f>AND('Current Index'!B165,"AAAAAHd/cz4=")</f>
        <v>#VALUE!</v>
      </c>
      <c r="BL7" t="e">
        <f>AND('Current Index'!C165,"AAAAAHd/cz8=")</f>
        <v>#VALUE!</v>
      </c>
      <c r="BM7" t="e">
        <f>AND('Current Index'!D165,"AAAAAHd/c0A=")</f>
        <v>#VALUE!</v>
      </c>
      <c r="BN7" t="e">
        <f>AND('Current Index'!E165,"AAAAAHd/c0E=")</f>
        <v>#VALUE!</v>
      </c>
      <c r="BO7" t="e">
        <f>AND('Current Index'!F165,"AAAAAHd/c0I=")</f>
        <v>#VALUE!</v>
      </c>
      <c r="BP7" t="e">
        <f>AND('Current Index'!G165,"AAAAAHd/c0M=")</f>
        <v>#VALUE!</v>
      </c>
      <c r="BQ7" t="e">
        <f>AND('Current Index'!H165,"AAAAAHd/c0Q=")</f>
        <v>#VALUE!</v>
      </c>
      <c r="BR7" t="e">
        <f>AND('Current Index'!I165,"AAAAAHd/c0U=")</f>
        <v>#VALUE!</v>
      </c>
      <c r="BS7" t="e">
        <f>IF('Current Index'!#REF!,"AAAAAHd/c0Y=",0)</f>
        <v>#REF!</v>
      </c>
      <c r="BT7" t="e">
        <f>AND('Current Index'!#REF!,"AAAAAHd/c0c=")</f>
        <v>#REF!</v>
      </c>
      <c r="BU7" t="e">
        <f>AND('Current Index'!#REF!,"AAAAAHd/c0g=")</f>
        <v>#REF!</v>
      </c>
      <c r="BV7" t="e">
        <f>AND('Current Index'!#REF!,"AAAAAHd/c0k=")</f>
        <v>#REF!</v>
      </c>
      <c r="BW7" t="e">
        <f>AND('Current Index'!#REF!,"AAAAAHd/c0o=")</f>
        <v>#REF!</v>
      </c>
      <c r="BX7" t="e">
        <f>AND('Current Index'!#REF!,"AAAAAHd/c0s=")</f>
        <v>#REF!</v>
      </c>
      <c r="BY7" t="e">
        <f>AND('Current Index'!#REF!,"AAAAAHd/c0w=")</f>
        <v>#REF!</v>
      </c>
      <c r="BZ7" t="e">
        <f>AND('Current Index'!#REF!,"AAAAAHd/c00=")</f>
        <v>#REF!</v>
      </c>
      <c r="CA7" t="e">
        <f>AND('Current Index'!#REF!,"AAAAAHd/c04=")</f>
        <v>#REF!</v>
      </c>
      <c r="CB7" t="e">
        <f>AND('Current Index'!#REF!,"AAAAAHd/c08=")</f>
        <v>#REF!</v>
      </c>
      <c r="CC7" t="e">
        <f>AND('Current Index'!#REF!,"AAAAAHd/c1A=")</f>
        <v>#REF!</v>
      </c>
      <c r="CD7">
        <f>IF('Current Index'!167:167,"AAAAAHd/c1E=",0)</f>
        <v>0</v>
      </c>
      <c r="CE7" t="e">
        <f>AND('Current Index'!A167,"AAAAAHd/c1I=")</f>
        <v>#VALUE!</v>
      </c>
      <c r="CF7" t="e">
        <f>AND('Current Index'!#REF!,"AAAAAHd/c1M=")</f>
        <v>#REF!</v>
      </c>
      <c r="CG7" t="e">
        <f>AND('Current Index'!B167,"AAAAAHd/c1Q=")</f>
        <v>#VALUE!</v>
      </c>
      <c r="CH7" t="e">
        <f>AND('Current Index'!C167,"AAAAAHd/c1U=")</f>
        <v>#VALUE!</v>
      </c>
      <c r="CI7" t="e">
        <f>AND('Current Index'!D167,"AAAAAHd/c1Y=")</f>
        <v>#VALUE!</v>
      </c>
      <c r="CJ7" t="e">
        <f>AND('Current Index'!E167,"AAAAAHd/c1c=")</f>
        <v>#VALUE!</v>
      </c>
      <c r="CK7" t="e">
        <f>AND('Current Index'!F167,"AAAAAHd/c1g=")</f>
        <v>#VALUE!</v>
      </c>
      <c r="CL7" t="e">
        <f>AND('Current Index'!G167,"AAAAAHd/c1k=")</f>
        <v>#VALUE!</v>
      </c>
      <c r="CM7" t="e">
        <f>AND('Current Index'!H167,"AAAAAHd/c1o=")</f>
        <v>#VALUE!</v>
      </c>
      <c r="CN7" t="e">
        <f>AND('Current Index'!I167,"AAAAAHd/c1s=")</f>
        <v>#VALUE!</v>
      </c>
      <c r="CO7">
        <f>IF('Current Index'!168:168,"AAAAAHd/c1w=",0)</f>
        <v>0</v>
      </c>
      <c r="CP7" t="e">
        <f>AND('Current Index'!A168,"AAAAAHd/c10=")</f>
        <v>#VALUE!</v>
      </c>
      <c r="CQ7" t="e">
        <f>AND('Current Index'!#REF!,"AAAAAHd/c14=")</f>
        <v>#REF!</v>
      </c>
      <c r="CR7" t="e">
        <f>AND('Current Index'!B168,"AAAAAHd/c18=")</f>
        <v>#VALUE!</v>
      </c>
      <c r="CS7" t="e">
        <f>AND('Current Index'!C168,"AAAAAHd/c2A=")</f>
        <v>#VALUE!</v>
      </c>
      <c r="CT7" t="e">
        <f>AND('Current Index'!D168,"AAAAAHd/c2E=")</f>
        <v>#VALUE!</v>
      </c>
      <c r="CU7" t="e">
        <f>AND('Current Index'!E168,"AAAAAHd/c2I=")</f>
        <v>#VALUE!</v>
      </c>
      <c r="CV7" t="e">
        <f>AND('Current Index'!F168,"AAAAAHd/c2M=")</f>
        <v>#VALUE!</v>
      </c>
      <c r="CW7" t="e">
        <f>AND('Current Index'!G168,"AAAAAHd/c2Q=")</f>
        <v>#VALUE!</v>
      </c>
      <c r="CX7" t="e">
        <f>AND('Current Index'!H168,"AAAAAHd/c2U=")</f>
        <v>#VALUE!</v>
      </c>
      <c r="CY7" t="e">
        <f>AND('Current Index'!I168,"AAAAAHd/c2Y=")</f>
        <v>#VALUE!</v>
      </c>
      <c r="CZ7">
        <f>IF('Current Index'!169:169,"AAAAAHd/c2c=",0)</f>
        <v>0</v>
      </c>
      <c r="DA7" t="e">
        <f>AND('Current Index'!A169,"AAAAAHd/c2g=")</f>
        <v>#VALUE!</v>
      </c>
      <c r="DB7" t="e">
        <f>AND('Current Index'!#REF!,"AAAAAHd/c2k=")</f>
        <v>#REF!</v>
      </c>
      <c r="DC7" t="e">
        <f>AND('Current Index'!B169,"AAAAAHd/c2o=")</f>
        <v>#VALUE!</v>
      </c>
      <c r="DD7" t="e">
        <f>AND('Current Index'!C169,"AAAAAHd/c2s=")</f>
        <v>#VALUE!</v>
      </c>
      <c r="DE7" t="e">
        <f>AND('Current Index'!D169,"AAAAAHd/c2w=")</f>
        <v>#VALUE!</v>
      </c>
      <c r="DF7" t="e">
        <f>AND('Current Index'!E169,"AAAAAHd/c20=")</f>
        <v>#VALUE!</v>
      </c>
      <c r="DG7" t="e">
        <f>AND('Current Index'!F169,"AAAAAHd/c24=")</f>
        <v>#VALUE!</v>
      </c>
      <c r="DH7" t="e">
        <f>AND('Current Index'!G169,"AAAAAHd/c28=")</f>
        <v>#VALUE!</v>
      </c>
      <c r="DI7" t="e">
        <f>AND('Current Index'!H169,"AAAAAHd/c3A=")</f>
        <v>#VALUE!</v>
      </c>
      <c r="DJ7" t="e">
        <f>AND('Current Index'!I169,"AAAAAHd/c3E=")</f>
        <v>#VALUE!</v>
      </c>
      <c r="DK7">
        <f>IF('Current Index'!170:170,"AAAAAHd/c3I=",0)</f>
        <v>0</v>
      </c>
      <c r="DL7" t="e">
        <f>AND('Current Index'!A170,"AAAAAHd/c3M=")</f>
        <v>#VALUE!</v>
      </c>
      <c r="DM7" t="e">
        <f>AND('Current Index'!#REF!,"AAAAAHd/c3Q=")</f>
        <v>#REF!</v>
      </c>
      <c r="DN7" t="e">
        <f>AND('Current Index'!B170,"AAAAAHd/c3U=")</f>
        <v>#VALUE!</v>
      </c>
      <c r="DO7" t="e">
        <f>AND('Current Index'!C170,"AAAAAHd/c3Y=")</f>
        <v>#VALUE!</v>
      </c>
      <c r="DP7" t="e">
        <f>AND('Current Index'!D170,"AAAAAHd/c3c=")</f>
        <v>#VALUE!</v>
      </c>
      <c r="DQ7" t="e">
        <f>AND('Current Index'!E170,"AAAAAHd/c3g=")</f>
        <v>#VALUE!</v>
      </c>
      <c r="DR7" t="e">
        <f>AND('Current Index'!F170,"AAAAAHd/c3k=")</f>
        <v>#VALUE!</v>
      </c>
      <c r="DS7" t="e">
        <f>AND('Current Index'!G170,"AAAAAHd/c3o=")</f>
        <v>#VALUE!</v>
      </c>
      <c r="DT7" t="e">
        <f>AND('Current Index'!H170,"AAAAAHd/c3s=")</f>
        <v>#VALUE!</v>
      </c>
      <c r="DU7" t="e">
        <f>AND('Current Index'!I170,"AAAAAHd/c3w=")</f>
        <v>#VALUE!</v>
      </c>
      <c r="DV7">
        <f>IF('Current Index'!171:171,"AAAAAHd/c30=",0)</f>
        <v>0</v>
      </c>
      <c r="DW7" t="e">
        <f>AND('Current Index'!A171,"AAAAAHd/c34=")</f>
        <v>#VALUE!</v>
      </c>
      <c r="DX7" t="e">
        <f>AND('Current Index'!#REF!,"AAAAAHd/c38=")</f>
        <v>#REF!</v>
      </c>
      <c r="DY7" t="e">
        <f>AND('Current Index'!B171,"AAAAAHd/c4A=")</f>
        <v>#VALUE!</v>
      </c>
      <c r="DZ7" t="e">
        <f>AND('Current Index'!C171,"AAAAAHd/c4E=")</f>
        <v>#VALUE!</v>
      </c>
      <c r="EA7" t="e">
        <f>AND('Current Index'!D171,"AAAAAHd/c4I=")</f>
        <v>#VALUE!</v>
      </c>
      <c r="EB7" t="e">
        <f>AND('Current Index'!E171,"AAAAAHd/c4M=")</f>
        <v>#VALUE!</v>
      </c>
      <c r="EC7" t="e">
        <f>AND('Current Index'!F171,"AAAAAHd/c4Q=")</f>
        <v>#VALUE!</v>
      </c>
      <c r="ED7" t="e">
        <f>AND('Current Index'!G171,"AAAAAHd/c4U=")</f>
        <v>#VALUE!</v>
      </c>
      <c r="EE7" t="e">
        <f>AND('Current Index'!H171,"AAAAAHd/c4Y=")</f>
        <v>#VALUE!</v>
      </c>
      <c r="EF7" t="e">
        <f>AND('Current Index'!I171,"AAAAAHd/c4c=")</f>
        <v>#VALUE!</v>
      </c>
      <c r="EG7">
        <f>IF('Current Index'!172:172,"AAAAAHd/c4g=",0)</f>
        <v>0</v>
      </c>
      <c r="EH7" t="e">
        <f>AND('Current Index'!A172,"AAAAAHd/c4k=")</f>
        <v>#VALUE!</v>
      </c>
      <c r="EI7" t="e">
        <f>AND('Current Index'!#REF!,"AAAAAHd/c4o=")</f>
        <v>#REF!</v>
      </c>
      <c r="EJ7" t="e">
        <f>AND('Current Index'!B172,"AAAAAHd/c4s=")</f>
        <v>#VALUE!</v>
      </c>
      <c r="EK7" t="e">
        <f>AND('Current Index'!C172,"AAAAAHd/c4w=")</f>
        <v>#VALUE!</v>
      </c>
      <c r="EL7" t="e">
        <f>AND('Current Index'!D172,"AAAAAHd/c40=")</f>
        <v>#VALUE!</v>
      </c>
      <c r="EM7" t="e">
        <f>AND('Current Index'!E172,"AAAAAHd/c44=")</f>
        <v>#VALUE!</v>
      </c>
      <c r="EN7" t="e">
        <f>AND('Current Index'!F172,"AAAAAHd/c48=")</f>
        <v>#VALUE!</v>
      </c>
      <c r="EO7" t="e">
        <f>AND('Current Index'!G172,"AAAAAHd/c5A=")</f>
        <v>#VALUE!</v>
      </c>
      <c r="EP7" t="e">
        <f>AND('Current Index'!H172,"AAAAAHd/c5E=")</f>
        <v>#VALUE!</v>
      </c>
      <c r="EQ7" t="e">
        <f>AND('Current Index'!I172,"AAAAAHd/c5I=")</f>
        <v>#VALUE!</v>
      </c>
      <c r="ER7">
        <f>IF('Current Index'!173:173,"AAAAAHd/c5M=",0)</f>
        <v>0</v>
      </c>
      <c r="ES7" t="e">
        <f>AND('Current Index'!A173,"AAAAAHd/c5Q=")</f>
        <v>#VALUE!</v>
      </c>
      <c r="ET7" t="e">
        <f>AND('Current Index'!#REF!,"AAAAAHd/c5U=")</f>
        <v>#REF!</v>
      </c>
      <c r="EU7" t="e">
        <f>AND('Current Index'!B173,"AAAAAHd/c5Y=")</f>
        <v>#VALUE!</v>
      </c>
      <c r="EV7" t="e">
        <f>AND('Current Index'!C173,"AAAAAHd/c5c=")</f>
        <v>#VALUE!</v>
      </c>
      <c r="EW7" t="e">
        <f>AND('Current Index'!D173,"AAAAAHd/c5g=")</f>
        <v>#VALUE!</v>
      </c>
      <c r="EX7" t="e">
        <f>AND('Current Index'!E173,"AAAAAHd/c5k=")</f>
        <v>#VALUE!</v>
      </c>
      <c r="EY7" t="e">
        <f>AND('Current Index'!F173,"AAAAAHd/c5o=")</f>
        <v>#VALUE!</v>
      </c>
      <c r="EZ7" t="e">
        <f>AND('Current Index'!G173,"AAAAAHd/c5s=")</f>
        <v>#VALUE!</v>
      </c>
      <c r="FA7" t="e">
        <f>AND('Current Index'!H173,"AAAAAHd/c5w=")</f>
        <v>#VALUE!</v>
      </c>
      <c r="FB7" t="e">
        <f>AND('Current Index'!I173,"AAAAAHd/c50=")</f>
        <v>#VALUE!</v>
      </c>
      <c r="FC7">
        <f>IF('Current Index'!174:174,"AAAAAHd/c54=",0)</f>
        <v>0</v>
      </c>
      <c r="FD7" t="e">
        <f>AND('Current Index'!A174,"AAAAAHd/c58=")</f>
        <v>#VALUE!</v>
      </c>
      <c r="FE7" t="e">
        <f>AND('Current Index'!#REF!,"AAAAAHd/c6A=")</f>
        <v>#REF!</v>
      </c>
      <c r="FF7" t="e">
        <f>AND('Current Index'!B174,"AAAAAHd/c6E=")</f>
        <v>#VALUE!</v>
      </c>
      <c r="FG7" t="e">
        <f>AND('Current Index'!C174,"AAAAAHd/c6I=")</f>
        <v>#VALUE!</v>
      </c>
      <c r="FH7" t="e">
        <f>AND('Current Index'!D174,"AAAAAHd/c6M=")</f>
        <v>#VALUE!</v>
      </c>
      <c r="FI7" t="e">
        <f>AND('Current Index'!E174,"AAAAAHd/c6Q=")</f>
        <v>#VALUE!</v>
      </c>
      <c r="FJ7" t="e">
        <f>AND('Current Index'!F174,"AAAAAHd/c6U=")</f>
        <v>#VALUE!</v>
      </c>
      <c r="FK7" t="e">
        <f>AND('Current Index'!G174,"AAAAAHd/c6Y=")</f>
        <v>#VALUE!</v>
      </c>
      <c r="FL7" t="e">
        <f>AND('Current Index'!H174,"AAAAAHd/c6c=")</f>
        <v>#VALUE!</v>
      </c>
      <c r="FM7" t="e">
        <f>AND('Current Index'!I174,"AAAAAHd/c6g=")</f>
        <v>#VALUE!</v>
      </c>
      <c r="FN7">
        <f>IF('Current Index'!175:175,"AAAAAHd/c6k=",0)</f>
        <v>0</v>
      </c>
      <c r="FO7" t="e">
        <f>AND('Current Index'!A175,"AAAAAHd/c6o=")</f>
        <v>#VALUE!</v>
      </c>
      <c r="FP7" t="e">
        <f>AND('Current Index'!#REF!,"AAAAAHd/c6s=")</f>
        <v>#REF!</v>
      </c>
      <c r="FQ7" t="e">
        <f>AND('Current Index'!B175,"AAAAAHd/c6w=")</f>
        <v>#VALUE!</v>
      </c>
      <c r="FR7" t="e">
        <f>AND('Current Index'!C175,"AAAAAHd/c60=")</f>
        <v>#VALUE!</v>
      </c>
      <c r="FS7" t="e">
        <f>AND('Current Index'!D175,"AAAAAHd/c64=")</f>
        <v>#VALUE!</v>
      </c>
      <c r="FT7" t="e">
        <f>AND('Current Index'!E175,"AAAAAHd/c68=")</f>
        <v>#VALUE!</v>
      </c>
      <c r="FU7" t="e">
        <f>AND('Current Index'!F175,"AAAAAHd/c7A=")</f>
        <v>#VALUE!</v>
      </c>
      <c r="FV7" t="e">
        <f>AND('Current Index'!G175,"AAAAAHd/c7E=")</f>
        <v>#VALUE!</v>
      </c>
      <c r="FW7" t="e">
        <f>AND('Current Index'!H175,"AAAAAHd/c7I=")</f>
        <v>#VALUE!</v>
      </c>
      <c r="FX7" t="e">
        <f>AND('Current Index'!I175,"AAAAAHd/c7M=")</f>
        <v>#VALUE!</v>
      </c>
      <c r="FY7">
        <f>IF('Current Index'!176:176,"AAAAAHd/c7Q=",0)</f>
        <v>0</v>
      </c>
      <c r="FZ7" t="e">
        <f>AND('Current Index'!A176,"AAAAAHd/c7U=")</f>
        <v>#VALUE!</v>
      </c>
      <c r="GA7" t="e">
        <f>AND('Current Index'!#REF!,"AAAAAHd/c7Y=")</f>
        <v>#REF!</v>
      </c>
      <c r="GB7" t="e">
        <f>AND('Current Index'!B176,"AAAAAHd/c7c=")</f>
        <v>#VALUE!</v>
      </c>
      <c r="GC7" t="e">
        <f>AND('Current Index'!C176,"AAAAAHd/c7g=")</f>
        <v>#VALUE!</v>
      </c>
      <c r="GD7" t="e">
        <f>AND('Current Index'!D176,"AAAAAHd/c7k=")</f>
        <v>#VALUE!</v>
      </c>
      <c r="GE7" t="e">
        <f>AND('Current Index'!E176,"AAAAAHd/c7o=")</f>
        <v>#VALUE!</v>
      </c>
      <c r="GF7" t="e">
        <f>AND('Current Index'!F176,"AAAAAHd/c7s=")</f>
        <v>#VALUE!</v>
      </c>
      <c r="GG7" t="e">
        <f>AND('Current Index'!G176,"AAAAAHd/c7w=")</f>
        <v>#VALUE!</v>
      </c>
      <c r="GH7" t="e">
        <f>AND('Current Index'!H176,"AAAAAHd/c70=")</f>
        <v>#VALUE!</v>
      </c>
      <c r="GI7" t="e">
        <f>AND('Current Index'!I176,"AAAAAHd/c74=")</f>
        <v>#VALUE!</v>
      </c>
      <c r="GJ7">
        <f>IF('Current Index'!177:177,"AAAAAHd/c78=",0)</f>
        <v>0</v>
      </c>
      <c r="GK7" t="e">
        <f>AND('Current Index'!A177,"AAAAAHd/c8A=")</f>
        <v>#VALUE!</v>
      </c>
      <c r="GL7" t="e">
        <f>AND('Current Index'!#REF!,"AAAAAHd/c8E=")</f>
        <v>#REF!</v>
      </c>
      <c r="GM7" t="e">
        <f>AND('Current Index'!B177,"AAAAAHd/c8I=")</f>
        <v>#VALUE!</v>
      </c>
      <c r="GN7" t="e">
        <f>AND('Current Index'!C177,"AAAAAHd/c8M=")</f>
        <v>#VALUE!</v>
      </c>
      <c r="GO7" t="e">
        <f>AND('Current Index'!D177,"AAAAAHd/c8Q=")</f>
        <v>#VALUE!</v>
      </c>
      <c r="GP7" t="e">
        <f>AND('Current Index'!E177,"AAAAAHd/c8U=")</f>
        <v>#VALUE!</v>
      </c>
      <c r="GQ7" t="e">
        <f>AND('Current Index'!F177,"AAAAAHd/c8Y=")</f>
        <v>#VALUE!</v>
      </c>
      <c r="GR7" t="e">
        <f>AND('Current Index'!G177,"AAAAAHd/c8c=")</f>
        <v>#VALUE!</v>
      </c>
      <c r="GS7" t="e">
        <f>AND('Current Index'!H177,"AAAAAHd/c8g=")</f>
        <v>#VALUE!</v>
      </c>
      <c r="GT7" t="e">
        <f>AND('Current Index'!I177,"AAAAAHd/c8k=")</f>
        <v>#VALUE!</v>
      </c>
      <c r="GU7">
        <f>IF('Current Index'!178:178,"AAAAAHd/c8o=",0)</f>
        <v>0</v>
      </c>
      <c r="GV7" t="e">
        <f>AND('Current Index'!A178,"AAAAAHd/c8s=")</f>
        <v>#VALUE!</v>
      </c>
      <c r="GW7" t="e">
        <f>AND('Current Index'!#REF!,"AAAAAHd/c8w=")</f>
        <v>#REF!</v>
      </c>
      <c r="GX7" t="e">
        <f>AND('Current Index'!B178,"AAAAAHd/c80=")</f>
        <v>#VALUE!</v>
      </c>
      <c r="GY7" t="e">
        <f>AND('Current Index'!C178,"AAAAAHd/c84=")</f>
        <v>#VALUE!</v>
      </c>
      <c r="GZ7" t="e">
        <f>AND('Current Index'!D178,"AAAAAHd/c88=")</f>
        <v>#VALUE!</v>
      </c>
      <c r="HA7" t="e">
        <f>AND('Current Index'!E178,"AAAAAHd/c9A=")</f>
        <v>#VALUE!</v>
      </c>
      <c r="HB7" t="e">
        <f>AND('Current Index'!F178,"AAAAAHd/c9E=")</f>
        <v>#VALUE!</v>
      </c>
      <c r="HC7" t="e">
        <f>AND('Current Index'!G178,"AAAAAHd/c9I=")</f>
        <v>#VALUE!</v>
      </c>
      <c r="HD7" t="e">
        <f>AND('Current Index'!H178,"AAAAAHd/c9M=")</f>
        <v>#VALUE!</v>
      </c>
      <c r="HE7" t="e">
        <f>AND('Current Index'!I178,"AAAAAHd/c9Q=")</f>
        <v>#VALUE!</v>
      </c>
      <c r="HF7">
        <f>IF('Current Index'!179:179,"AAAAAHd/c9U=",0)</f>
        <v>0</v>
      </c>
      <c r="HG7" t="e">
        <f>AND('Current Index'!A179,"AAAAAHd/c9Y=")</f>
        <v>#VALUE!</v>
      </c>
      <c r="HH7" t="e">
        <f>AND('Current Index'!#REF!,"AAAAAHd/c9c=")</f>
        <v>#REF!</v>
      </c>
      <c r="HI7" t="e">
        <f>AND('Current Index'!B179,"AAAAAHd/c9g=")</f>
        <v>#VALUE!</v>
      </c>
      <c r="HJ7" t="e">
        <f>AND('Current Index'!C179,"AAAAAHd/c9k=")</f>
        <v>#VALUE!</v>
      </c>
      <c r="HK7" t="e">
        <f>AND('Current Index'!D179,"AAAAAHd/c9o=")</f>
        <v>#VALUE!</v>
      </c>
      <c r="HL7" t="e">
        <f>AND('Current Index'!E179,"AAAAAHd/c9s=")</f>
        <v>#VALUE!</v>
      </c>
      <c r="HM7" t="e">
        <f>AND('Current Index'!F179,"AAAAAHd/c9w=")</f>
        <v>#VALUE!</v>
      </c>
      <c r="HN7" t="e">
        <f>AND('Current Index'!G179,"AAAAAHd/c90=")</f>
        <v>#VALUE!</v>
      </c>
      <c r="HO7" t="e">
        <f>AND('Current Index'!H179,"AAAAAHd/c94=")</f>
        <v>#VALUE!</v>
      </c>
      <c r="HP7" t="e">
        <f>AND('Current Index'!I179,"AAAAAHd/c98=")</f>
        <v>#VALUE!</v>
      </c>
      <c r="HQ7">
        <f>IF('Current Index'!180:180,"AAAAAHd/c+A=",0)</f>
        <v>0</v>
      </c>
      <c r="HR7" t="e">
        <f>AND('Current Index'!A180,"AAAAAHd/c+E=")</f>
        <v>#VALUE!</v>
      </c>
      <c r="HS7" t="e">
        <f>AND('Current Index'!#REF!,"AAAAAHd/c+I=")</f>
        <v>#REF!</v>
      </c>
      <c r="HT7" t="e">
        <f>AND('Current Index'!B180,"AAAAAHd/c+M=")</f>
        <v>#VALUE!</v>
      </c>
      <c r="HU7" t="e">
        <f>AND('Current Index'!C180,"AAAAAHd/c+Q=")</f>
        <v>#VALUE!</v>
      </c>
      <c r="HV7" t="e">
        <f>AND('Current Index'!D180,"AAAAAHd/c+U=")</f>
        <v>#VALUE!</v>
      </c>
      <c r="HW7" t="e">
        <f>AND('Current Index'!E180,"AAAAAHd/c+Y=")</f>
        <v>#VALUE!</v>
      </c>
      <c r="HX7" t="e">
        <f>AND('Current Index'!F180,"AAAAAHd/c+c=")</f>
        <v>#VALUE!</v>
      </c>
      <c r="HY7" t="e">
        <f>AND('Current Index'!G180,"AAAAAHd/c+g=")</f>
        <v>#VALUE!</v>
      </c>
      <c r="HZ7" t="e">
        <f>AND('Current Index'!H180,"AAAAAHd/c+k=")</f>
        <v>#VALUE!</v>
      </c>
      <c r="IA7" t="e">
        <f>AND('Current Index'!I180,"AAAAAHd/c+o=")</f>
        <v>#VALUE!</v>
      </c>
      <c r="IB7">
        <f>IF('Current Index'!183:183,"AAAAAHd/c+s=",0)</f>
        <v>0</v>
      </c>
      <c r="IC7" t="e">
        <f>AND('Current Index'!A183,"AAAAAHd/c+w=")</f>
        <v>#VALUE!</v>
      </c>
      <c r="ID7" t="e">
        <f>AND('Current Index'!#REF!,"AAAAAHd/c+0=")</f>
        <v>#REF!</v>
      </c>
      <c r="IE7" t="e">
        <f>AND('Current Index'!B183,"AAAAAHd/c+4=")</f>
        <v>#VALUE!</v>
      </c>
      <c r="IF7" t="e">
        <f>AND('Current Index'!C183,"AAAAAHd/c+8=")</f>
        <v>#VALUE!</v>
      </c>
      <c r="IG7" t="e">
        <f>AND('Current Index'!D183,"AAAAAHd/c/A=")</f>
        <v>#VALUE!</v>
      </c>
      <c r="IH7" t="e">
        <f>AND('Current Index'!E183,"AAAAAHd/c/E=")</f>
        <v>#VALUE!</v>
      </c>
      <c r="II7" t="e">
        <f>AND('Current Index'!F183,"AAAAAHd/c/I=")</f>
        <v>#VALUE!</v>
      </c>
      <c r="IJ7" t="e">
        <f>AND('Current Index'!G183,"AAAAAHd/c/M=")</f>
        <v>#VALUE!</v>
      </c>
      <c r="IK7" t="e">
        <f>AND('Current Index'!H183,"AAAAAHd/c/Q=")</f>
        <v>#VALUE!</v>
      </c>
      <c r="IL7" t="e">
        <f>AND('Current Index'!I183,"AAAAAHd/c/U=")</f>
        <v>#VALUE!</v>
      </c>
      <c r="IM7">
        <f>IF('Current Index'!184:184,"AAAAAHd/c/Y=",0)</f>
        <v>0</v>
      </c>
      <c r="IN7" t="e">
        <f>AND('Current Index'!A184,"AAAAAHd/c/c=")</f>
        <v>#VALUE!</v>
      </c>
      <c r="IO7" t="e">
        <f>AND('Current Index'!#REF!,"AAAAAHd/c/g=")</f>
        <v>#REF!</v>
      </c>
      <c r="IP7" t="e">
        <f>AND('Current Index'!B184,"AAAAAHd/c/k=")</f>
        <v>#VALUE!</v>
      </c>
      <c r="IQ7" t="e">
        <f>AND('Current Index'!C184,"AAAAAHd/c/o=")</f>
        <v>#VALUE!</v>
      </c>
      <c r="IR7" t="e">
        <f>AND('Current Index'!D184,"AAAAAHd/c/s=")</f>
        <v>#VALUE!</v>
      </c>
      <c r="IS7" t="e">
        <f>AND('Current Index'!E184,"AAAAAHd/c/w=")</f>
        <v>#VALUE!</v>
      </c>
      <c r="IT7" t="e">
        <f>AND('Current Index'!F184,"AAAAAHd/c/0=")</f>
        <v>#VALUE!</v>
      </c>
      <c r="IU7" t="e">
        <f>AND('Current Index'!G184,"AAAAAHd/c/4=")</f>
        <v>#VALUE!</v>
      </c>
      <c r="IV7" t="e">
        <f>AND('Current Index'!H184,"AAAAAHd/c/8=")</f>
        <v>#VALUE!</v>
      </c>
    </row>
    <row r="8" spans="1:256" x14ac:dyDescent="0.25">
      <c r="A8" t="e">
        <f>AND('Current Index'!I184,"AAAAAGvtzwA=")</f>
        <v>#VALUE!</v>
      </c>
      <c r="B8" t="e">
        <f>IF('Current Index'!185:185,"AAAAAGvtzwE=",0)</f>
        <v>#VALUE!</v>
      </c>
      <c r="C8" t="e">
        <f>AND('Current Index'!A185,"AAAAAGvtzwI=")</f>
        <v>#VALUE!</v>
      </c>
      <c r="D8" t="e">
        <f>AND('Current Index'!#REF!,"AAAAAGvtzwM=")</f>
        <v>#REF!</v>
      </c>
      <c r="E8" t="e">
        <f>AND('Current Index'!B185,"AAAAAGvtzwQ=")</f>
        <v>#VALUE!</v>
      </c>
      <c r="F8" t="e">
        <f>AND('Current Index'!C185,"AAAAAGvtzwU=")</f>
        <v>#VALUE!</v>
      </c>
      <c r="G8" t="e">
        <f>AND('Current Index'!D185,"AAAAAGvtzwY=")</f>
        <v>#VALUE!</v>
      </c>
      <c r="H8" t="e">
        <f>AND('Current Index'!E185,"AAAAAGvtzwc=")</f>
        <v>#VALUE!</v>
      </c>
      <c r="I8" t="e">
        <f>AND('Current Index'!F185,"AAAAAGvtzwg=")</f>
        <v>#VALUE!</v>
      </c>
      <c r="J8" t="e">
        <f>AND('Current Index'!G185,"AAAAAGvtzwk=")</f>
        <v>#VALUE!</v>
      </c>
      <c r="K8" t="e">
        <f>AND('Current Index'!H185,"AAAAAGvtzwo=")</f>
        <v>#VALUE!</v>
      </c>
      <c r="L8" t="e">
        <f>AND('Current Index'!I185,"AAAAAGvtzws=")</f>
        <v>#VALUE!</v>
      </c>
      <c r="M8">
        <f>IF('Current Index'!186:186,"AAAAAGvtzww=",0)</f>
        <v>0</v>
      </c>
      <c r="N8" t="e">
        <f>AND('Current Index'!A186,"AAAAAGvtzw0=")</f>
        <v>#VALUE!</v>
      </c>
      <c r="O8" t="e">
        <f>AND('Current Index'!#REF!,"AAAAAGvtzw4=")</f>
        <v>#REF!</v>
      </c>
      <c r="P8" t="e">
        <f>AND('Current Index'!B186,"AAAAAGvtzw8=")</f>
        <v>#VALUE!</v>
      </c>
      <c r="Q8" t="e">
        <f>AND('Current Index'!C186,"AAAAAGvtzxA=")</f>
        <v>#VALUE!</v>
      </c>
      <c r="R8" t="e">
        <f>AND('Current Index'!D186,"AAAAAGvtzxE=")</f>
        <v>#VALUE!</v>
      </c>
      <c r="S8" t="e">
        <f>AND('Current Index'!E186,"AAAAAGvtzxI=")</f>
        <v>#VALUE!</v>
      </c>
      <c r="T8" t="e">
        <f>AND('Current Index'!F186,"AAAAAGvtzxM=")</f>
        <v>#VALUE!</v>
      </c>
      <c r="U8" t="e">
        <f>AND('Current Index'!G186,"AAAAAGvtzxQ=")</f>
        <v>#VALUE!</v>
      </c>
      <c r="V8" t="e">
        <f>AND('Current Index'!H186,"AAAAAGvtzxU=")</f>
        <v>#VALUE!</v>
      </c>
      <c r="W8" t="e">
        <f>AND('Current Index'!I186,"AAAAAGvtzxY=")</f>
        <v>#VALUE!</v>
      </c>
      <c r="X8" t="e">
        <f>IF('Current Index'!#REF!,"AAAAAGvtzxc=",0)</f>
        <v>#REF!</v>
      </c>
      <c r="Y8" t="e">
        <f>AND('Current Index'!#REF!,"AAAAAGvtzxg=")</f>
        <v>#REF!</v>
      </c>
      <c r="Z8" t="e">
        <f>AND('Current Index'!#REF!,"AAAAAGvtzxk=")</f>
        <v>#REF!</v>
      </c>
      <c r="AA8" t="e">
        <f>AND('Current Index'!#REF!,"AAAAAGvtzxo=")</f>
        <v>#REF!</v>
      </c>
      <c r="AB8" t="e">
        <f>AND('Current Index'!#REF!,"AAAAAGvtzxs=")</f>
        <v>#REF!</v>
      </c>
      <c r="AC8" t="e">
        <f>AND('Current Index'!#REF!,"AAAAAGvtzxw=")</f>
        <v>#REF!</v>
      </c>
      <c r="AD8" t="e">
        <f>AND('Current Index'!#REF!,"AAAAAGvtzx0=")</f>
        <v>#REF!</v>
      </c>
      <c r="AE8" t="e">
        <f>AND('Current Index'!#REF!,"AAAAAGvtzx4=")</f>
        <v>#REF!</v>
      </c>
      <c r="AF8" t="e">
        <f>AND('Current Index'!#REF!,"AAAAAGvtzx8=")</f>
        <v>#REF!</v>
      </c>
      <c r="AG8" t="e">
        <f>AND('Current Index'!#REF!,"AAAAAGvtzyA=")</f>
        <v>#REF!</v>
      </c>
      <c r="AH8" t="e">
        <f>AND('Current Index'!#REF!,"AAAAAGvtzyE=")</f>
        <v>#REF!</v>
      </c>
      <c r="AI8">
        <f>IF('Current Index'!188:188,"AAAAAGvtzyI=",0)</f>
        <v>0</v>
      </c>
      <c r="AJ8" t="e">
        <f>AND('Current Index'!A188,"AAAAAGvtzyM=")</f>
        <v>#VALUE!</v>
      </c>
      <c r="AK8" t="e">
        <f>AND('Current Index'!#REF!,"AAAAAGvtzyQ=")</f>
        <v>#REF!</v>
      </c>
      <c r="AL8" t="e">
        <f>AND('Current Index'!B188,"AAAAAGvtzyU=")</f>
        <v>#VALUE!</v>
      </c>
      <c r="AM8" t="e">
        <f>AND('Current Index'!C188,"AAAAAGvtzyY=")</f>
        <v>#VALUE!</v>
      </c>
      <c r="AN8" t="e">
        <f>AND('Current Index'!D188,"AAAAAGvtzyc=")</f>
        <v>#VALUE!</v>
      </c>
      <c r="AO8" t="e">
        <f>AND('Current Index'!E188,"AAAAAGvtzyg=")</f>
        <v>#VALUE!</v>
      </c>
      <c r="AP8" t="e">
        <f>AND('Current Index'!F188,"AAAAAGvtzyk=")</f>
        <v>#VALUE!</v>
      </c>
      <c r="AQ8" t="e">
        <f>AND('Current Index'!G188,"AAAAAGvtzyo=")</f>
        <v>#VALUE!</v>
      </c>
      <c r="AR8" t="e">
        <f>AND('Current Index'!H188,"AAAAAGvtzys=")</f>
        <v>#VALUE!</v>
      </c>
      <c r="AS8" t="e">
        <f>AND('Current Index'!I188,"AAAAAGvtzyw=")</f>
        <v>#VALUE!</v>
      </c>
      <c r="AT8">
        <f>IF('Current Index'!189:189,"AAAAAGvtzy0=",0)</f>
        <v>0</v>
      </c>
      <c r="AU8" t="e">
        <f>AND('Current Index'!A189,"AAAAAGvtzy4=")</f>
        <v>#VALUE!</v>
      </c>
      <c r="AV8" t="e">
        <f>AND('Current Index'!#REF!,"AAAAAGvtzy8=")</f>
        <v>#REF!</v>
      </c>
      <c r="AW8" t="e">
        <f>AND('Current Index'!B189,"AAAAAGvtzzA=")</f>
        <v>#VALUE!</v>
      </c>
      <c r="AX8" t="e">
        <f>AND('Current Index'!C189,"AAAAAGvtzzE=")</f>
        <v>#VALUE!</v>
      </c>
      <c r="AY8" t="e">
        <f>AND('Current Index'!D189,"AAAAAGvtzzI=")</f>
        <v>#VALUE!</v>
      </c>
      <c r="AZ8" t="e">
        <f>AND('Current Index'!E189,"AAAAAGvtzzM=")</f>
        <v>#VALUE!</v>
      </c>
      <c r="BA8" t="e">
        <f>AND('Current Index'!F189,"AAAAAGvtzzQ=")</f>
        <v>#VALUE!</v>
      </c>
      <c r="BB8" t="e">
        <f>AND('Current Index'!G189,"AAAAAGvtzzU=")</f>
        <v>#VALUE!</v>
      </c>
      <c r="BC8" t="e">
        <f>AND('Current Index'!H189,"AAAAAGvtzzY=")</f>
        <v>#VALUE!</v>
      </c>
      <c r="BD8" t="e">
        <f>AND('Current Index'!I189,"AAAAAGvtzzc=")</f>
        <v>#VALUE!</v>
      </c>
      <c r="BE8">
        <f>IF('Current Index'!190:190,"AAAAAGvtzzg=",0)</f>
        <v>0</v>
      </c>
      <c r="BF8" t="e">
        <f>AND('Current Index'!A190,"AAAAAGvtzzk=")</f>
        <v>#VALUE!</v>
      </c>
      <c r="BG8" t="e">
        <f>AND('Current Index'!#REF!,"AAAAAGvtzzo=")</f>
        <v>#REF!</v>
      </c>
      <c r="BH8" t="e">
        <f>AND('Current Index'!B190,"AAAAAGvtzzs=")</f>
        <v>#VALUE!</v>
      </c>
      <c r="BI8" t="e">
        <f>AND('Current Index'!C190,"AAAAAGvtzzw=")</f>
        <v>#VALUE!</v>
      </c>
      <c r="BJ8" t="e">
        <f>AND('Current Index'!D190,"AAAAAGvtzz0=")</f>
        <v>#VALUE!</v>
      </c>
      <c r="BK8" t="e">
        <f>AND('Current Index'!E190,"AAAAAGvtzz4=")</f>
        <v>#VALUE!</v>
      </c>
      <c r="BL8" t="e">
        <f>AND('Current Index'!F190,"AAAAAGvtzz8=")</f>
        <v>#VALUE!</v>
      </c>
      <c r="BM8" t="e">
        <f>AND('Current Index'!G190,"AAAAAGvtz0A=")</f>
        <v>#VALUE!</v>
      </c>
      <c r="BN8" t="e">
        <f>AND('Current Index'!H190,"AAAAAGvtz0E=")</f>
        <v>#VALUE!</v>
      </c>
      <c r="BO8" t="e">
        <f>AND('Current Index'!I190,"AAAAAGvtz0I=")</f>
        <v>#VALUE!</v>
      </c>
      <c r="BP8">
        <f>IF('Current Index'!191:191,"AAAAAGvtz0M=",0)</f>
        <v>0</v>
      </c>
      <c r="BQ8" t="e">
        <f>AND('Current Index'!A191,"AAAAAGvtz0Q=")</f>
        <v>#VALUE!</v>
      </c>
      <c r="BR8" t="e">
        <f>AND('Current Index'!#REF!,"AAAAAGvtz0U=")</f>
        <v>#REF!</v>
      </c>
      <c r="BS8" t="e">
        <f>AND('Current Index'!B191,"AAAAAGvtz0Y=")</f>
        <v>#VALUE!</v>
      </c>
      <c r="BT8" t="e">
        <f>AND('Current Index'!C191,"AAAAAGvtz0c=")</f>
        <v>#VALUE!</v>
      </c>
      <c r="BU8" t="e">
        <f>AND('Current Index'!D191,"AAAAAGvtz0g=")</f>
        <v>#VALUE!</v>
      </c>
      <c r="BV8" t="e">
        <f>AND('Current Index'!E191,"AAAAAGvtz0k=")</f>
        <v>#VALUE!</v>
      </c>
      <c r="BW8" t="e">
        <f>AND('Current Index'!F191,"AAAAAGvtz0o=")</f>
        <v>#VALUE!</v>
      </c>
      <c r="BX8" t="e">
        <f>AND('Current Index'!G191,"AAAAAGvtz0s=")</f>
        <v>#VALUE!</v>
      </c>
      <c r="BY8" t="e">
        <f>AND('Current Index'!H191,"AAAAAGvtz0w=")</f>
        <v>#VALUE!</v>
      </c>
      <c r="BZ8" t="e">
        <f>AND('Current Index'!I191,"AAAAAGvtz00=")</f>
        <v>#VALUE!</v>
      </c>
      <c r="CA8">
        <f>IF('Current Index'!192:192,"AAAAAGvtz04=",0)</f>
        <v>0</v>
      </c>
      <c r="CB8" t="e">
        <f>AND('Current Index'!A192,"AAAAAGvtz08=")</f>
        <v>#VALUE!</v>
      </c>
      <c r="CC8" t="e">
        <f>AND('Current Index'!#REF!,"AAAAAGvtz1A=")</f>
        <v>#REF!</v>
      </c>
      <c r="CD8" t="e">
        <f>AND('Current Index'!B192,"AAAAAGvtz1E=")</f>
        <v>#VALUE!</v>
      </c>
      <c r="CE8" t="e">
        <f>AND('Current Index'!C192,"AAAAAGvtz1I=")</f>
        <v>#VALUE!</v>
      </c>
      <c r="CF8" t="e">
        <f>AND('Current Index'!D192,"AAAAAGvtz1M=")</f>
        <v>#VALUE!</v>
      </c>
      <c r="CG8" t="e">
        <f>AND('Current Index'!E192,"AAAAAGvtz1Q=")</f>
        <v>#VALUE!</v>
      </c>
      <c r="CH8" t="e">
        <f>AND('Current Index'!F192,"AAAAAGvtz1U=")</f>
        <v>#VALUE!</v>
      </c>
      <c r="CI8" t="e">
        <f>AND('Current Index'!G192,"AAAAAGvtz1Y=")</f>
        <v>#VALUE!</v>
      </c>
      <c r="CJ8" t="e">
        <f>AND('Current Index'!H192,"AAAAAGvtz1c=")</f>
        <v>#VALUE!</v>
      </c>
      <c r="CK8" t="e">
        <f>AND('Current Index'!I192,"AAAAAGvtz1g=")</f>
        <v>#VALUE!</v>
      </c>
      <c r="CL8">
        <f>IF('Current Index'!193:193,"AAAAAGvtz1k=",0)</f>
        <v>0</v>
      </c>
      <c r="CM8" t="e">
        <f>AND('Current Index'!A193,"AAAAAGvtz1o=")</f>
        <v>#VALUE!</v>
      </c>
      <c r="CN8" t="e">
        <f>AND('Current Index'!#REF!,"AAAAAGvtz1s=")</f>
        <v>#REF!</v>
      </c>
      <c r="CO8" t="e">
        <f>AND('Current Index'!B193,"AAAAAGvtz1w=")</f>
        <v>#VALUE!</v>
      </c>
      <c r="CP8" t="e">
        <f>AND('Current Index'!C193,"AAAAAGvtz10=")</f>
        <v>#VALUE!</v>
      </c>
      <c r="CQ8" t="e">
        <f>AND('Current Index'!D193,"AAAAAGvtz14=")</f>
        <v>#VALUE!</v>
      </c>
      <c r="CR8" t="e">
        <f>AND('Current Index'!E193,"AAAAAGvtz18=")</f>
        <v>#VALUE!</v>
      </c>
      <c r="CS8" t="e">
        <f>AND('Current Index'!F193,"AAAAAGvtz2A=")</f>
        <v>#VALUE!</v>
      </c>
      <c r="CT8" t="e">
        <f>AND('Current Index'!G193,"AAAAAGvtz2E=")</f>
        <v>#VALUE!</v>
      </c>
      <c r="CU8" t="e">
        <f>AND('Current Index'!H193,"AAAAAGvtz2I=")</f>
        <v>#VALUE!</v>
      </c>
      <c r="CV8" t="e">
        <f>AND('Current Index'!I193,"AAAAAGvtz2M=")</f>
        <v>#VALUE!</v>
      </c>
      <c r="CW8" t="e">
        <f>IF('Current Index'!#REF!,"AAAAAGvtz2Q=",0)</f>
        <v>#REF!</v>
      </c>
      <c r="CX8" t="e">
        <f>AND('Current Index'!#REF!,"AAAAAGvtz2U=")</f>
        <v>#REF!</v>
      </c>
      <c r="CY8" t="e">
        <f>AND('Current Index'!#REF!,"AAAAAGvtz2Y=")</f>
        <v>#REF!</v>
      </c>
      <c r="CZ8" t="e">
        <f>AND('Current Index'!#REF!,"AAAAAGvtz2c=")</f>
        <v>#REF!</v>
      </c>
      <c r="DA8" t="e">
        <f>AND('Current Index'!#REF!,"AAAAAGvtz2g=")</f>
        <v>#REF!</v>
      </c>
      <c r="DB8" t="e">
        <f>AND('Current Index'!#REF!,"AAAAAGvtz2k=")</f>
        <v>#REF!</v>
      </c>
      <c r="DC8" t="e">
        <f>AND('Current Index'!#REF!,"AAAAAGvtz2o=")</f>
        <v>#REF!</v>
      </c>
      <c r="DD8" t="e">
        <f>AND('Current Index'!#REF!,"AAAAAGvtz2s=")</f>
        <v>#REF!</v>
      </c>
      <c r="DE8" t="e">
        <f>AND('Current Index'!#REF!,"AAAAAGvtz2w=")</f>
        <v>#REF!</v>
      </c>
      <c r="DF8" t="e">
        <f>AND('Current Index'!#REF!,"AAAAAGvtz20=")</f>
        <v>#REF!</v>
      </c>
      <c r="DG8" t="e">
        <f>AND('Current Index'!#REF!,"AAAAAGvtz24=")</f>
        <v>#REF!</v>
      </c>
      <c r="DH8" t="e">
        <f>IF('Current Index'!#REF!,"AAAAAGvtz28=",0)</f>
        <v>#REF!</v>
      </c>
      <c r="DI8" t="e">
        <f>AND('Current Index'!#REF!,"AAAAAGvtz3A=")</f>
        <v>#REF!</v>
      </c>
      <c r="DJ8" t="e">
        <f>AND('Current Index'!#REF!,"AAAAAGvtz3E=")</f>
        <v>#REF!</v>
      </c>
      <c r="DK8" t="e">
        <f>AND('Current Index'!#REF!,"AAAAAGvtz3I=")</f>
        <v>#REF!</v>
      </c>
      <c r="DL8" t="e">
        <f>AND('Current Index'!#REF!,"AAAAAGvtz3M=")</f>
        <v>#REF!</v>
      </c>
      <c r="DM8" t="e">
        <f>AND('Current Index'!#REF!,"AAAAAGvtz3Q=")</f>
        <v>#REF!</v>
      </c>
      <c r="DN8" t="e">
        <f>AND('Current Index'!#REF!,"AAAAAGvtz3U=")</f>
        <v>#REF!</v>
      </c>
      <c r="DO8" t="e">
        <f>AND('Current Index'!#REF!,"AAAAAGvtz3Y=")</f>
        <v>#REF!</v>
      </c>
      <c r="DP8" t="e">
        <f>AND('Current Index'!#REF!,"AAAAAGvtz3c=")</f>
        <v>#REF!</v>
      </c>
      <c r="DQ8" t="e">
        <f>AND('Current Index'!#REF!,"AAAAAGvtz3g=")</f>
        <v>#REF!</v>
      </c>
      <c r="DR8" t="e">
        <f>AND('Current Index'!#REF!,"AAAAAGvtz3k=")</f>
        <v>#REF!</v>
      </c>
      <c r="DS8">
        <f>IF('Current Index'!195:195,"AAAAAGvtz3o=",0)</f>
        <v>0</v>
      </c>
      <c r="DT8" t="e">
        <f>AND('Current Index'!A195,"AAAAAGvtz3s=")</f>
        <v>#VALUE!</v>
      </c>
      <c r="DU8" t="e">
        <f>AND('Current Index'!#REF!,"AAAAAGvtz3w=")</f>
        <v>#REF!</v>
      </c>
      <c r="DV8" t="e">
        <f>AND('Current Index'!B195,"AAAAAGvtz30=")</f>
        <v>#VALUE!</v>
      </c>
      <c r="DW8" t="e">
        <f>AND('Current Index'!C195,"AAAAAGvtz34=")</f>
        <v>#VALUE!</v>
      </c>
      <c r="DX8" t="e">
        <f>AND('Current Index'!D195,"AAAAAGvtz38=")</f>
        <v>#VALUE!</v>
      </c>
      <c r="DY8" t="e">
        <f>AND('Current Index'!E195,"AAAAAGvtz4A=")</f>
        <v>#VALUE!</v>
      </c>
      <c r="DZ8" t="e">
        <f>AND('Current Index'!F195,"AAAAAGvtz4E=")</f>
        <v>#VALUE!</v>
      </c>
      <c r="EA8" t="e">
        <f>AND('Current Index'!G195,"AAAAAGvtz4I=")</f>
        <v>#VALUE!</v>
      </c>
      <c r="EB8" t="e">
        <f>AND('Current Index'!H195,"AAAAAGvtz4M=")</f>
        <v>#VALUE!</v>
      </c>
      <c r="EC8" t="e">
        <f>AND('Current Index'!I195,"AAAAAGvtz4Q=")</f>
        <v>#VALUE!</v>
      </c>
      <c r="ED8">
        <f>IF('Current Index'!196:196,"AAAAAGvtz4U=",0)</f>
        <v>0</v>
      </c>
      <c r="EE8" t="e">
        <f>AND('Current Index'!A196,"AAAAAGvtz4Y=")</f>
        <v>#VALUE!</v>
      </c>
      <c r="EF8" t="e">
        <f>AND('Current Index'!#REF!,"AAAAAGvtz4c=")</f>
        <v>#REF!</v>
      </c>
      <c r="EG8" t="e">
        <f>AND('Current Index'!B196,"AAAAAGvtz4g=")</f>
        <v>#VALUE!</v>
      </c>
      <c r="EH8" t="e">
        <f>AND('Current Index'!C196,"AAAAAGvtz4k=")</f>
        <v>#VALUE!</v>
      </c>
      <c r="EI8" t="e">
        <f>AND('Current Index'!D196,"AAAAAGvtz4o=")</f>
        <v>#VALUE!</v>
      </c>
      <c r="EJ8" t="e">
        <f>AND('Current Index'!E196,"AAAAAGvtz4s=")</f>
        <v>#VALUE!</v>
      </c>
      <c r="EK8" t="e">
        <f>AND('Current Index'!F196,"AAAAAGvtz4w=")</f>
        <v>#VALUE!</v>
      </c>
      <c r="EL8" t="e">
        <f>AND('Current Index'!G196,"AAAAAGvtz40=")</f>
        <v>#VALUE!</v>
      </c>
      <c r="EM8" t="e">
        <f>AND('Current Index'!H196,"AAAAAGvtz44=")</f>
        <v>#VALUE!</v>
      </c>
      <c r="EN8" t="e">
        <f>AND('Current Index'!I196,"AAAAAGvtz48=")</f>
        <v>#VALUE!</v>
      </c>
      <c r="EO8">
        <f>IF('Current Index'!197:197,"AAAAAGvtz5A=",0)</f>
        <v>0</v>
      </c>
      <c r="EP8" t="e">
        <f>AND('Current Index'!A197,"AAAAAGvtz5E=")</f>
        <v>#VALUE!</v>
      </c>
      <c r="EQ8" t="e">
        <f>AND('Current Index'!#REF!,"AAAAAGvtz5I=")</f>
        <v>#REF!</v>
      </c>
      <c r="ER8" t="e">
        <f>AND('Current Index'!B197,"AAAAAGvtz5M=")</f>
        <v>#VALUE!</v>
      </c>
      <c r="ES8" t="e">
        <f>AND('Current Index'!C197,"AAAAAGvtz5Q=")</f>
        <v>#VALUE!</v>
      </c>
      <c r="ET8" t="e">
        <f>AND('Current Index'!D197,"AAAAAGvtz5U=")</f>
        <v>#VALUE!</v>
      </c>
      <c r="EU8" t="e">
        <f>AND('Current Index'!E197,"AAAAAGvtz5Y=")</f>
        <v>#VALUE!</v>
      </c>
      <c r="EV8" t="e">
        <f>AND('Current Index'!F197,"AAAAAGvtz5c=")</f>
        <v>#VALUE!</v>
      </c>
      <c r="EW8" t="e">
        <f>AND('Current Index'!G197,"AAAAAGvtz5g=")</f>
        <v>#VALUE!</v>
      </c>
      <c r="EX8" t="e">
        <f>AND('Current Index'!H197,"AAAAAGvtz5k=")</f>
        <v>#VALUE!</v>
      </c>
      <c r="EY8" t="e">
        <f>AND('Current Index'!I197,"AAAAAGvtz5o=")</f>
        <v>#VALUE!</v>
      </c>
      <c r="EZ8">
        <f>IF('Current Index'!198:198,"AAAAAGvtz5s=",0)</f>
        <v>0</v>
      </c>
      <c r="FA8" t="e">
        <f>AND('Current Index'!A198,"AAAAAGvtz5w=")</f>
        <v>#VALUE!</v>
      </c>
      <c r="FB8" t="e">
        <f>AND('Current Index'!#REF!,"AAAAAGvtz50=")</f>
        <v>#REF!</v>
      </c>
      <c r="FC8" t="e">
        <f>AND('Current Index'!B198,"AAAAAGvtz54=")</f>
        <v>#VALUE!</v>
      </c>
      <c r="FD8" t="e">
        <f>AND('Current Index'!C198,"AAAAAGvtz58=")</f>
        <v>#VALUE!</v>
      </c>
      <c r="FE8" t="e">
        <f>AND('Current Index'!D198,"AAAAAGvtz6A=")</f>
        <v>#VALUE!</v>
      </c>
      <c r="FF8" t="e">
        <f>AND('Current Index'!E198,"AAAAAGvtz6E=")</f>
        <v>#VALUE!</v>
      </c>
      <c r="FG8" t="e">
        <f>AND('Current Index'!F198,"AAAAAGvtz6I=")</f>
        <v>#VALUE!</v>
      </c>
      <c r="FH8" t="e">
        <f>AND('Current Index'!G198,"AAAAAGvtz6M=")</f>
        <v>#VALUE!</v>
      </c>
      <c r="FI8" t="e">
        <f>AND('Current Index'!H198,"AAAAAGvtz6Q=")</f>
        <v>#VALUE!</v>
      </c>
      <c r="FJ8" t="e">
        <f>AND('Current Index'!I198,"AAAAAGvtz6U=")</f>
        <v>#VALUE!</v>
      </c>
      <c r="FK8">
        <f>IF('Current Index'!199:199,"AAAAAGvtz6Y=",0)</f>
        <v>0</v>
      </c>
      <c r="FL8" t="e">
        <f>AND('Current Index'!A199,"AAAAAGvtz6c=")</f>
        <v>#VALUE!</v>
      </c>
      <c r="FM8" t="e">
        <f>AND('Current Index'!#REF!,"AAAAAGvtz6g=")</f>
        <v>#REF!</v>
      </c>
      <c r="FN8" t="e">
        <f>AND('Current Index'!B199,"AAAAAGvtz6k=")</f>
        <v>#VALUE!</v>
      </c>
      <c r="FO8" t="e">
        <f>AND('Current Index'!C199,"AAAAAGvtz6o=")</f>
        <v>#VALUE!</v>
      </c>
      <c r="FP8" t="e">
        <f>AND('Current Index'!D199,"AAAAAGvtz6s=")</f>
        <v>#VALUE!</v>
      </c>
      <c r="FQ8" t="e">
        <f>AND('Current Index'!E199,"AAAAAGvtz6w=")</f>
        <v>#VALUE!</v>
      </c>
      <c r="FR8" t="e">
        <f>AND('Current Index'!F199,"AAAAAGvtz60=")</f>
        <v>#VALUE!</v>
      </c>
      <c r="FS8" t="e">
        <f>AND('Current Index'!G199,"AAAAAGvtz64=")</f>
        <v>#VALUE!</v>
      </c>
      <c r="FT8" t="e">
        <f>AND('Current Index'!H199,"AAAAAGvtz68=")</f>
        <v>#VALUE!</v>
      </c>
      <c r="FU8" t="e">
        <f>AND('Current Index'!I199,"AAAAAGvtz7A=")</f>
        <v>#VALUE!</v>
      </c>
      <c r="FV8">
        <f>IF('Current Index'!200:200,"AAAAAGvtz7E=",0)</f>
        <v>0</v>
      </c>
      <c r="FW8" t="e">
        <f>AND('Current Index'!A200,"AAAAAGvtz7I=")</f>
        <v>#VALUE!</v>
      </c>
      <c r="FX8" t="e">
        <f>AND('Current Index'!#REF!,"AAAAAGvtz7M=")</f>
        <v>#REF!</v>
      </c>
      <c r="FY8" t="e">
        <f>AND('Current Index'!B200,"AAAAAGvtz7Q=")</f>
        <v>#VALUE!</v>
      </c>
      <c r="FZ8" t="e">
        <f>AND('Current Index'!C200,"AAAAAGvtz7U=")</f>
        <v>#VALUE!</v>
      </c>
      <c r="GA8" t="e">
        <f>AND('Current Index'!D200,"AAAAAGvtz7Y=")</f>
        <v>#VALUE!</v>
      </c>
      <c r="GB8" t="e">
        <f>AND('Current Index'!E200,"AAAAAGvtz7c=")</f>
        <v>#VALUE!</v>
      </c>
      <c r="GC8" t="e">
        <f>AND('Current Index'!F200,"AAAAAGvtz7g=")</f>
        <v>#VALUE!</v>
      </c>
      <c r="GD8" t="e">
        <f>AND('Current Index'!G200,"AAAAAGvtz7k=")</f>
        <v>#VALUE!</v>
      </c>
      <c r="GE8" t="e">
        <f>AND('Current Index'!H200,"AAAAAGvtz7o=")</f>
        <v>#VALUE!</v>
      </c>
      <c r="GF8" t="e">
        <f>AND('Current Index'!I200,"AAAAAGvtz7s=")</f>
        <v>#VALUE!</v>
      </c>
      <c r="GG8">
        <f>IF('Current Index'!201:201,"AAAAAGvtz7w=",0)</f>
        <v>0</v>
      </c>
      <c r="GH8" t="e">
        <f>AND('Current Index'!A201,"AAAAAGvtz70=")</f>
        <v>#VALUE!</v>
      </c>
      <c r="GI8" t="e">
        <f>AND('Current Index'!#REF!,"AAAAAGvtz74=")</f>
        <v>#REF!</v>
      </c>
      <c r="GJ8" t="e">
        <f>AND('Current Index'!B201,"AAAAAGvtz78=")</f>
        <v>#VALUE!</v>
      </c>
      <c r="GK8" t="e">
        <f>AND('Current Index'!C201,"AAAAAGvtz8A=")</f>
        <v>#VALUE!</v>
      </c>
      <c r="GL8" t="e">
        <f>AND('Current Index'!D201,"AAAAAGvtz8E=")</f>
        <v>#VALUE!</v>
      </c>
      <c r="GM8" t="e">
        <f>AND('Current Index'!E201,"AAAAAGvtz8I=")</f>
        <v>#VALUE!</v>
      </c>
      <c r="GN8" t="e">
        <f>AND('Current Index'!F201,"AAAAAGvtz8M=")</f>
        <v>#VALUE!</v>
      </c>
      <c r="GO8" t="e">
        <f>AND('Current Index'!G201,"AAAAAGvtz8Q=")</f>
        <v>#VALUE!</v>
      </c>
      <c r="GP8" t="e">
        <f>AND('Current Index'!H201,"AAAAAGvtz8U=")</f>
        <v>#VALUE!</v>
      </c>
      <c r="GQ8" t="e">
        <f>AND('Current Index'!I201,"AAAAAGvtz8Y=")</f>
        <v>#VALUE!</v>
      </c>
      <c r="GR8">
        <f>IF('Current Index'!202:202,"AAAAAGvtz8c=",0)</f>
        <v>0</v>
      </c>
      <c r="GS8" t="e">
        <f>AND('Current Index'!A202,"AAAAAGvtz8g=")</f>
        <v>#VALUE!</v>
      </c>
      <c r="GT8" t="e">
        <f>AND('Current Index'!#REF!,"AAAAAGvtz8k=")</f>
        <v>#REF!</v>
      </c>
      <c r="GU8" t="e">
        <f>AND('Current Index'!B202,"AAAAAGvtz8o=")</f>
        <v>#VALUE!</v>
      </c>
      <c r="GV8" t="e">
        <f>AND('Current Index'!C202,"AAAAAGvtz8s=")</f>
        <v>#VALUE!</v>
      </c>
      <c r="GW8" t="e">
        <f>AND('Current Index'!D202,"AAAAAGvtz8w=")</f>
        <v>#VALUE!</v>
      </c>
      <c r="GX8" t="e">
        <f>AND('Current Index'!E202,"AAAAAGvtz80=")</f>
        <v>#VALUE!</v>
      </c>
      <c r="GY8" t="e">
        <f>AND('Current Index'!F202,"AAAAAGvtz84=")</f>
        <v>#VALUE!</v>
      </c>
      <c r="GZ8" t="e">
        <f>AND('Current Index'!G202,"AAAAAGvtz88=")</f>
        <v>#VALUE!</v>
      </c>
      <c r="HA8" t="e">
        <f>AND('Current Index'!H202,"AAAAAGvtz9A=")</f>
        <v>#VALUE!</v>
      </c>
      <c r="HB8" t="e">
        <f>AND('Current Index'!I202,"AAAAAGvtz9E=")</f>
        <v>#VALUE!</v>
      </c>
      <c r="HC8">
        <f>IF('Current Index'!205:205,"AAAAAGvtz9I=",0)</f>
        <v>0</v>
      </c>
      <c r="HD8" t="e">
        <f>AND('Current Index'!A205,"AAAAAGvtz9M=")</f>
        <v>#VALUE!</v>
      </c>
      <c r="HE8" t="e">
        <f>AND('Current Index'!#REF!,"AAAAAGvtz9Q=")</f>
        <v>#REF!</v>
      </c>
      <c r="HF8" t="e">
        <f>AND('Current Index'!B205,"AAAAAGvtz9U=")</f>
        <v>#VALUE!</v>
      </c>
      <c r="HG8" t="e">
        <f>AND('Current Index'!C205,"AAAAAGvtz9Y=")</f>
        <v>#VALUE!</v>
      </c>
      <c r="HH8" t="e">
        <f>AND('Current Index'!D205,"AAAAAGvtz9c=")</f>
        <v>#VALUE!</v>
      </c>
      <c r="HI8" t="e">
        <f>AND('Current Index'!E205,"AAAAAGvtz9g=")</f>
        <v>#VALUE!</v>
      </c>
      <c r="HJ8" t="e">
        <f>AND('Current Index'!F205,"AAAAAGvtz9k=")</f>
        <v>#VALUE!</v>
      </c>
      <c r="HK8" t="e">
        <f>AND('Current Index'!G205,"AAAAAGvtz9o=")</f>
        <v>#VALUE!</v>
      </c>
      <c r="HL8" t="e">
        <f>AND('Current Index'!H205,"AAAAAGvtz9s=")</f>
        <v>#VALUE!</v>
      </c>
      <c r="HM8" t="e">
        <f>AND('Current Index'!I205,"AAAAAGvtz9w=")</f>
        <v>#VALUE!</v>
      </c>
      <c r="HN8" t="e">
        <f>IF('Current Index'!#REF!,"AAAAAGvtz90=",0)</f>
        <v>#REF!</v>
      </c>
      <c r="HO8" t="e">
        <f>AND('Current Index'!#REF!,"AAAAAGvtz94=")</f>
        <v>#REF!</v>
      </c>
      <c r="HP8" t="e">
        <f>AND('Current Index'!#REF!,"AAAAAGvtz98=")</f>
        <v>#REF!</v>
      </c>
      <c r="HQ8" t="e">
        <f>AND('Current Index'!#REF!,"AAAAAGvtz+A=")</f>
        <v>#REF!</v>
      </c>
      <c r="HR8" t="e">
        <f>AND('Current Index'!#REF!,"AAAAAGvtz+E=")</f>
        <v>#REF!</v>
      </c>
      <c r="HS8" t="e">
        <f>AND('Current Index'!#REF!,"AAAAAGvtz+I=")</f>
        <v>#REF!</v>
      </c>
      <c r="HT8" t="e">
        <f>AND('Current Index'!#REF!,"AAAAAGvtz+M=")</f>
        <v>#REF!</v>
      </c>
      <c r="HU8" t="e">
        <f>AND('Current Index'!#REF!,"AAAAAGvtz+Q=")</f>
        <v>#REF!</v>
      </c>
      <c r="HV8" t="e">
        <f>AND('Current Index'!#REF!,"AAAAAGvtz+U=")</f>
        <v>#REF!</v>
      </c>
      <c r="HW8" t="e">
        <f>AND('Current Index'!#REF!,"AAAAAGvtz+Y=")</f>
        <v>#REF!</v>
      </c>
      <c r="HX8" t="e">
        <f>AND('Current Index'!#REF!,"AAAAAGvtz+c=")</f>
        <v>#REF!</v>
      </c>
      <c r="HY8">
        <f>IF('Current Index'!206:206,"AAAAAGvtz+g=",0)</f>
        <v>0</v>
      </c>
      <c r="HZ8" t="e">
        <f>AND('Current Index'!A206,"AAAAAGvtz+k=")</f>
        <v>#VALUE!</v>
      </c>
      <c r="IA8" t="e">
        <f>AND('Current Index'!#REF!,"AAAAAGvtz+o=")</f>
        <v>#REF!</v>
      </c>
      <c r="IB8" t="e">
        <f>AND('Current Index'!B206,"AAAAAGvtz+s=")</f>
        <v>#VALUE!</v>
      </c>
      <c r="IC8" t="e">
        <f>AND('Current Index'!C206,"AAAAAGvtz+w=")</f>
        <v>#VALUE!</v>
      </c>
      <c r="ID8" t="e">
        <f>AND('Current Index'!D206,"AAAAAGvtz+0=")</f>
        <v>#VALUE!</v>
      </c>
      <c r="IE8" t="e">
        <f>AND('Current Index'!E206,"AAAAAGvtz+4=")</f>
        <v>#VALUE!</v>
      </c>
      <c r="IF8" t="e">
        <f>AND('Current Index'!F206,"AAAAAGvtz+8=")</f>
        <v>#VALUE!</v>
      </c>
      <c r="IG8" t="e">
        <f>AND('Current Index'!G206,"AAAAAGvtz/A=")</f>
        <v>#VALUE!</v>
      </c>
      <c r="IH8" t="e">
        <f>AND('Current Index'!H206,"AAAAAGvtz/E=")</f>
        <v>#VALUE!</v>
      </c>
      <c r="II8" t="e">
        <f>AND('Current Index'!I206,"AAAAAGvtz/I=")</f>
        <v>#VALUE!</v>
      </c>
      <c r="IJ8">
        <f>IF('Current Index'!208:208,"AAAAAGvtz/M=",0)</f>
        <v>0</v>
      </c>
      <c r="IK8" t="e">
        <f>AND('Current Index'!A208,"AAAAAGvtz/Q=")</f>
        <v>#VALUE!</v>
      </c>
      <c r="IL8" t="e">
        <f>AND('Current Index'!#REF!,"AAAAAGvtz/U=")</f>
        <v>#REF!</v>
      </c>
      <c r="IM8" t="e">
        <f>AND('Current Index'!B208,"AAAAAGvtz/Y=")</f>
        <v>#VALUE!</v>
      </c>
      <c r="IN8" t="e">
        <f>AND('Current Index'!C208,"AAAAAGvtz/c=")</f>
        <v>#VALUE!</v>
      </c>
      <c r="IO8" t="e">
        <f>AND('Current Index'!D208,"AAAAAGvtz/g=")</f>
        <v>#VALUE!</v>
      </c>
      <c r="IP8" t="e">
        <f>AND('Current Index'!E208,"AAAAAGvtz/k=")</f>
        <v>#VALUE!</v>
      </c>
      <c r="IQ8" t="e">
        <f>AND('Current Index'!F208,"AAAAAGvtz/o=")</f>
        <v>#VALUE!</v>
      </c>
      <c r="IR8" t="e">
        <f>AND('Current Index'!G208,"AAAAAGvtz/s=")</f>
        <v>#VALUE!</v>
      </c>
      <c r="IS8" t="e">
        <f>AND('Current Index'!H208,"AAAAAGvtz/w=")</f>
        <v>#VALUE!</v>
      </c>
      <c r="IT8" t="e">
        <f>AND('Current Index'!I208,"AAAAAGvtz/0=")</f>
        <v>#VALUE!</v>
      </c>
      <c r="IU8" t="e">
        <f>IF('Current Index'!#REF!,"AAAAAGvtz/4=",0)</f>
        <v>#REF!</v>
      </c>
      <c r="IV8" t="e">
        <f>AND('Current Index'!#REF!,"AAAAAGvtz/8=")</f>
        <v>#REF!</v>
      </c>
    </row>
    <row r="9" spans="1:256" x14ac:dyDescent="0.25">
      <c r="A9" t="e">
        <f>AND('Current Index'!#REF!,"AAAAABf99wA=")</f>
        <v>#REF!</v>
      </c>
      <c r="B9" t="e">
        <f>AND('Current Index'!#REF!,"AAAAABf99wE=")</f>
        <v>#REF!</v>
      </c>
      <c r="C9" t="e">
        <f>AND('Current Index'!#REF!,"AAAAABf99wI=")</f>
        <v>#REF!</v>
      </c>
      <c r="D9" t="e">
        <f>AND('Current Index'!#REF!,"AAAAABf99wM=")</f>
        <v>#REF!</v>
      </c>
      <c r="E9" t="e">
        <f>AND('Current Index'!#REF!,"AAAAABf99wQ=")</f>
        <v>#REF!</v>
      </c>
      <c r="F9" t="e">
        <f>AND('Current Index'!#REF!,"AAAAABf99wU=")</f>
        <v>#REF!</v>
      </c>
      <c r="G9" t="e">
        <f>AND('Current Index'!#REF!,"AAAAABf99wY=")</f>
        <v>#REF!</v>
      </c>
      <c r="H9" t="e">
        <f>AND('Current Index'!#REF!,"AAAAABf99wc=")</f>
        <v>#REF!</v>
      </c>
      <c r="I9" t="e">
        <f>AND('Current Index'!#REF!,"AAAAABf99wg=")</f>
        <v>#REF!</v>
      </c>
      <c r="J9">
        <f>IF('Current Index'!211:211,"AAAAABf99wk=",0)</f>
        <v>0</v>
      </c>
      <c r="K9" t="e">
        <f>AND('Current Index'!A211,"AAAAABf99wo=")</f>
        <v>#VALUE!</v>
      </c>
      <c r="L9" t="e">
        <f>AND('Current Index'!#REF!,"AAAAABf99ws=")</f>
        <v>#REF!</v>
      </c>
      <c r="M9" t="e">
        <f>AND('Current Index'!B211,"AAAAABf99ww=")</f>
        <v>#VALUE!</v>
      </c>
      <c r="N9" t="e">
        <f>AND('Current Index'!C211,"AAAAABf99w0=")</f>
        <v>#VALUE!</v>
      </c>
      <c r="O9" t="e">
        <f>AND('Current Index'!D211,"AAAAABf99w4=")</f>
        <v>#VALUE!</v>
      </c>
      <c r="P9" t="e">
        <f>AND('Current Index'!E211,"AAAAABf99w8=")</f>
        <v>#VALUE!</v>
      </c>
      <c r="Q9" t="e">
        <f>AND('Current Index'!F211,"AAAAABf99xA=")</f>
        <v>#VALUE!</v>
      </c>
      <c r="R9" t="e">
        <f>AND('Current Index'!G211,"AAAAABf99xE=")</f>
        <v>#VALUE!</v>
      </c>
      <c r="S9" t="e">
        <f>AND('Current Index'!H211,"AAAAABf99xI=")</f>
        <v>#VALUE!</v>
      </c>
      <c r="T9" t="e">
        <f>AND('Current Index'!I211,"AAAAABf99xM=")</f>
        <v>#VALUE!</v>
      </c>
      <c r="U9">
        <f>IF('Current Index'!212:212,"AAAAABf99xQ=",0)</f>
        <v>0</v>
      </c>
      <c r="V9" t="e">
        <f>AND('Current Index'!A212,"AAAAABf99xU=")</f>
        <v>#VALUE!</v>
      </c>
      <c r="W9" t="e">
        <f>AND('Current Index'!#REF!,"AAAAABf99xY=")</f>
        <v>#REF!</v>
      </c>
      <c r="X9" t="e">
        <f>AND('Current Index'!B212,"AAAAABf99xc=")</f>
        <v>#VALUE!</v>
      </c>
      <c r="Y9" t="e">
        <f>AND('Current Index'!C212,"AAAAABf99xg=")</f>
        <v>#VALUE!</v>
      </c>
      <c r="Z9" t="e">
        <f>AND('Current Index'!D212,"AAAAABf99xk=")</f>
        <v>#VALUE!</v>
      </c>
      <c r="AA9" t="e">
        <f>AND('Current Index'!E212,"AAAAABf99xo=")</f>
        <v>#VALUE!</v>
      </c>
      <c r="AB9" t="e">
        <f>AND('Current Index'!F212,"AAAAABf99xs=")</f>
        <v>#VALUE!</v>
      </c>
      <c r="AC9" t="e">
        <f>AND('Current Index'!G212,"AAAAABf99xw=")</f>
        <v>#VALUE!</v>
      </c>
      <c r="AD9" t="e">
        <f>AND('Current Index'!H212,"AAAAABf99x0=")</f>
        <v>#VALUE!</v>
      </c>
      <c r="AE9" t="e">
        <f>AND('Current Index'!I212,"AAAAABf99x4=")</f>
        <v>#VALUE!</v>
      </c>
      <c r="AF9">
        <f>IF('Current Index'!213:213,"AAAAABf99x8=",0)</f>
        <v>0</v>
      </c>
      <c r="AG9" t="e">
        <f>AND('Current Index'!A213,"AAAAABf99yA=")</f>
        <v>#VALUE!</v>
      </c>
      <c r="AH9" t="e">
        <f>AND('Current Index'!#REF!,"AAAAABf99yE=")</f>
        <v>#REF!</v>
      </c>
      <c r="AI9" t="e">
        <f>AND('Current Index'!B213,"AAAAABf99yI=")</f>
        <v>#VALUE!</v>
      </c>
      <c r="AJ9" t="e">
        <f>AND('Current Index'!C213,"AAAAABf99yM=")</f>
        <v>#VALUE!</v>
      </c>
      <c r="AK9" t="e">
        <f>AND('Current Index'!D213,"AAAAABf99yQ=")</f>
        <v>#VALUE!</v>
      </c>
      <c r="AL9" t="e">
        <f>AND('Current Index'!E213,"AAAAABf99yU=")</f>
        <v>#VALUE!</v>
      </c>
      <c r="AM9" t="e">
        <f>AND('Current Index'!F213,"AAAAABf99yY=")</f>
        <v>#VALUE!</v>
      </c>
      <c r="AN9" t="e">
        <f>AND('Current Index'!G213,"AAAAABf99yc=")</f>
        <v>#VALUE!</v>
      </c>
      <c r="AO9" t="e">
        <f>AND('Current Index'!H213,"AAAAABf99yg=")</f>
        <v>#VALUE!</v>
      </c>
      <c r="AP9" t="e">
        <f>AND('Current Index'!I213,"AAAAABf99yk=")</f>
        <v>#VALUE!</v>
      </c>
      <c r="AQ9">
        <f>IF('Current Index'!214:214,"AAAAABf99yo=",0)</f>
        <v>0</v>
      </c>
      <c r="AR9" t="e">
        <f>AND('Current Index'!A214,"AAAAABf99ys=")</f>
        <v>#VALUE!</v>
      </c>
      <c r="AS9" t="e">
        <f>AND('Current Index'!#REF!,"AAAAABf99yw=")</f>
        <v>#REF!</v>
      </c>
      <c r="AT9" t="e">
        <f>AND('Current Index'!B214,"AAAAABf99y0=")</f>
        <v>#VALUE!</v>
      </c>
      <c r="AU9" t="e">
        <f>AND('Current Index'!C214,"AAAAABf99y4=")</f>
        <v>#VALUE!</v>
      </c>
      <c r="AV9" t="e">
        <f>AND('Current Index'!D214,"AAAAABf99y8=")</f>
        <v>#VALUE!</v>
      </c>
      <c r="AW9" t="e">
        <f>AND('Current Index'!E214,"AAAAABf99zA=")</f>
        <v>#VALUE!</v>
      </c>
      <c r="AX9" t="e">
        <f>AND('Current Index'!F214,"AAAAABf99zE=")</f>
        <v>#VALUE!</v>
      </c>
      <c r="AY9" t="e">
        <f>AND('Current Index'!G214,"AAAAABf99zI=")</f>
        <v>#VALUE!</v>
      </c>
      <c r="AZ9" t="e">
        <f>AND('Current Index'!H214,"AAAAABf99zM=")</f>
        <v>#VALUE!</v>
      </c>
      <c r="BA9" t="e">
        <f>AND('Current Index'!I214,"AAAAABf99zQ=")</f>
        <v>#VALUE!</v>
      </c>
      <c r="BB9">
        <f>IF('Current Index'!215:215,"AAAAABf99zU=",0)</f>
        <v>0</v>
      </c>
      <c r="BC9" t="e">
        <f>AND('Current Index'!A215,"AAAAABf99zY=")</f>
        <v>#VALUE!</v>
      </c>
      <c r="BD9" t="e">
        <f>AND('Current Index'!#REF!,"AAAAABf99zc=")</f>
        <v>#REF!</v>
      </c>
      <c r="BE9" t="e">
        <f>AND('Current Index'!B215,"AAAAABf99zg=")</f>
        <v>#VALUE!</v>
      </c>
      <c r="BF9" t="e">
        <f>AND('Current Index'!C215,"AAAAABf99zk=")</f>
        <v>#VALUE!</v>
      </c>
      <c r="BG9" t="e">
        <f>AND('Current Index'!D215,"AAAAABf99zo=")</f>
        <v>#VALUE!</v>
      </c>
      <c r="BH9" t="e">
        <f>AND('Current Index'!E215,"AAAAABf99zs=")</f>
        <v>#VALUE!</v>
      </c>
      <c r="BI9" t="e">
        <f>AND('Current Index'!F215,"AAAAABf99zw=")</f>
        <v>#VALUE!</v>
      </c>
      <c r="BJ9" t="e">
        <f>AND('Current Index'!G215,"AAAAABf99z0=")</f>
        <v>#VALUE!</v>
      </c>
      <c r="BK9" t="e">
        <f>AND('Current Index'!H215,"AAAAABf99z4=")</f>
        <v>#VALUE!</v>
      </c>
      <c r="BL9" t="e">
        <f>AND('Current Index'!I215,"AAAAABf99z8=")</f>
        <v>#VALUE!</v>
      </c>
      <c r="BM9">
        <f>IF('Current Index'!216:216,"AAAAABf990A=",0)</f>
        <v>0</v>
      </c>
      <c r="BN9" t="e">
        <f>AND('Current Index'!A216,"AAAAABf990E=")</f>
        <v>#VALUE!</v>
      </c>
      <c r="BO9" t="e">
        <f>AND('Current Index'!#REF!,"AAAAABf990I=")</f>
        <v>#REF!</v>
      </c>
      <c r="BP9" t="e">
        <f>AND('Current Index'!B216,"AAAAABf990M=")</f>
        <v>#VALUE!</v>
      </c>
      <c r="BQ9" t="e">
        <f>AND('Current Index'!C216,"AAAAABf990Q=")</f>
        <v>#VALUE!</v>
      </c>
      <c r="BR9" t="e">
        <f>AND('Current Index'!D216,"AAAAABf990U=")</f>
        <v>#VALUE!</v>
      </c>
      <c r="BS9" t="e">
        <f>AND('Current Index'!E216,"AAAAABf990Y=")</f>
        <v>#VALUE!</v>
      </c>
      <c r="BT9" t="e">
        <f>AND('Current Index'!F216,"AAAAABf990c=")</f>
        <v>#VALUE!</v>
      </c>
      <c r="BU9" t="e">
        <f>AND('Current Index'!G216,"AAAAABf990g=")</f>
        <v>#VALUE!</v>
      </c>
      <c r="BV9" t="e">
        <f>AND('Current Index'!H216,"AAAAABf990k=")</f>
        <v>#VALUE!</v>
      </c>
      <c r="BW9" t="e">
        <f>AND('Current Index'!I216,"AAAAABf990o=")</f>
        <v>#VALUE!</v>
      </c>
      <c r="BX9">
        <f>IF('Current Index'!217:217,"AAAAABf990s=",0)</f>
        <v>0</v>
      </c>
      <c r="BY9" t="e">
        <f>AND('Current Index'!A217,"AAAAABf990w=")</f>
        <v>#VALUE!</v>
      </c>
      <c r="BZ9" t="e">
        <f>AND('Current Index'!#REF!,"AAAAABf9900=")</f>
        <v>#REF!</v>
      </c>
      <c r="CA9" t="e">
        <f>AND('Current Index'!B217,"AAAAABf9904=")</f>
        <v>#VALUE!</v>
      </c>
      <c r="CB9" t="e">
        <f>AND('Current Index'!C217,"AAAAABf9908=")</f>
        <v>#VALUE!</v>
      </c>
      <c r="CC9" t="e">
        <f>AND('Current Index'!D217,"AAAAABf991A=")</f>
        <v>#VALUE!</v>
      </c>
      <c r="CD9" t="e">
        <f>AND('Current Index'!E217,"AAAAABf991E=")</f>
        <v>#VALUE!</v>
      </c>
      <c r="CE9" t="e">
        <f>AND('Current Index'!F217,"AAAAABf991I=")</f>
        <v>#VALUE!</v>
      </c>
      <c r="CF9" t="e">
        <f>AND('Current Index'!G217,"AAAAABf991M=")</f>
        <v>#VALUE!</v>
      </c>
      <c r="CG9" t="e">
        <f>AND('Current Index'!H217,"AAAAABf991Q=")</f>
        <v>#VALUE!</v>
      </c>
      <c r="CH9" t="e">
        <f>AND('Current Index'!I217,"AAAAABf991U=")</f>
        <v>#VALUE!</v>
      </c>
      <c r="CI9">
        <f>IF('Current Index'!218:218,"AAAAABf991Y=",0)</f>
        <v>0</v>
      </c>
      <c r="CJ9" t="e">
        <f>AND('Current Index'!A218,"AAAAABf991c=")</f>
        <v>#VALUE!</v>
      </c>
      <c r="CK9" t="e">
        <f>AND('Current Index'!#REF!,"AAAAABf991g=")</f>
        <v>#REF!</v>
      </c>
      <c r="CL9" t="e">
        <f>AND('Current Index'!B218,"AAAAABf991k=")</f>
        <v>#VALUE!</v>
      </c>
      <c r="CM9" t="e">
        <f>AND('Current Index'!C218,"AAAAABf991o=")</f>
        <v>#VALUE!</v>
      </c>
      <c r="CN9" t="e">
        <f>AND('Current Index'!D218,"AAAAABf991s=")</f>
        <v>#VALUE!</v>
      </c>
      <c r="CO9" t="e">
        <f>AND('Current Index'!E218,"AAAAABf991w=")</f>
        <v>#VALUE!</v>
      </c>
      <c r="CP9" t="e">
        <f>AND('Current Index'!F218,"AAAAABf9910=")</f>
        <v>#VALUE!</v>
      </c>
      <c r="CQ9" t="e">
        <f>AND('Current Index'!G218,"AAAAABf9914=")</f>
        <v>#VALUE!</v>
      </c>
      <c r="CR9" t="e">
        <f>AND('Current Index'!H218,"AAAAABf9918=")</f>
        <v>#VALUE!</v>
      </c>
      <c r="CS9" t="e">
        <f>AND('Current Index'!I218,"AAAAABf992A=")</f>
        <v>#VALUE!</v>
      </c>
      <c r="CT9">
        <f>IF('Current Index'!219:219,"AAAAABf992E=",0)</f>
        <v>0</v>
      </c>
      <c r="CU9" t="e">
        <f>AND('Current Index'!A219,"AAAAABf992I=")</f>
        <v>#VALUE!</v>
      </c>
      <c r="CV9" t="e">
        <f>AND('Current Index'!#REF!,"AAAAABf992M=")</f>
        <v>#REF!</v>
      </c>
      <c r="CW9" t="e">
        <f>AND('Current Index'!B219,"AAAAABf992Q=")</f>
        <v>#VALUE!</v>
      </c>
      <c r="CX9" t="e">
        <f>AND('Current Index'!C219,"AAAAABf992U=")</f>
        <v>#VALUE!</v>
      </c>
      <c r="CY9" t="e">
        <f>AND('Current Index'!D219,"AAAAABf992Y=")</f>
        <v>#VALUE!</v>
      </c>
      <c r="CZ9" t="e">
        <f>AND('Current Index'!E219,"AAAAABf992c=")</f>
        <v>#VALUE!</v>
      </c>
      <c r="DA9" t="e">
        <f>AND('Current Index'!F219,"AAAAABf992g=")</f>
        <v>#VALUE!</v>
      </c>
      <c r="DB9" t="e">
        <f>AND('Current Index'!G219,"AAAAABf992k=")</f>
        <v>#VALUE!</v>
      </c>
      <c r="DC9" t="e">
        <f>AND('Current Index'!H219,"AAAAABf992o=")</f>
        <v>#VALUE!</v>
      </c>
      <c r="DD9" t="e">
        <f>AND('Current Index'!I219,"AAAAABf992s=")</f>
        <v>#VALUE!</v>
      </c>
      <c r="DE9">
        <f>IF('Current Index'!220:220,"AAAAABf992w=",0)</f>
        <v>0</v>
      </c>
      <c r="DF9" t="e">
        <f>AND('Current Index'!A220,"AAAAABf9920=")</f>
        <v>#VALUE!</v>
      </c>
      <c r="DG9" t="e">
        <f>AND('Current Index'!#REF!,"AAAAABf9924=")</f>
        <v>#REF!</v>
      </c>
      <c r="DH9" t="e">
        <f>AND('Current Index'!B220,"AAAAABf9928=")</f>
        <v>#VALUE!</v>
      </c>
      <c r="DI9" t="e">
        <f>AND('Current Index'!C220,"AAAAABf993A=")</f>
        <v>#VALUE!</v>
      </c>
      <c r="DJ9" t="e">
        <f>AND('Current Index'!D220,"AAAAABf993E=")</f>
        <v>#VALUE!</v>
      </c>
      <c r="DK9" t="e">
        <f>AND('Current Index'!E220,"AAAAABf993I=")</f>
        <v>#VALUE!</v>
      </c>
      <c r="DL9" t="e">
        <f>AND('Current Index'!F220,"AAAAABf993M=")</f>
        <v>#VALUE!</v>
      </c>
      <c r="DM9" t="e">
        <f>AND('Current Index'!G220,"AAAAABf993Q=")</f>
        <v>#VALUE!</v>
      </c>
      <c r="DN9" t="e">
        <f>AND('Current Index'!H220,"AAAAABf993U=")</f>
        <v>#VALUE!</v>
      </c>
      <c r="DO9" t="e">
        <f>AND('Current Index'!I220,"AAAAABf993Y=")</f>
        <v>#VALUE!</v>
      </c>
      <c r="DP9">
        <f>IF('Current Index'!221:221,"AAAAABf993c=",0)</f>
        <v>0</v>
      </c>
      <c r="DQ9" t="e">
        <f>AND('Current Index'!A221,"AAAAABf993g=")</f>
        <v>#VALUE!</v>
      </c>
      <c r="DR9" t="e">
        <f>AND('Current Index'!#REF!,"AAAAABf993k=")</f>
        <v>#REF!</v>
      </c>
      <c r="DS9" t="e">
        <f>AND('Current Index'!B221,"AAAAABf993o=")</f>
        <v>#VALUE!</v>
      </c>
      <c r="DT9" t="e">
        <f>AND('Current Index'!C221,"AAAAABf993s=")</f>
        <v>#VALUE!</v>
      </c>
      <c r="DU9" t="e">
        <f>AND('Current Index'!D221,"AAAAABf993w=")</f>
        <v>#VALUE!</v>
      </c>
      <c r="DV9" t="e">
        <f>AND('Current Index'!E221,"AAAAABf9930=")</f>
        <v>#VALUE!</v>
      </c>
      <c r="DW9" t="e">
        <f>AND('Current Index'!F221,"AAAAABf9934=")</f>
        <v>#VALUE!</v>
      </c>
      <c r="DX9" t="e">
        <f>AND('Current Index'!G221,"AAAAABf9938=")</f>
        <v>#VALUE!</v>
      </c>
      <c r="DY9" t="e">
        <f>AND('Current Index'!H221,"AAAAABf994A=")</f>
        <v>#VALUE!</v>
      </c>
      <c r="DZ9" t="e">
        <f>AND('Current Index'!I221,"AAAAABf994E=")</f>
        <v>#VALUE!</v>
      </c>
      <c r="EA9">
        <f>IF('Current Index'!222:222,"AAAAABf994I=",0)</f>
        <v>0</v>
      </c>
      <c r="EB9" t="e">
        <f>AND('Current Index'!A222,"AAAAABf994M=")</f>
        <v>#VALUE!</v>
      </c>
      <c r="EC9" t="e">
        <f>AND('Current Index'!#REF!,"AAAAABf994Q=")</f>
        <v>#REF!</v>
      </c>
      <c r="ED9" t="e">
        <f>AND('Current Index'!B222,"AAAAABf994U=")</f>
        <v>#VALUE!</v>
      </c>
      <c r="EE9" t="e">
        <f>AND('Current Index'!C222,"AAAAABf994Y=")</f>
        <v>#VALUE!</v>
      </c>
      <c r="EF9" t="e">
        <f>AND('Current Index'!D222,"AAAAABf994c=")</f>
        <v>#VALUE!</v>
      </c>
      <c r="EG9" t="e">
        <f>AND('Current Index'!E222,"AAAAABf994g=")</f>
        <v>#VALUE!</v>
      </c>
      <c r="EH9" t="e">
        <f>AND('Current Index'!F222,"AAAAABf994k=")</f>
        <v>#VALUE!</v>
      </c>
      <c r="EI9" t="e">
        <f>AND('Current Index'!G222,"AAAAABf994o=")</f>
        <v>#VALUE!</v>
      </c>
      <c r="EJ9" t="e">
        <f>AND('Current Index'!H222,"AAAAABf994s=")</f>
        <v>#VALUE!</v>
      </c>
      <c r="EK9" t="e">
        <f>AND('Current Index'!I222,"AAAAABf994w=")</f>
        <v>#VALUE!</v>
      </c>
      <c r="EL9">
        <f>IF('Current Index'!223:223,"AAAAABf9940=",0)</f>
        <v>0</v>
      </c>
      <c r="EM9" t="e">
        <f>AND('Current Index'!A223,"AAAAABf9944=")</f>
        <v>#VALUE!</v>
      </c>
      <c r="EN9" t="e">
        <f>AND('Current Index'!#REF!,"AAAAABf9948=")</f>
        <v>#REF!</v>
      </c>
      <c r="EO9" t="e">
        <f>AND('Current Index'!B223,"AAAAABf995A=")</f>
        <v>#VALUE!</v>
      </c>
      <c r="EP9" t="e">
        <f>AND('Current Index'!C223,"AAAAABf995E=")</f>
        <v>#VALUE!</v>
      </c>
      <c r="EQ9" t="e">
        <f>AND('Current Index'!D223,"AAAAABf995I=")</f>
        <v>#VALUE!</v>
      </c>
      <c r="ER9" t="e">
        <f>AND('Current Index'!E223,"AAAAABf995M=")</f>
        <v>#VALUE!</v>
      </c>
      <c r="ES9" t="e">
        <f>AND('Current Index'!F223,"AAAAABf995Q=")</f>
        <v>#VALUE!</v>
      </c>
      <c r="ET9" t="e">
        <f>AND('Current Index'!G223,"AAAAABf995U=")</f>
        <v>#VALUE!</v>
      </c>
      <c r="EU9" t="e">
        <f>AND('Current Index'!H223,"AAAAABf995Y=")</f>
        <v>#VALUE!</v>
      </c>
      <c r="EV9" t="e">
        <f>AND('Current Index'!I223,"AAAAABf995c=")</f>
        <v>#VALUE!</v>
      </c>
      <c r="EW9" t="e">
        <f>IF('Current Index'!#REF!,"AAAAABf995g=",0)</f>
        <v>#REF!</v>
      </c>
      <c r="EX9" t="e">
        <f>AND('Current Index'!#REF!,"AAAAABf995k=")</f>
        <v>#REF!</v>
      </c>
      <c r="EY9" t="e">
        <f>AND('Current Index'!#REF!,"AAAAABf995o=")</f>
        <v>#REF!</v>
      </c>
      <c r="EZ9" t="e">
        <f>AND('Current Index'!#REF!,"AAAAABf995s=")</f>
        <v>#REF!</v>
      </c>
      <c r="FA9" t="e">
        <f>AND('Current Index'!#REF!,"AAAAABf995w=")</f>
        <v>#REF!</v>
      </c>
      <c r="FB9" t="e">
        <f>AND('Current Index'!#REF!,"AAAAABf9950=")</f>
        <v>#REF!</v>
      </c>
      <c r="FC9" t="e">
        <f>AND('Current Index'!#REF!,"AAAAABf9954=")</f>
        <v>#REF!</v>
      </c>
      <c r="FD9" t="e">
        <f>AND('Current Index'!#REF!,"AAAAABf9958=")</f>
        <v>#REF!</v>
      </c>
      <c r="FE9" t="e">
        <f>AND('Current Index'!#REF!,"AAAAABf996A=")</f>
        <v>#REF!</v>
      </c>
      <c r="FF9" t="e">
        <f>AND('Current Index'!#REF!,"AAAAABf996E=")</f>
        <v>#REF!</v>
      </c>
      <c r="FG9" t="e">
        <f>AND('Current Index'!#REF!,"AAAAABf996I=")</f>
        <v>#REF!</v>
      </c>
      <c r="FH9">
        <f>IF('Current Index'!224:224,"AAAAABf996M=",0)</f>
        <v>0</v>
      </c>
      <c r="FI9" t="e">
        <f>AND('Current Index'!A224,"AAAAABf996Q=")</f>
        <v>#VALUE!</v>
      </c>
      <c r="FJ9" t="e">
        <f>AND('Current Index'!#REF!,"AAAAABf996U=")</f>
        <v>#REF!</v>
      </c>
      <c r="FK9" t="e">
        <f>AND('Current Index'!B224,"AAAAABf996Y=")</f>
        <v>#VALUE!</v>
      </c>
      <c r="FL9" t="e">
        <f>AND('Current Index'!C224,"AAAAABf996c=")</f>
        <v>#VALUE!</v>
      </c>
      <c r="FM9" t="e">
        <f>AND('Current Index'!D224,"AAAAABf996g=")</f>
        <v>#VALUE!</v>
      </c>
      <c r="FN9" t="e">
        <f>AND('Current Index'!E224,"AAAAABf996k=")</f>
        <v>#VALUE!</v>
      </c>
      <c r="FO9" t="e">
        <f>AND('Current Index'!F224,"AAAAABf996o=")</f>
        <v>#VALUE!</v>
      </c>
      <c r="FP9" t="e">
        <f>AND('Current Index'!G224,"AAAAABf996s=")</f>
        <v>#VALUE!</v>
      </c>
      <c r="FQ9" t="e">
        <f>AND('Current Index'!H224,"AAAAABf996w=")</f>
        <v>#VALUE!</v>
      </c>
      <c r="FR9" t="e">
        <f>AND('Current Index'!I224,"AAAAABf9960=")</f>
        <v>#VALUE!</v>
      </c>
      <c r="FS9">
        <f>IF('Current Index'!225:225,"AAAAABf9964=",0)</f>
        <v>0</v>
      </c>
      <c r="FT9" t="e">
        <f>AND('Current Index'!A225,"AAAAABf9968=")</f>
        <v>#VALUE!</v>
      </c>
      <c r="FU9" t="e">
        <f>AND('Current Index'!#REF!,"AAAAABf997A=")</f>
        <v>#REF!</v>
      </c>
      <c r="FV9" t="e">
        <f>AND('Current Index'!B225,"AAAAABf997E=")</f>
        <v>#VALUE!</v>
      </c>
      <c r="FW9" t="e">
        <f>AND('Current Index'!C225,"AAAAABf997I=")</f>
        <v>#VALUE!</v>
      </c>
      <c r="FX9" t="e">
        <f>AND('Current Index'!D225,"AAAAABf997M=")</f>
        <v>#VALUE!</v>
      </c>
      <c r="FY9" t="e">
        <f>AND('Current Index'!E225,"AAAAABf997Q=")</f>
        <v>#VALUE!</v>
      </c>
      <c r="FZ9" t="e">
        <f>AND('Current Index'!F225,"AAAAABf997U=")</f>
        <v>#VALUE!</v>
      </c>
      <c r="GA9" t="e">
        <f>AND('Current Index'!G225,"AAAAABf997Y=")</f>
        <v>#VALUE!</v>
      </c>
      <c r="GB9" t="e">
        <f>AND('Current Index'!H225,"AAAAABf997c=")</f>
        <v>#VALUE!</v>
      </c>
      <c r="GC9" t="e">
        <f>AND('Current Index'!I225,"AAAAABf997g=")</f>
        <v>#VALUE!</v>
      </c>
      <c r="GD9">
        <f>IF('Current Index'!226:226,"AAAAABf997k=",0)</f>
        <v>0</v>
      </c>
      <c r="GE9" t="e">
        <f>AND('Current Index'!A226,"AAAAABf997o=")</f>
        <v>#VALUE!</v>
      </c>
      <c r="GF9" t="e">
        <f>AND('Current Index'!#REF!,"AAAAABf997s=")</f>
        <v>#REF!</v>
      </c>
      <c r="GG9" t="e">
        <f>AND('Current Index'!B226,"AAAAABf997w=")</f>
        <v>#VALUE!</v>
      </c>
      <c r="GH9" t="e">
        <f>AND('Current Index'!C226,"AAAAABf9970=")</f>
        <v>#VALUE!</v>
      </c>
      <c r="GI9" t="e">
        <f>AND('Current Index'!D226,"AAAAABf9974=")</f>
        <v>#VALUE!</v>
      </c>
      <c r="GJ9" t="e">
        <f>AND('Current Index'!E226,"AAAAABf9978=")</f>
        <v>#VALUE!</v>
      </c>
      <c r="GK9" t="e">
        <f>AND('Current Index'!F226,"AAAAABf998A=")</f>
        <v>#VALUE!</v>
      </c>
      <c r="GL9" t="e">
        <f>AND('Current Index'!G226,"AAAAABf998E=")</f>
        <v>#VALUE!</v>
      </c>
      <c r="GM9" t="e">
        <f>AND('Current Index'!H226,"AAAAABf998I=")</f>
        <v>#VALUE!</v>
      </c>
      <c r="GN9" t="e">
        <f>AND('Current Index'!I226,"AAAAABf998M=")</f>
        <v>#VALUE!</v>
      </c>
      <c r="GO9" t="e">
        <f>IF('Current Index'!#REF!,"AAAAABf998Q=",0)</f>
        <v>#REF!</v>
      </c>
      <c r="GP9" t="e">
        <f>AND('Current Index'!#REF!,"AAAAABf998U=")</f>
        <v>#REF!</v>
      </c>
      <c r="GQ9" t="e">
        <f>AND('Current Index'!#REF!,"AAAAABf998Y=")</f>
        <v>#REF!</v>
      </c>
      <c r="GR9" t="e">
        <f>AND('Current Index'!#REF!,"AAAAABf998c=")</f>
        <v>#REF!</v>
      </c>
      <c r="GS9" t="e">
        <f>AND('Current Index'!#REF!,"AAAAABf998g=")</f>
        <v>#REF!</v>
      </c>
      <c r="GT9" t="e">
        <f>AND('Current Index'!#REF!,"AAAAABf998k=")</f>
        <v>#REF!</v>
      </c>
      <c r="GU9" t="e">
        <f>AND('Current Index'!#REF!,"AAAAABf998o=")</f>
        <v>#REF!</v>
      </c>
      <c r="GV9" t="e">
        <f>AND('Current Index'!#REF!,"AAAAABf998s=")</f>
        <v>#REF!</v>
      </c>
      <c r="GW9" t="e">
        <f>AND('Current Index'!#REF!,"AAAAABf998w=")</f>
        <v>#REF!</v>
      </c>
      <c r="GX9" t="e">
        <f>AND('Current Index'!#REF!,"AAAAABf9980=")</f>
        <v>#REF!</v>
      </c>
      <c r="GY9" t="e">
        <f>AND('Current Index'!#REF!,"AAAAABf9984=")</f>
        <v>#REF!</v>
      </c>
      <c r="GZ9">
        <f>IF('Current Index'!227:227,"AAAAABf9988=",0)</f>
        <v>0</v>
      </c>
      <c r="HA9" t="e">
        <f>AND('Current Index'!A227,"AAAAABf999A=")</f>
        <v>#VALUE!</v>
      </c>
      <c r="HB9" t="e">
        <f>AND('Current Index'!#REF!,"AAAAABf999E=")</f>
        <v>#REF!</v>
      </c>
      <c r="HC9" t="e">
        <f>AND('Current Index'!B227,"AAAAABf999I=")</f>
        <v>#VALUE!</v>
      </c>
      <c r="HD9" t="e">
        <f>AND('Current Index'!C227,"AAAAABf999M=")</f>
        <v>#VALUE!</v>
      </c>
      <c r="HE9" t="e">
        <f>AND('Current Index'!D227,"AAAAABf999Q=")</f>
        <v>#VALUE!</v>
      </c>
      <c r="HF9" t="e">
        <f>AND('Current Index'!E227,"AAAAABf999U=")</f>
        <v>#VALUE!</v>
      </c>
      <c r="HG9" t="e">
        <f>AND('Current Index'!F227,"AAAAABf999Y=")</f>
        <v>#VALUE!</v>
      </c>
      <c r="HH9" t="e">
        <f>AND('Current Index'!G227,"AAAAABf999c=")</f>
        <v>#VALUE!</v>
      </c>
      <c r="HI9" t="e">
        <f>AND('Current Index'!H227,"AAAAABf999g=")</f>
        <v>#VALUE!</v>
      </c>
      <c r="HJ9" t="e">
        <f>AND('Current Index'!I227,"AAAAABf999k=")</f>
        <v>#VALUE!</v>
      </c>
      <c r="HK9">
        <f>IF('Current Index'!228:228,"AAAAABf999o=",0)</f>
        <v>0</v>
      </c>
      <c r="HL9" t="e">
        <f>AND('Current Index'!A228,"AAAAABf999s=")</f>
        <v>#VALUE!</v>
      </c>
      <c r="HM9" t="e">
        <f>AND('Current Index'!#REF!,"AAAAABf999w=")</f>
        <v>#REF!</v>
      </c>
      <c r="HN9" t="e">
        <f>AND('Current Index'!B228,"AAAAABf9990=")</f>
        <v>#VALUE!</v>
      </c>
      <c r="HO9" t="e">
        <f>AND('Current Index'!C228,"AAAAABf9994=")</f>
        <v>#VALUE!</v>
      </c>
      <c r="HP9" t="e">
        <f>AND('Current Index'!D228,"AAAAABf9998=")</f>
        <v>#VALUE!</v>
      </c>
      <c r="HQ9" t="e">
        <f>AND('Current Index'!E228,"AAAAABf99+A=")</f>
        <v>#VALUE!</v>
      </c>
      <c r="HR9" t="e">
        <f>AND('Current Index'!F228,"AAAAABf99+E=")</f>
        <v>#VALUE!</v>
      </c>
      <c r="HS9" t="e">
        <f>AND('Current Index'!G228,"AAAAABf99+I=")</f>
        <v>#VALUE!</v>
      </c>
      <c r="HT9" t="e">
        <f>AND('Current Index'!H228,"AAAAABf99+M=")</f>
        <v>#VALUE!</v>
      </c>
      <c r="HU9" t="e">
        <f>AND('Current Index'!I228,"AAAAABf99+Q=")</f>
        <v>#VALUE!</v>
      </c>
      <c r="HV9" t="e">
        <f>IF('Current Index'!#REF!,"AAAAABf99+U=",0)</f>
        <v>#REF!</v>
      </c>
      <c r="HW9" t="e">
        <f>AND('Current Index'!#REF!,"AAAAABf99+Y=")</f>
        <v>#REF!</v>
      </c>
      <c r="HX9" t="e">
        <f>AND('Current Index'!#REF!,"AAAAABf99+c=")</f>
        <v>#REF!</v>
      </c>
      <c r="HY9" t="e">
        <f>AND('Current Index'!#REF!,"AAAAABf99+g=")</f>
        <v>#REF!</v>
      </c>
      <c r="HZ9" t="e">
        <f>AND('Current Index'!#REF!,"AAAAABf99+k=")</f>
        <v>#REF!</v>
      </c>
      <c r="IA9" t="e">
        <f>AND('Current Index'!#REF!,"AAAAABf99+o=")</f>
        <v>#REF!</v>
      </c>
      <c r="IB9" t="e">
        <f>AND('Current Index'!#REF!,"AAAAABf99+s=")</f>
        <v>#REF!</v>
      </c>
      <c r="IC9" t="e">
        <f>AND('Current Index'!#REF!,"AAAAABf99+w=")</f>
        <v>#REF!</v>
      </c>
      <c r="ID9" t="e">
        <f>AND('Current Index'!#REF!,"AAAAABf99+0=")</f>
        <v>#REF!</v>
      </c>
      <c r="IE9" t="e">
        <f>AND('Current Index'!#REF!,"AAAAABf99+4=")</f>
        <v>#REF!</v>
      </c>
      <c r="IF9" t="e">
        <f>AND('Current Index'!#REF!,"AAAAABf99+8=")</f>
        <v>#REF!</v>
      </c>
      <c r="IG9">
        <f>IF('Current Index'!229:229,"AAAAABf99/A=",0)</f>
        <v>0</v>
      </c>
      <c r="IH9" t="e">
        <f>AND('Current Index'!A229,"AAAAABf99/E=")</f>
        <v>#VALUE!</v>
      </c>
      <c r="II9" t="e">
        <f>AND('Current Index'!#REF!,"AAAAABf99/I=")</f>
        <v>#REF!</v>
      </c>
      <c r="IJ9" t="e">
        <f>AND('Current Index'!B229,"AAAAABf99/M=")</f>
        <v>#VALUE!</v>
      </c>
      <c r="IK9" t="e">
        <f>AND('Current Index'!C229,"AAAAABf99/Q=")</f>
        <v>#VALUE!</v>
      </c>
      <c r="IL9" t="e">
        <f>AND('Current Index'!D229,"AAAAABf99/U=")</f>
        <v>#VALUE!</v>
      </c>
      <c r="IM9" t="e">
        <f>AND('Current Index'!E229,"AAAAABf99/Y=")</f>
        <v>#VALUE!</v>
      </c>
      <c r="IN9" t="e">
        <f>AND('Current Index'!F229,"AAAAABf99/c=")</f>
        <v>#VALUE!</v>
      </c>
      <c r="IO9" t="e">
        <f>AND('Current Index'!G229,"AAAAABf99/g=")</f>
        <v>#VALUE!</v>
      </c>
      <c r="IP9" t="e">
        <f>AND('Current Index'!H229,"AAAAABf99/k=")</f>
        <v>#VALUE!</v>
      </c>
      <c r="IQ9" t="e">
        <f>AND('Current Index'!I229,"AAAAABf99/o=")</f>
        <v>#VALUE!</v>
      </c>
      <c r="IR9">
        <f>IF('Current Index'!230:230,"AAAAABf99/s=",0)</f>
        <v>0</v>
      </c>
      <c r="IS9" t="e">
        <f>AND('Current Index'!A230,"AAAAABf99/w=")</f>
        <v>#VALUE!</v>
      </c>
      <c r="IT9" t="e">
        <f>AND('Current Index'!#REF!,"AAAAABf99/0=")</f>
        <v>#REF!</v>
      </c>
      <c r="IU9" t="e">
        <f>AND('Current Index'!B230,"AAAAABf99/4=")</f>
        <v>#VALUE!</v>
      </c>
      <c r="IV9" t="e">
        <f>AND('Current Index'!C230,"AAAAABf99/8=")</f>
        <v>#VALUE!</v>
      </c>
    </row>
    <row r="10" spans="1:256" x14ac:dyDescent="0.25">
      <c r="A10" t="e">
        <f>AND('Current Index'!D230,"AAAAAD/2mQA=")</f>
        <v>#VALUE!</v>
      </c>
      <c r="B10" t="e">
        <f>AND('Current Index'!E230,"AAAAAD/2mQE=")</f>
        <v>#VALUE!</v>
      </c>
      <c r="C10" t="e">
        <f>AND('Current Index'!F230,"AAAAAD/2mQI=")</f>
        <v>#VALUE!</v>
      </c>
      <c r="D10" t="e">
        <f>AND('Current Index'!G230,"AAAAAD/2mQM=")</f>
        <v>#VALUE!</v>
      </c>
      <c r="E10" t="e">
        <f>AND('Current Index'!H230,"AAAAAD/2mQQ=")</f>
        <v>#VALUE!</v>
      </c>
      <c r="F10" t="e">
        <f>AND('Current Index'!I230,"AAAAAD/2mQU=")</f>
        <v>#VALUE!</v>
      </c>
      <c r="G10" t="e">
        <f>IF('Current Index'!231:231,"AAAAAD/2mQY=",0)</f>
        <v>#VALUE!</v>
      </c>
      <c r="H10" t="e">
        <f>AND('Current Index'!A231,"AAAAAD/2mQc=")</f>
        <v>#VALUE!</v>
      </c>
      <c r="I10" t="e">
        <f>AND('Current Index'!#REF!,"AAAAAD/2mQg=")</f>
        <v>#REF!</v>
      </c>
      <c r="J10" t="e">
        <f>AND('Current Index'!B231,"AAAAAD/2mQk=")</f>
        <v>#VALUE!</v>
      </c>
      <c r="K10" t="e">
        <f>AND('Current Index'!C231,"AAAAAD/2mQo=")</f>
        <v>#VALUE!</v>
      </c>
      <c r="L10" t="e">
        <f>AND('Current Index'!D231,"AAAAAD/2mQs=")</f>
        <v>#VALUE!</v>
      </c>
      <c r="M10" t="e">
        <f>AND('Current Index'!E231,"AAAAAD/2mQw=")</f>
        <v>#VALUE!</v>
      </c>
      <c r="N10" t="e">
        <f>AND('Current Index'!F231,"AAAAAD/2mQ0=")</f>
        <v>#VALUE!</v>
      </c>
      <c r="O10" t="e">
        <f>AND('Current Index'!G231,"AAAAAD/2mQ4=")</f>
        <v>#VALUE!</v>
      </c>
      <c r="P10" t="e">
        <f>AND('Current Index'!H231,"AAAAAD/2mQ8=")</f>
        <v>#VALUE!</v>
      </c>
      <c r="Q10" t="e">
        <f>AND('Current Index'!I231,"AAAAAD/2mRA=")</f>
        <v>#VALUE!</v>
      </c>
      <c r="R10">
        <f>IF('Current Index'!232:232,"AAAAAD/2mRE=",0)</f>
        <v>0</v>
      </c>
      <c r="S10" t="e">
        <f>AND('Current Index'!A232,"AAAAAD/2mRI=")</f>
        <v>#VALUE!</v>
      </c>
      <c r="T10" t="e">
        <f>AND('Current Index'!#REF!,"AAAAAD/2mRM=")</f>
        <v>#REF!</v>
      </c>
      <c r="U10" t="e">
        <f>AND('Current Index'!B232,"AAAAAD/2mRQ=")</f>
        <v>#VALUE!</v>
      </c>
      <c r="V10" t="e">
        <f>AND('Current Index'!C232,"AAAAAD/2mRU=")</f>
        <v>#VALUE!</v>
      </c>
      <c r="W10" t="e">
        <f>AND('Current Index'!D232,"AAAAAD/2mRY=")</f>
        <v>#VALUE!</v>
      </c>
      <c r="X10" t="e">
        <f>AND('Current Index'!E232,"AAAAAD/2mRc=")</f>
        <v>#VALUE!</v>
      </c>
      <c r="Y10" t="e">
        <f>AND('Current Index'!F232,"AAAAAD/2mRg=")</f>
        <v>#VALUE!</v>
      </c>
      <c r="Z10" t="e">
        <f>AND('Current Index'!G232,"AAAAAD/2mRk=")</f>
        <v>#VALUE!</v>
      </c>
      <c r="AA10" t="e">
        <f>AND('Current Index'!H232,"AAAAAD/2mRo=")</f>
        <v>#VALUE!</v>
      </c>
      <c r="AB10" t="e">
        <f>AND('Current Index'!I232,"AAAAAD/2mRs=")</f>
        <v>#VALUE!</v>
      </c>
      <c r="AC10">
        <f>IF('Current Index'!233:233,"AAAAAD/2mRw=",0)</f>
        <v>0</v>
      </c>
      <c r="AD10" t="e">
        <f>AND('Current Index'!A233,"AAAAAD/2mR0=")</f>
        <v>#VALUE!</v>
      </c>
      <c r="AE10" t="e">
        <f>AND('Current Index'!#REF!,"AAAAAD/2mR4=")</f>
        <v>#REF!</v>
      </c>
      <c r="AF10" t="e">
        <f>AND('Current Index'!B233,"AAAAAD/2mR8=")</f>
        <v>#VALUE!</v>
      </c>
      <c r="AG10" t="e">
        <f>AND('Current Index'!C233,"AAAAAD/2mSA=")</f>
        <v>#VALUE!</v>
      </c>
      <c r="AH10" t="e">
        <f>AND('Current Index'!D233,"AAAAAD/2mSE=")</f>
        <v>#VALUE!</v>
      </c>
      <c r="AI10" t="e">
        <f>AND('Current Index'!E233,"AAAAAD/2mSI=")</f>
        <v>#VALUE!</v>
      </c>
      <c r="AJ10" t="e">
        <f>AND('Current Index'!F233,"AAAAAD/2mSM=")</f>
        <v>#VALUE!</v>
      </c>
      <c r="AK10" t="e">
        <f>AND('Current Index'!G233,"AAAAAD/2mSQ=")</f>
        <v>#VALUE!</v>
      </c>
      <c r="AL10" t="e">
        <f>AND('Current Index'!H233,"AAAAAD/2mSU=")</f>
        <v>#VALUE!</v>
      </c>
      <c r="AM10" t="e">
        <f>AND('Current Index'!I233,"AAAAAD/2mSY=")</f>
        <v>#VALUE!</v>
      </c>
      <c r="AN10">
        <f>IF('Current Index'!234:234,"AAAAAD/2mSc=",0)</f>
        <v>0</v>
      </c>
      <c r="AO10" t="e">
        <f>AND('Current Index'!A234,"AAAAAD/2mSg=")</f>
        <v>#VALUE!</v>
      </c>
      <c r="AP10" t="e">
        <f>AND('Current Index'!#REF!,"AAAAAD/2mSk=")</f>
        <v>#REF!</v>
      </c>
      <c r="AQ10" t="e">
        <f>AND('Current Index'!B234,"AAAAAD/2mSo=")</f>
        <v>#VALUE!</v>
      </c>
      <c r="AR10" t="e">
        <f>AND('Current Index'!C234,"AAAAAD/2mSs=")</f>
        <v>#VALUE!</v>
      </c>
      <c r="AS10" t="e">
        <f>AND('Current Index'!D234,"AAAAAD/2mSw=")</f>
        <v>#VALUE!</v>
      </c>
      <c r="AT10" t="e">
        <f>AND('Current Index'!E234,"AAAAAD/2mS0=")</f>
        <v>#VALUE!</v>
      </c>
      <c r="AU10" t="e">
        <f>AND('Current Index'!F234,"AAAAAD/2mS4=")</f>
        <v>#VALUE!</v>
      </c>
      <c r="AV10" t="e">
        <f>AND('Current Index'!G234,"AAAAAD/2mS8=")</f>
        <v>#VALUE!</v>
      </c>
      <c r="AW10" t="e">
        <f>AND('Current Index'!H234,"AAAAAD/2mTA=")</f>
        <v>#VALUE!</v>
      </c>
      <c r="AX10" t="e">
        <f>AND('Current Index'!I234,"AAAAAD/2mTE=")</f>
        <v>#VALUE!</v>
      </c>
      <c r="AY10" t="e">
        <f>IF('Current Index'!#REF!,"AAAAAD/2mTI=",0)</f>
        <v>#REF!</v>
      </c>
      <c r="AZ10" t="e">
        <f>AND('Current Index'!#REF!,"AAAAAD/2mTM=")</f>
        <v>#REF!</v>
      </c>
      <c r="BA10" t="e">
        <f>AND('Current Index'!#REF!,"AAAAAD/2mTQ=")</f>
        <v>#REF!</v>
      </c>
      <c r="BB10" t="e">
        <f>AND('Current Index'!#REF!,"AAAAAD/2mTU=")</f>
        <v>#REF!</v>
      </c>
      <c r="BC10" t="e">
        <f>AND('Current Index'!#REF!,"AAAAAD/2mTY=")</f>
        <v>#REF!</v>
      </c>
      <c r="BD10" t="e">
        <f>AND('Current Index'!#REF!,"AAAAAD/2mTc=")</f>
        <v>#REF!</v>
      </c>
      <c r="BE10" t="e">
        <f>AND('Current Index'!#REF!,"AAAAAD/2mTg=")</f>
        <v>#REF!</v>
      </c>
      <c r="BF10" t="e">
        <f>AND('Current Index'!#REF!,"AAAAAD/2mTk=")</f>
        <v>#REF!</v>
      </c>
      <c r="BG10" t="e">
        <f>AND('Current Index'!#REF!,"AAAAAD/2mTo=")</f>
        <v>#REF!</v>
      </c>
      <c r="BH10" t="e">
        <f>AND('Current Index'!#REF!,"AAAAAD/2mTs=")</f>
        <v>#REF!</v>
      </c>
      <c r="BI10" t="e">
        <f>AND('Current Index'!#REF!,"AAAAAD/2mTw=")</f>
        <v>#REF!</v>
      </c>
      <c r="BJ10">
        <f>IF('Current Index'!235:235,"AAAAAD/2mT0=",0)</f>
        <v>0</v>
      </c>
      <c r="BK10" t="e">
        <f>AND('Current Index'!A235,"AAAAAD/2mT4=")</f>
        <v>#VALUE!</v>
      </c>
      <c r="BL10" t="e">
        <f>AND('Current Index'!#REF!,"AAAAAD/2mT8=")</f>
        <v>#REF!</v>
      </c>
      <c r="BM10" t="e">
        <f>AND('Current Index'!B235,"AAAAAD/2mUA=")</f>
        <v>#VALUE!</v>
      </c>
      <c r="BN10" t="e">
        <f>AND('Current Index'!C235,"AAAAAD/2mUE=")</f>
        <v>#VALUE!</v>
      </c>
      <c r="BO10" t="e">
        <f>AND('Current Index'!D235,"AAAAAD/2mUI=")</f>
        <v>#VALUE!</v>
      </c>
      <c r="BP10" t="e">
        <f>AND('Current Index'!E235,"AAAAAD/2mUM=")</f>
        <v>#VALUE!</v>
      </c>
      <c r="BQ10" t="e">
        <f>AND('Current Index'!F235,"AAAAAD/2mUQ=")</f>
        <v>#VALUE!</v>
      </c>
      <c r="BR10" t="e">
        <f>AND('Current Index'!G235,"AAAAAD/2mUU=")</f>
        <v>#VALUE!</v>
      </c>
      <c r="BS10" t="e">
        <f>AND('Current Index'!H235,"AAAAAD/2mUY=")</f>
        <v>#VALUE!</v>
      </c>
      <c r="BT10" t="e">
        <f>AND('Current Index'!I235,"AAAAAD/2mUc=")</f>
        <v>#VALUE!</v>
      </c>
      <c r="BU10">
        <f>IF('Current Index'!236:236,"AAAAAD/2mUg=",0)</f>
        <v>0</v>
      </c>
      <c r="BV10" t="e">
        <f>AND('Current Index'!A236,"AAAAAD/2mUk=")</f>
        <v>#VALUE!</v>
      </c>
      <c r="BW10" t="e">
        <f>AND('Current Index'!#REF!,"AAAAAD/2mUo=")</f>
        <v>#REF!</v>
      </c>
      <c r="BX10" t="e">
        <f>AND('Current Index'!B236,"AAAAAD/2mUs=")</f>
        <v>#VALUE!</v>
      </c>
      <c r="BY10" t="e">
        <f>AND('Current Index'!C236,"AAAAAD/2mUw=")</f>
        <v>#VALUE!</v>
      </c>
      <c r="BZ10" t="e">
        <f>AND('Current Index'!D236,"AAAAAD/2mU0=")</f>
        <v>#VALUE!</v>
      </c>
      <c r="CA10" t="e">
        <f>AND('Current Index'!E236,"AAAAAD/2mU4=")</f>
        <v>#VALUE!</v>
      </c>
      <c r="CB10" t="e">
        <f>AND('Current Index'!F236,"AAAAAD/2mU8=")</f>
        <v>#VALUE!</v>
      </c>
      <c r="CC10" t="e">
        <f>AND('Current Index'!G236,"AAAAAD/2mVA=")</f>
        <v>#VALUE!</v>
      </c>
      <c r="CD10" t="e">
        <f>AND('Current Index'!H236,"AAAAAD/2mVE=")</f>
        <v>#VALUE!</v>
      </c>
      <c r="CE10" t="e">
        <f>AND('Current Index'!I236,"AAAAAD/2mVI=")</f>
        <v>#VALUE!</v>
      </c>
      <c r="CF10">
        <f>IF('Current Index'!237:237,"AAAAAD/2mVM=",0)</f>
        <v>0</v>
      </c>
      <c r="CG10" t="e">
        <f>AND('Current Index'!A237,"AAAAAD/2mVQ=")</f>
        <v>#VALUE!</v>
      </c>
      <c r="CH10" t="e">
        <f>AND('Current Index'!#REF!,"AAAAAD/2mVU=")</f>
        <v>#REF!</v>
      </c>
      <c r="CI10" t="e">
        <f>AND('Current Index'!B237,"AAAAAD/2mVY=")</f>
        <v>#VALUE!</v>
      </c>
      <c r="CJ10" t="e">
        <f>AND('Current Index'!C237,"AAAAAD/2mVc=")</f>
        <v>#VALUE!</v>
      </c>
      <c r="CK10" t="e">
        <f>AND('Current Index'!D237,"AAAAAD/2mVg=")</f>
        <v>#VALUE!</v>
      </c>
      <c r="CL10" t="e">
        <f>AND('Current Index'!E237,"AAAAAD/2mVk=")</f>
        <v>#VALUE!</v>
      </c>
      <c r="CM10" t="e">
        <f>AND('Current Index'!F237,"AAAAAD/2mVo=")</f>
        <v>#VALUE!</v>
      </c>
      <c r="CN10" t="e">
        <f>AND('Current Index'!G237,"AAAAAD/2mVs=")</f>
        <v>#VALUE!</v>
      </c>
      <c r="CO10" t="e">
        <f>AND('Current Index'!H237,"AAAAAD/2mVw=")</f>
        <v>#VALUE!</v>
      </c>
      <c r="CP10" t="e">
        <f>AND('Current Index'!I237,"AAAAAD/2mV0=")</f>
        <v>#VALUE!</v>
      </c>
      <c r="CQ10" t="e">
        <f>IF('Current Index'!#REF!,"AAAAAD/2mV4=",0)</f>
        <v>#REF!</v>
      </c>
      <c r="CR10" t="e">
        <f>AND('Current Index'!#REF!,"AAAAAD/2mV8=")</f>
        <v>#REF!</v>
      </c>
      <c r="CS10" t="e">
        <f>AND('Current Index'!#REF!,"AAAAAD/2mWA=")</f>
        <v>#REF!</v>
      </c>
      <c r="CT10" t="e">
        <f>AND('Current Index'!#REF!,"AAAAAD/2mWE=")</f>
        <v>#REF!</v>
      </c>
      <c r="CU10" t="e">
        <f>AND('Current Index'!#REF!,"AAAAAD/2mWI=")</f>
        <v>#REF!</v>
      </c>
      <c r="CV10" t="e">
        <f>AND('Current Index'!#REF!,"AAAAAD/2mWM=")</f>
        <v>#REF!</v>
      </c>
      <c r="CW10" t="e">
        <f>AND('Current Index'!#REF!,"AAAAAD/2mWQ=")</f>
        <v>#REF!</v>
      </c>
      <c r="CX10" t="e">
        <f>AND('Current Index'!#REF!,"AAAAAD/2mWU=")</f>
        <v>#REF!</v>
      </c>
      <c r="CY10" t="e">
        <f>AND('Current Index'!#REF!,"AAAAAD/2mWY=")</f>
        <v>#REF!</v>
      </c>
      <c r="CZ10" t="e">
        <f>AND('Current Index'!#REF!,"AAAAAD/2mWc=")</f>
        <v>#REF!</v>
      </c>
      <c r="DA10" t="e">
        <f>AND('Current Index'!#REF!,"AAAAAD/2mWg=")</f>
        <v>#REF!</v>
      </c>
      <c r="DB10">
        <f>IF('Current Index'!238:238,"AAAAAD/2mWk=",0)</f>
        <v>0</v>
      </c>
      <c r="DC10" t="e">
        <f>AND('Current Index'!A238,"AAAAAD/2mWo=")</f>
        <v>#VALUE!</v>
      </c>
      <c r="DD10" t="e">
        <f>AND('Current Index'!#REF!,"AAAAAD/2mWs=")</f>
        <v>#REF!</v>
      </c>
      <c r="DE10" t="e">
        <f>AND('Current Index'!B238,"AAAAAD/2mWw=")</f>
        <v>#VALUE!</v>
      </c>
      <c r="DF10" t="e">
        <f>AND('Current Index'!C238,"AAAAAD/2mW0=")</f>
        <v>#VALUE!</v>
      </c>
      <c r="DG10" t="e">
        <f>AND('Current Index'!D238,"AAAAAD/2mW4=")</f>
        <v>#VALUE!</v>
      </c>
      <c r="DH10" t="e">
        <f>AND('Current Index'!E238,"AAAAAD/2mW8=")</f>
        <v>#VALUE!</v>
      </c>
      <c r="DI10" t="e">
        <f>AND('Current Index'!F238,"AAAAAD/2mXA=")</f>
        <v>#VALUE!</v>
      </c>
      <c r="DJ10" t="e">
        <f>AND('Current Index'!G238,"AAAAAD/2mXE=")</f>
        <v>#VALUE!</v>
      </c>
      <c r="DK10" t="e">
        <f>AND('Current Index'!H238,"AAAAAD/2mXI=")</f>
        <v>#VALUE!</v>
      </c>
      <c r="DL10" t="e">
        <f>AND('Current Index'!I238,"AAAAAD/2mXM=")</f>
        <v>#VALUE!</v>
      </c>
      <c r="DM10">
        <f>IF('Current Index'!239:239,"AAAAAD/2mXQ=",0)</f>
        <v>0</v>
      </c>
      <c r="DN10" t="e">
        <f>AND('Current Index'!A239,"AAAAAD/2mXU=")</f>
        <v>#VALUE!</v>
      </c>
      <c r="DO10" t="e">
        <f>AND('Current Index'!#REF!,"AAAAAD/2mXY=")</f>
        <v>#REF!</v>
      </c>
      <c r="DP10" t="e">
        <f>AND('Current Index'!B239,"AAAAAD/2mXc=")</f>
        <v>#VALUE!</v>
      </c>
      <c r="DQ10" t="e">
        <f>AND('Current Index'!C239,"AAAAAD/2mXg=")</f>
        <v>#VALUE!</v>
      </c>
      <c r="DR10" t="e">
        <f>AND('Current Index'!D239,"AAAAAD/2mXk=")</f>
        <v>#VALUE!</v>
      </c>
      <c r="DS10" t="e">
        <f>AND('Current Index'!E239,"AAAAAD/2mXo=")</f>
        <v>#VALUE!</v>
      </c>
      <c r="DT10" t="e">
        <f>AND('Current Index'!F239,"AAAAAD/2mXs=")</f>
        <v>#VALUE!</v>
      </c>
      <c r="DU10" t="e">
        <f>AND('Current Index'!G239,"AAAAAD/2mXw=")</f>
        <v>#VALUE!</v>
      </c>
      <c r="DV10" t="e">
        <f>AND('Current Index'!H239,"AAAAAD/2mX0=")</f>
        <v>#VALUE!</v>
      </c>
      <c r="DW10" t="e">
        <f>AND('Current Index'!I239,"AAAAAD/2mX4=")</f>
        <v>#VALUE!</v>
      </c>
      <c r="DX10">
        <f>IF('Current Index'!240:240,"AAAAAD/2mX8=",0)</f>
        <v>0</v>
      </c>
      <c r="DY10" t="e">
        <f>AND('Current Index'!A240,"AAAAAD/2mYA=")</f>
        <v>#VALUE!</v>
      </c>
      <c r="DZ10" t="e">
        <f>AND('Current Index'!#REF!,"AAAAAD/2mYE=")</f>
        <v>#REF!</v>
      </c>
      <c r="EA10" t="e">
        <f>AND('Current Index'!B240,"AAAAAD/2mYI=")</f>
        <v>#VALUE!</v>
      </c>
      <c r="EB10" t="e">
        <f>AND('Current Index'!C240,"AAAAAD/2mYM=")</f>
        <v>#VALUE!</v>
      </c>
      <c r="EC10" t="e">
        <f>AND('Current Index'!D240,"AAAAAD/2mYQ=")</f>
        <v>#VALUE!</v>
      </c>
      <c r="ED10" t="e">
        <f>AND('Current Index'!E240,"AAAAAD/2mYU=")</f>
        <v>#VALUE!</v>
      </c>
      <c r="EE10" t="e">
        <f>AND('Current Index'!F240,"AAAAAD/2mYY=")</f>
        <v>#VALUE!</v>
      </c>
      <c r="EF10" t="e">
        <f>AND('Current Index'!G240,"AAAAAD/2mYc=")</f>
        <v>#VALUE!</v>
      </c>
      <c r="EG10" t="e">
        <f>AND('Current Index'!H240,"AAAAAD/2mYg=")</f>
        <v>#VALUE!</v>
      </c>
      <c r="EH10" t="e">
        <f>AND('Current Index'!I240,"AAAAAD/2mYk=")</f>
        <v>#VALUE!</v>
      </c>
      <c r="EI10">
        <f>IF('Current Index'!241:241,"AAAAAD/2mYo=",0)</f>
        <v>0</v>
      </c>
      <c r="EJ10" t="e">
        <f>AND('Current Index'!A241,"AAAAAD/2mYs=")</f>
        <v>#VALUE!</v>
      </c>
      <c r="EK10" t="e">
        <f>AND('Current Index'!#REF!,"AAAAAD/2mYw=")</f>
        <v>#REF!</v>
      </c>
      <c r="EL10" t="e">
        <f>AND('Current Index'!B241,"AAAAAD/2mY0=")</f>
        <v>#VALUE!</v>
      </c>
      <c r="EM10" t="e">
        <f>AND('Current Index'!C241,"AAAAAD/2mY4=")</f>
        <v>#VALUE!</v>
      </c>
      <c r="EN10" t="e">
        <f>AND('Current Index'!D241,"AAAAAD/2mY8=")</f>
        <v>#VALUE!</v>
      </c>
      <c r="EO10" t="e">
        <f>AND('Current Index'!E241,"AAAAAD/2mZA=")</f>
        <v>#VALUE!</v>
      </c>
      <c r="EP10" t="e">
        <f>AND('Current Index'!F241,"AAAAAD/2mZE=")</f>
        <v>#VALUE!</v>
      </c>
      <c r="EQ10" t="e">
        <f>AND('Current Index'!G241,"AAAAAD/2mZI=")</f>
        <v>#VALUE!</v>
      </c>
      <c r="ER10" t="e">
        <f>AND('Current Index'!H241,"AAAAAD/2mZM=")</f>
        <v>#VALUE!</v>
      </c>
      <c r="ES10" t="e">
        <f>AND('Current Index'!I241,"AAAAAD/2mZQ=")</f>
        <v>#VALUE!</v>
      </c>
      <c r="ET10">
        <f>IF('Current Index'!242:242,"AAAAAD/2mZU=",0)</f>
        <v>0</v>
      </c>
      <c r="EU10" t="e">
        <f>AND('Current Index'!A242,"AAAAAD/2mZY=")</f>
        <v>#VALUE!</v>
      </c>
      <c r="EV10" t="e">
        <f>AND('Current Index'!#REF!,"AAAAAD/2mZc=")</f>
        <v>#REF!</v>
      </c>
      <c r="EW10" t="e">
        <f>AND('Current Index'!B242,"AAAAAD/2mZg=")</f>
        <v>#VALUE!</v>
      </c>
      <c r="EX10" t="e">
        <f>AND('Current Index'!C242,"AAAAAD/2mZk=")</f>
        <v>#VALUE!</v>
      </c>
      <c r="EY10" t="e">
        <f>AND('Current Index'!D242,"AAAAAD/2mZo=")</f>
        <v>#VALUE!</v>
      </c>
      <c r="EZ10" t="e">
        <f>AND('Current Index'!E242,"AAAAAD/2mZs=")</f>
        <v>#VALUE!</v>
      </c>
      <c r="FA10" t="e">
        <f>AND('Current Index'!F242,"AAAAAD/2mZw=")</f>
        <v>#VALUE!</v>
      </c>
      <c r="FB10" t="e">
        <f>AND('Current Index'!G242,"AAAAAD/2mZ0=")</f>
        <v>#VALUE!</v>
      </c>
      <c r="FC10" t="e">
        <f>AND('Current Index'!H242,"AAAAAD/2mZ4=")</f>
        <v>#VALUE!</v>
      </c>
      <c r="FD10" t="e">
        <f>AND('Current Index'!I242,"AAAAAD/2mZ8=")</f>
        <v>#VALUE!</v>
      </c>
      <c r="FE10">
        <f>IF('Current Index'!247:247,"AAAAAD/2maA=",0)</f>
        <v>0</v>
      </c>
      <c r="FF10" t="e">
        <f>AND('Current Index'!A247,"AAAAAD/2maE=")</f>
        <v>#VALUE!</v>
      </c>
      <c r="FG10" t="e">
        <f>AND('Current Index'!#REF!,"AAAAAD/2maI=")</f>
        <v>#REF!</v>
      </c>
      <c r="FH10" t="e">
        <f>AND('Current Index'!B247,"AAAAAD/2maM=")</f>
        <v>#VALUE!</v>
      </c>
      <c r="FI10" t="e">
        <f>AND('Current Index'!C247,"AAAAAD/2maQ=")</f>
        <v>#VALUE!</v>
      </c>
      <c r="FJ10" t="e">
        <f>AND('Current Index'!D247,"AAAAAD/2maU=")</f>
        <v>#VALUE!</v>
      </c>
      <c r="FK10" t="e">
        <f>AND('Current Index'!E247,"AAAAAD/2maY=")</f>
        <v>#VALUE!</v>
      </c>
      <c r="FL10" t="e">
        <f>AND('Current Index'!F247,"AAAAAD/2mac=")</f>
        <v>#VALUE!</v>
      </c>
      <c r="FM10" t="e">
        <f>AND('Current Index'!G247,"AAAAAD/2mag=")</f>
        <v>#VALUE!</v>
      </c>
      <c r="FN10" t="e">
        <f>AND('Current Index'!H247,"AAAAAD/2mak=")</f>
        <v>#VALUE!</v>
      </c>
      <c r="FO10" t="e">
        <f>AND('Current Index'!I247,"AAAAAD/2mao=")</f>
        <v>#VALUE!</v>
      </c>
      <c r="FP10">
        <f>IF('Current Index'!248:248,"AAAAAD/2mas=",0)</f>
        <v>0</v>
      </c>
      <c r="FQ10" t="e">
        <f>AND('Current Index'!A248,"AAAAAD/2maw=")</f>
        <v>#VALUE!</v>
      </c>
      <c r="FR10" t="e">
        <f>AND('Current Index'!#REF!,"AAAAAD/2ma0=")</f>
        <v>#REF!</v>
      </c>
      <c r="FS10" t="e">
        <f>AND('Current Index'!B248,"AAAAAD/2ma4=")</f>
        <v>#VALUE!</v>
      </c>
      <c r="FT10" t="e">
        <f>AND('Current Index'!C248,"AAAAAD/2ma8=")</f>
        <v>#VALUE!</v>
      </c>
      <c r="FU10" t="e">
        <f>AND('Current Index'!D248,"AAAAAD/2mbA=")</f>
        <v>#VALUE!</v>
      </c>
      <c r="FV10" t="e">
        <f>AND('Current Index'!E248,"AAAAAD/2mbE=")</f>
        <v>#VALUE!</v>
      </c>
      <c r="FW10" t="e">
        <f>AND('Current Index'!F248,"AAAAAD/2mbI=")</f>
        <v>#VALUE!</v>
      </c>
      <c r="FX10" t="e">
        <f>AND('Current Index'!G248,"AAAAAD/2mbM=")</f>
        <v>#VALUE!</v>
      </c>
      <c r="FY10" t="e">
        <f>AND('Current Index'!H248,"AAAAAD/2mbQ=")</f>
        <v>#VALUE!</v>
      </c>
      <c r="FZ10" t="e">
        <f>AND('Current Index'!I248,"AAAAAD/2mbU=")</f>
        <v>#VALUE!</v>
      </c>
      <c r="GA10">
        <f>IF('Current Index'!249:249,"AAAAAD/2mbY=",0)</f>
        <v>0</v>
      </c>
      <c r="GB10" t="e">
        <f>AND('Current Index'!A249,"AAAAAD/2mbc=")</f>
        <v>#VALUE!</v>
      </c>
      <c r="GC10" t="e">
        <f>AND('Current Index'!#REF!,"AAAAAD/2mbg=")</f>
        <v>#REF!</v>
      </c>
      <c r="GD10" t="e">
        <f>AND('Current Index'!B249,"AAAAAD/2mbk=")</f>
        <v>#VALUE!</v>
      </c>
      <c r="GE10" t="e">
        <f>AND('Current Index'!C249,"AAAAAD/2mbo=")</f>
        <v>#VALUE!</v>
      </c>
      <c r="GF10" t="e">
        <f>AND('Current Index'!D249,"AAAAAD/2mbs=")</f>
        <v>#VALUE!</v>
      </c>
      <c r="GG10" t="e">
        <f>AND('Current Index'!E249,"AAAAAD/2mbw=")</f>
        <v>#VALUE!</v>
      </c>
      <c r="GH10" t="e">
        <f>AND('Current Index'!F249,"AAAAAD/2mb0=")</f>
        <v>#VALUE!</v>
      </c>
      <c r="GI10" t="e">
        <f>AND('Current Index'!G249,"AAAAAD/2mb4=")</f>
        <v>#VALUE!</v>
      </c>
      <c r="GJ10" t="e">
        <f>AND('Current Index'!H249,"AAAAAD/2mb8=")</f>
        <v>#VALUE!</v>
      </c>
      <c r="GK10" t="e">
        <f>AND('Current Index'!I249,"AAAAAD/2mcA=")</f>
        <v>#VALUE!</v>
      </c>
      <c r="GL10">
        <f>IF('Current Index'!250:250,"AAAAAD/2mcE=",0)</f>
        <v>0</v>
      </c>
      <c r="GM10" t="e">
        <f>AND('Current Index'!A250,"AAAAAD/2mcI=")</f>
        <v>#VALUE!</v>
      </c>
      <c r="GN10" t="e">
        <f>AND('Current Index'!#REF!,"AAAAAD/2mcM=")</f>
        <v>#REF!</v>
      </c>
      <c r="GO10" t="e">
        <f>AND('Current Index'!B250,"AAAAAD/2mcQ=")</f>
        <v>#VALUE!</v>
      </c>
      <c r="GP10" t="e">
        <f>AND('Current Index'!C250,"AAAAAD/2mcU=")</f>
        <v>#VALUE!</v>
      </c>
      <c r="GQ10" t="e">
        <f>AND('Current Index'!D250,"AAAAAD/2mcY=")</f>
        <v>#VALUE!</v>
      </c>
      <c r="GR10" t="e">
        <f>AND('Current Index'!E250,"AAAAAD/2mcc=")</f>
        <v>#VALUE!</v>
      </c>
      <c r="GS10" t="e">
        <f>AND('Current Index'!F250,"AAAAAD/2mcg=")</f>
        <v>#VALUE!</v>
      </c>
      <c r="GT10" t="e">
        <f>AND('Current Index'!G250,"AAAAAD/2mck=")</f>
        <v>#VALUE!</v>
      </c>
      <c r="GU10" t="e">
        <f>AND('Current Index'!H250,"AAAAAD/2mco=")</f>
        <v>#VALUE!</v>
      </c>
      <c r="GV10" t="e">
        <f>AND('Current Index'!I250,"AAAAAD/2mcs=")</f>
        <v>#VALUE!</v>
      </c>
      <c r="GW10">
        <f>IF('Current Index'!251:251,"AAAAAD/2mcw=",0)</f>
        <v>0</v>
      </c>
      <c r="GX10" t="e">
        <f>AND('Current Index'!A251,"AAAAAD/2mc0=")</f>
        <v>#VALUE!</v>
      </c>
      <c r="GY10" t="e">
        <f>AND('Current Index'!#REF!,"AAAAAD/2mc4=")</f>
        <v>#REF!</v>
      </c>
      <c r="GZ10" t="e">
        <f>AND('Current Index'!B251,"AAAAAD/2mc8=")</f>
        <v>#VALUE!</v>
      </c>
      <c r="HA10" t="e">
        <f>AND('Current Index'!C251,"AAAAAD/2mdA=")</f>
        <v>#VALUE!</v>
      </c>
      <c r="HB10" t="e">
        <f>AND('Current Index'!D251,"AAAAAD/2mdE=")</f>
        <v>#VALUE!</v>
      </c>
      <c r="HC10" t="e">
        <f>AND('Current Index'!E251,"AAAAAD/2mdI=")</f>
        <v>#VALUE!</v>
      </c>
      <c r="HD10" t="e">
        <f>AND('Current Index'!F251,"AAAAAD/2mdM=")</f>
        <v>#VALUE!</v>
      </c>
      <c r="HE10" t="e">
        <f>AND('Current Index'!G251,"AAAAAD/2mdQ=")</f>
        <v>#VALUE!</v>
      </c>
      <c r="HF10" t="e">
        <f>AND('Current Index'!H251,"AAAAAD/2mdU=")</f>
        <v>#VALUE!</v>
      </c>
      <c r="HG10" t="e">
        <f>AND('Current Index'!I251,"AAAAAD/2mdY=")</f>
        <v>#VALUE!</v>
      </c>
      <c r="HH10">
        <f>IF('Current Index'!252:252,"AAAAAD/2mdc=",0)</f>
        <v>0</v>
      </c>
      <c r="HI10" t="e">
        <f>AND('Current Index'!A252,"AAAAAD/2mdg=")</f>
        <v>#VALUE!</v>
      </c>
      <c r="HJ10" t="e">
        <f>AND('Current Index'!#REF!,"AAAAAD/2mdk=")</f>
        <v>#REF!</v>
      </c>
      <c r="HK10" t="e">
        <f>AND('Current Index'!B252,"AAAAAD/2mdo=")</f>
        <v>#VALUE!</v>
      </c>
      <c r="HL10" t="e">
        <f>AND('Current Index'!C252,"AAAAAD/2mds=")</f>
        <v>#VALUE!</v>
      </c>
      <c r="HM10" t="e">
        <f>AND('Current Index'!D252,"AAAAAD/2mdw=")</f>
        <v>#VALUE!</v>
      </c>
      <c r="HN10" t="e">
        <f>AND('Current Index'!E252,"AAAAAD/2md0=")</f>
        <v>#VALUE!</v>
      </c>
      <c r="HO10" t="e">
        <f>AND('Current Index'!F252,"AAAAAD/2md4=")</f>
        <v>#VALUE!</v>
      </c>
      <c r="HP10" t="e">
        <f>AND('Current Index'!G252,"AAAAAD/2md8=")</f>
        <v>#VALUE!</v>
      </c>
      <c r="HQ10" t="e">
        <f>AND('Current Index'!H252,"AAAAAD/2meA=")</f>
        <v>#VALUE!</v>
      </c>
      <c r="HR10" t="e">
        <f>AND('Current Index'!I252,"AAAAAD/2meE=")</f>
        <v>#VALUE!</v>
      </c>
      <c r="HS10">
        <f>IF('Current Index'!253:253,"AAAAAD/2meI=",0)</f>
        <v>0</v>
      </c>
      <c r="HT10" t="e">
        <f>AND('Current Index'!A253,"AAAAAD/2meM=")</f>
        <v>#VALUE!</v>
      </c>
      <c r="HU10" t="e">
        <f>AND('Current Index'!#REF!,"AAAAAD/2meQ=")</f>
        <v>#REF!</v>
      </c>
      <c r="HV10" t="e">
        <f>AND('Current Index'!B253,"AAAAAD/2meU=")</f>
        <v>#VALUE!</v>
      </c>
      <c r="HW10" t="e">
        <f>AND('Current Index'!C253,"AAAAAD/2meY=")</f>
        <v>#VALUE!</v>
      </c>
      <c r="HX10" t="e">
        <f>AND('Current Index'!D253,"AAAAAD/2mec=")</f>
        <v>#VALUE!</v>
      </c>
      <c r="HY10" t="e">
        <f>AND('Current Index'!E253,"AAAAAD/2meg=")</f>
        <v>#VALUE!</v>
      </c>
      <c r="HZ10" t="e">
        <f>AND('Current Index'!F253,"AAAAAD/2mek=")</f>
        <v>#VALUE!</v>
      </c>
      <c r="IA10" t="e">
        <f>AND('Current Index'!G253,"AAAAAD/2meo=")</f>
        <v>#VALUE!</v>
      </c>
      <c r="IB10" t="e">
        <f>AND('Current Index'!H253,"AAAAAD/2mes=")</f>
        <v>#VALUE!</v>
      </c>
      <c r="IC10" t="e">
        <f>AND('Current Index'!I253,"AAAAAD/2mew=")</f>
        <v>#VALUE!</v>
      </c>
      <c r="ID10">
        <f>IF('Current Index'!254:254,"AAAAAD/2me0=",0)</f>
        <v>0</v>
      </c>
      <c r="IE10" t="e">
        <f>AND('Current Index'!A254,"AAAAAD/2me4=")</f>
        <v>#VALUE!</v>
      </c>
      <c r="IF10" t="e">
        <f>AND('Current Index'!#REF!,"AAAAAD/2me8=")</f>
        <v>#REF!</v>
      </c>
      <c r="IG10" t="e">
        <f>AND('Current Index'!B254,"AAAAAD/2mfA=")</f>
        <v>#VALUE!</v>
      </c>
      <c r="IH10" t="e">
        <f>AND('Current Index'!C254,"AAAAAD/2mfE=")</f>
        <v>#VALUE!</v>
      </c>
      <c r="II10" t="e">
        <f>AND('Current Index'!D254,"AAAAAD/2mfI=")</f>
        <v>#VALUE!</v>
      </c>
      <c r="IJ10" t="e">
        <f>AND('Current Index'!E254,"AAAAAD/2mfM=")</f>
        <v>#VALUE!</v>
      </c>
      <c r="IK10" t="e">
        <f>AND('Current Index'!F254,"AAAAAD/2mfQ=")</f>
        <v>#VALUE!</v>
      </c>
      <c r="IL10" t="e">
        <f>AND('Current Index'!G254,"AAAAAD/2mfU=")</f>
        <v>#VALUE!</v>
      </c>
      <c r="IM10" t="e">
        <f>AND('Current Index'!H254,"AAAAAD/2mfY=")</f>
        <v>#VALUE!</v>
      </c>
      <c r="IN10" t="e">
        <f>AND('Current Index'!I254,"AAAAAD/2mfc=")</f>
        <v>#VALUE!</v>
      </c>
      <c r="IO10">
        <f>IF('Current Index'!257:257,"AAAAAD/2mfg=",0)</f>
        <v>0</v>
      </c>
      <c r="IP10" t="e">
        <f>AND('Current Index'!A257,"AAAAAD/2mfk=")</f>
        <v>#VALUE!</v>
      </c>
      <c r="IQ10" t="e">
        <f>AND('Current Index'!#REF!,"AAAAAD/2mfo=")</f>
        <v>#REF!</v>
      </c>
      <c r="IR10" t="e">
        <f>AND('Current Index'!B257,"AAAAAD/2mfs=")</f>
        <v>#VALUE!</v>
      </c>
      <c r="IS10" t="e">
        <f>AND('Current Index'!C257,"AAAAAD/2mfw=")</f>
        <v>#VALUE!</v>
      </c>
      <c r="IT10" t="e">
        <f>AND('Current Index'!D257,"AAAAAD/2mf0=")</f>
        <v>#VALUE!</v>
      </c>
      <c r="IU10" t="e">
        <f>AND('Current Index'!E257,"AAAAAD/2mf4=")</f>
        <v>#VALUE!</v>
      </c>
      <c r="IV10" t="e">
        <f>AND('Current Index'!F257,"AAAAAD/2mf8=")</f>
        <v>#VALUE!</v>
      </c>
    </row>
    <row r="11" spans="1:256" x14ac:dyDescent="0.25">
      <c r="A11" t="e">
        <f>AND('Current Index'!G257,"AAAAAHV+rwA=")</f>
        <v>#VALUE!</v>
      </c>
      <c r="B11" t="e">
        <f>AND('Current Index'!H257,"AAAAAHV+rwE=")</f>
        <v>#VALUE!</v>
      </c>
      <c r="C11" t="e">
        <f>AND('Current Index'!I257,"AAAAAHV+rwI=")</f>
        <v>#VALUE!</v>
      </c>
      <c r="D11" t="e">
        <f>IF('Current Index'!258:258,"AAAAAHV+rwM=",0)</f>
        <v>#VALUE!</v>
      </c>
      <c r="E11" t="e">
        <f>AND('Current Index'!A258,"AAAAAHV+rwQ=")</f>
        <v>#VALUE!</v>
      </c>
      <c r="F11" t="e">
        <f>AND('Current Index'!#REF!,"AAAAAHV+rwU=")</f>
        <v>#REF!</v>
      </c>
      <c r="G11" t="e">
        <f>AND('Current Index'!B258,"AAAAAHV+rwY=")</f>
        <v>#VALUE!</v>
      </c>
      <c r="H11" t="e">
        <f>AND('Current Index'!C258,"AAAAAHV+rwc=")</f>
        <v>#VALUE!</v>
      </c>
      <c r="I11" t="e">
        <f>AND('Current Index'!D258,"AAAAAHV+rwg=")</f>
        <v>#VALUE!</v>
      </c>
      <c r="J11" t="e">
        <f>AND('Current Index'!E258,"AAAAAHV+rwk=")</f>
        <v>#VALUE!</v>
      </c>
      <c r="K11" t="e">
        <f>AND('Current Index'!F258,"AAAAAHV+rwo=")</f>
        <v>#VALUE!</v>
      </c>
      <c r="L11" t="e">
        <f>AND('Current Index'!G258,"AAAAAHV+rws=")</f>
        <v>#VALUE!</v>
      </c>
      <c r="M11" t="e">
        <f>AND('Current Index'!H258,"AAAAAHV+rww=")</f>
        <v>#VALUE!</v>
      </c>
      <c r="N11" t="e">
        <f>AND('Current Index'!I258,"AAAAAHV+rw0=")</f>
        <v>#VALUE!</v>
      </c>
      <c r="O11">
        <f>IF('Current Index'!259:259,"AAAAAHV+rw4=",0)</f>
        <v>0</v>
      </c>
      <c r="P11" t="e">
        <f>AND('Current Index'!A259,"AAAAAHV+rw8=")</f>
        <v>#VALUE!</v>
      </c>
      <c r="Q11" t="e">
        <f>AND('Current Index'!#REF!,"AAAAAHV+rxA=")</f>
        <v>#REF!</v>
      </c>
      <c r="R11" t="e">
        <f>AND('Current Index'!B259,"AAAAAHV+rxE=")</f>
        <v>#VALUE!</v>
      </c>
      <c r="S11" t="e">
        <f>AND('Current Index'!C259,"AAAAAHV+rxI=")</f>
        <v>#VALUE!</v>
      </c>
      <c r="T11" t="e">
        <f>AND('Current Index'!D259,"AAAAAHV+rxM=")</f>
        <v>#VALUE!</v>
      </c>
      <c r="U11" t="e">
        <f>AND('Current Index'!E259,"AAAAAHV+rxQ=")</f>
        <v>#VALUE!</v>
      </c>
      <c r="V11" t="e">
        <f>AND('Current Index'!F259,"AAAAAHV+rxU=")</f>
        <v>#VALUE!</v>
      </c>
      <c r="W11" t="e">
        <f>AND('Current Index'!G259,"AAAAAHV+rxY=")</f>
        <v>#VALUE!</v>
      </c>
      <c r="X11" t="e">
        <f>AND('Current Index'!H259,"AAAAAHV+rxc=")</f>
        <v>#VALUE!</v>
      </c>
      <c r="Y11" t="e">
        <f>AND('Current Index'!I259,"AAAAAHV+rxg=")</f>
        <v>#VALUE!</v>
      </c>
      <c r="Z11">
        <f>IF('Current Index'!260:260,"AAAAAHV+rxk=",0)</f>
        <v>0</v>
      </c>
      <c r="AA11" t="e">
        <f>AND('Current Index'!A260,"AAAAAHV+rxo=")</f>
        <v>#VALUE!</v>
      </c>
      <c r="AB11" t="e">
        <f>AND('Current Index'!#REF!,"AAAAAHV+rxs=")</f>
        <v>#REF!</v>
      </c>
      <c r="AC11" t="e">
        <f>AND('Current Index'!B260,"AAAAAHV+rxw=")</f>
        <v>#VALUE!</v>
      </c>
      <c r="AD11" t="e">
        <f>AND('Current Index'!C260,"AAAAAHV+rx0=")</f>
        <v>#VALUE!</v>
      </c>
      <c r="AE11" t="e">
        <f>AND('Current Index'!D260,"AAAAAHV+rx4=")</f>
        <v>#VALUE!</v>
      </c>
      <c r="AF11" t="e">
        <f>AND('Current Index'!E260,"AAAAAHV+rx8=")</f>
        <v>#VALUE!</v>
      </c>
      <c r="AG11" t="e">
        <f>AND('Current Index'!F260,"AAAAAHV+ryA=")</f>
        <v>#VALUE!</v>
      </c>
      <c r="AH11" t="e">
        <f>AND('Current Index'!G260,"AAAAAHV+ryE=")</f>
        <v>#VALUE!</v>
      </c>
      <c r="AI11" t="e">
        <f>AND('Current Index'!H260,"AAAAAHV+ryI=")</f>
        <v>#VALUE!</v>
      </c>
      <c r="AJ11" t="e">
        <f>AND('Current Index'!I260,"AAAAAHV+ryM=")</f>
        <v>#VALUE!</v>
      </c>
      <c r="AK11">
        <f>IF('Current Index'!261:261,"AAAAAHV+ryQ=",0)</f>
        <v>0</v>
      </c>
      <c r="AL11" t="e">
        <f>AND('Current Index'!A261,"AAAAAHV+ryU=")</f>
        <v>#VALUE!</v>
      </c>
      <c r="AM11" t="e">
        <f>AND('Current Index'!#REF!,"AAAAAHV+ryY=")</f>
        <v>#REF!</v>
      </c>
      <c r="AN11" t="e">
        <f>AND('Current Index'!B261,"AAAAAHV+ryc=")</f>
        <v>#VALUE!</v>
      </c>
      <c r="AO11" t="e">
        <f>AND('Current Index'!C261,"AAAAAHV+ryg=")</f>
        <v>#VALUE!</v>
      </c>
      <c r="AP11" t="e">
        <f>AND('Current Index'!D261,"AAAAAHV+ryk=")</f>
        <v>#VALUE!</v>
      </c>
      <c r="AQ11" t="e">
        <f>AND('Current Index'!E261,"AAAAAHV+ryo=")</f>
        <v>#VALUE!</v>
      </c>
      <c r="AR11" t="e">
        <f>AND('Current Index'!F261,"AAAAAHV+rys=")</f>
        <v>#VALUE!</v>
      </c>
      <c r="AS11" t="e">
        <f>AND('Current Index'!G261,"AAAAAHV+ryw=")</f>
        <v>#VALUE!</v>
      </c>
      <c r="AT11" t="e">
        <f>AND('Current Index'!H261,"AAAAAHV+ry0=")</f>
        <v>#VALUE!</v>
      </c>
      <c r="AU11" t="e">
        <f>AND('Current Index'!I261,"AAAAAHV+ry4=")</f>
        <v>#VALUE!</v>
      </c>
      <c r="AV11">
        <f>IF('Current Index'!262:262,"AAAAAHV+ry8=",0)</f>
        <v>0</v>
      </c>
      <c r="AW11" t="e">
        <f>AND('Current Index'!A262,"AAAAAHV+rzA=")</f>
        <v>#VALUE!</v>
      </c>
      <c r="AX11" t="e">
        <f>AND('Current Index'!#REF!,"AAAAAHV+rzE=")</f>
        <v>#REF!</v>
      </c>
      <c r="AY11" t="e">
        <f>AND('Current Index'!B262,"AAAAAHV+rzI=")</f>
        <v>#VALUE!</v>
      </c>
      <c r="AZ11" t="e">
        <f>AND('Current Index'!C262,"AAAAAHV+rzM=")</f>
        <v>#VALUE!</v>
      </c>
      <c r="BA11" t="e">
        <f>AND('Current Index'!D262,"AAAAAHV+rzQ=")</f>
        <v>#VALUE!</v>
      </c>
      <c r="BB11" t="e">
        <f>AND('Current Index'!E262,"AAAAAHV+rzU=")</f>
        <v>#VALUE!</v>
      </c>
      <c r="BC11" t="e">
        <f>AND('Current Index'!F262,"AAAAAHV+rzY=")</f>
        <v>#VALUE!</v>
      </c>
      <c r="BD11" t="e">
        <f>AND('Current Index'!G262,"AAAAAHV+rzc=")</f>
        <v>#VALUE!</v>
      </c>
      <c r="BE11" t="e">
        <f>AND('Current Index'!H262,"AAAAAHV+rzg=")</f>
        <v>#VALUE!</v>
      </c>
      <c r="BF11" t="e">
        <f>AND('Current Index'!I262,"AAAAAHV+rzk=")</f>
        <v>#VALUE!</v>
      </c>
      <c r="BG11">
        <f>IF('Current Index'!265:265,"AAAAAHV+rzo=",0)</f>
        <v>0</v>
      </c>
      <c r="BH11" t="e">
        <f>AND('Current Index'!A265,"AAAAAHV+rzs=")</f>
        <v>#VALUE!</v>
      </c>
      <c r="BI11" t="e">
        <f>AND('Current Index'!#REF!,"AAAAAHV+rzw=")</f>
        <v>#REF!</v>
      </c>
      <c r="BJ11" t="e">
        <f>AND('Current Index'!B265,"AAAAAHV+rz0=")</f>
        <v>#VALUE!</v>
      </c>
      <c r="BK11" t="e">
        <f>AND('Current Index'!C265,"AAAAAHV+rz4=")</f>
        <v>#VALUE!</v>
      </c>
      <c r="BL11" t="e">
        <f>AND('Current Index'!D265,"AAAAAHV+rz8=")</f>
        <v>#VALUE!</v>
      </c>
      <c r="BM11" t="e">
        <f>AND('Current Index'!E265,"AAAAAHV+r0A=")</f>
        <v>#VALUE!</v>
      </c>
      <c r="BN11" t="e">
        <f>AND('Current Index'!F265,"AAAAAHV+r0E=")</f>
        <v>#VALUE!</v>
      </c>
      <c r="BO11" t="e">
        <f>AND('Current Index'!G265,"AAAAAHV+r0I=")</f>
        <v>#VALUE!</v>
      </c>
      <c r="BP11" t="e">
        <f>AND('Current Index'!H265,"AAAAAHV+r0M=")</f>
        <v>#VALUE!</v>
      </c>
      <c r="BQ11" t="e">
        <f>AND('Current Index'!I265,"AAAAAHV+r0Q=")</f>
        <v>#VALUE!</v>
      </c>
      <c r="BR11">
        <f>IF('Current Index'!266:266,"AAAAAHV+r0U=",0)</f>
        <v>0</v>
      </c>
      <c r="BS11" t="e">
        <f>AND('Current Index'!A266,"AAAAAHV+r0Y=")</f>
        <v>#VALUE!</v>
      </c>
      <c r="BT11" t="e">
        <f>AND('Current Index'!#REF!,"AAAAAHV+r0c=")</f>
        <v>#REF!</v>
      </c>
      <c r="BU11" t="e">
        <f>AND('Current Index'!B266,"AAAAAHV+r0g=")</f>
        <v>#VALUE!</v>
      </c>
      <c r="BV11" t="e">
        <f>AND('Current Index'!C266,"AAAAAHV+r0k=")</f>
        <v>#VALUE!</v>
      </c>
      <c r="BW11" t="e">
        <f>AND('Current Index'!D266,"AAAAAHV+r0o=")</f>
        <v>#VALUE!</v>
      </c>
      <c r="BX11" t="e">
        <f>AND('Current Index'!E266,"AAAAAHV+r0s=")</f>
        <v>#VALUE!</v>
      </c>
      <c r="BY11" t="e">
        <f>AND('Current Index'!F266,"AAAAAHV+r0w=")</f>
        <v>#VALUE!</v>
      </c>
      <c r="BZ11" t="e">
        <f>AND('Current Index'!G266,"AAAAAHV+r00=")</f>
        <v>#VALUE!</v>
      </c>
      <c r="CA11" t="e">
        <f>AND('Current Index'!H266,"AAAAAHV+r04=")</f>
        <v>#VALUE!</v>
      </c>
      <c r="CB11" t="e">
        <f>AND('Current Index'!I266,"AAAAAHV+r08=")</f>
        <v>#VALUE!</v>
      </c>
      <c r="CC11">
        <f>IF('Current Index'!267:267,"AAAAAHV+r1A=",0)</f>
        <v>0</v>
      </c>
      <c r="CD11" t="e">
        <f>AND('Current Index'!A267,"AAAAAHV+r1E=")</f>
        <v>#VALUE!</v>
      </c>
      <c r="CE11" t="e">
        <f>AND('Current Index'!#REF!,"AAAAAHV+r1I=")</f>
        <v>#REF!</v>
      </c>
      <c r="CF11" t="e">
        <f>AND('Current Index'!B267,"AAAAAHV+r1M=")</f>
        <v>#VALUE!</v>
      </c>
      <c r="CG11" t="e">
        <f>AND('Current Index'!C267,"AAAAAHV+r1Q=")</f>
        <v>#VALUE!</v>
      </c>
      <c r="CH11" t="e">
        <f>AND('Current Index'!D267,"AAAAAHV+r1U=")</f>
        <v>#VALUE!</v>
      </c>
      <c r="CI11" t="e">
        <f>AND('Current Index'!E267,"AAAAAHV+r1Y=")</f>
        <v>#VALUE!</v>
      </c>
      <c r="CJ11" t="e">
        <f>AND('Current Index'!F267,"AAAAAHV+r1c=")</f>
        <v>#VALUE!</v>
      </c>
      <c r="CK11" t="e">
        <f>AND('Current Index'!G267,"AAAAAHV+r1g=")</f>
        <v>#VALUE!</v>
      </c>
      <c r="CL11" t="e">
        <f>AND('Current Index'!H267,"AAAAAHV+r1k=")</f>
        <v>#VALUE!</v>
      </c>
      <c r="CM11" t="e">
        <f>AND('Current Index'!I267,"AAAAAHV+r1o=")</f>
        <v>#VALUE!</v>
      </c>
      <c r="CN11">
        <f>IF('Current Index'!268:268,"AAAAAHV+r1s=",0)</f>
        <v>0</v>
      </c>
      <c r="CO11" t="e">
        <f>AND('Current Index'!A268,"AAAAAHV+r1w=")</f>
        <v>#VALUE!</v>
      </c>
      <c r="CP11" t="e">
        <f>AND('Current Index'!#REF!,"AAAAAHV+r10=")</f>
        <v>#REF!</v>
      </c>
      <c r="CQ11" t="e">
        <f>AND('Current Index'!B268,"AAAAAHV+r14=")</f>
        <v>#VALUE!</v>
      </c>
      <c r="CR11" t="e">
        <f>AND('Current Index'!C268,"AAAAAHV+r18=")</f>
        <v>#VALUE!</v>
      </c>
      <c r="CS11" t="e">
        <f>AND('Current Index'!D268,"AAAAAHV+r2A=")</f>
        <v>#VALUE!</v>
      </c>
      <c r="CT11" t="e">
        <f>AND('Current Index'!E268,"AAAAAHV+r2E=")</f>
        <v>#VALUE!</v>
      </c>
      <c r="CU11" t="e">
        <f>AND('Current Index'!F268,"AAAAAHV+r2I=")</f>
        <v>#VALUE!</v>
      </c>
      <c r="CV11" t="e">
        <f>AND('Current Index'!G268,"AAAAAHV+r2M=")</f>
        <v>#VALUE!</v>
      </c>
      <c r="CW11" t="e">
        <f>AND('Current Index'!H268,"AAAAAHV+r2Q=")</f>
        <v>#VALUE!</v>
      </c>
      <c r="CX11" t="e">
        <f>AND('Current Index'!I268,"AAAAAHV+r2U=")</f>
        <v>#VALUE!</v>
      </c>
      <c r="CY11">
        <f>IF('Current Index'!269:269,"AAAAAHV+r2Y=",0)</f>
        <v>0</v>
      </c>
      <c r="CZ11" t="e">
        <f>AND('Current Index'!A269,"AAAAAHV+r2c=")</f>
        <v>#VALUE!</v>
      </c>
      <c r="DA11" t="e">
        <f>AND('Current Index'!#REF!,"AAAAAHV+r2g=")</f>
        <v>#REF!</v>
      </c>
      <c r="DB11" t="e">
        <f>AND('Current Index'!B269,"AAAAAHV+r2k=")</f>
        <v>#VALUE!</v>
      </c>
      <c r="DC11" t="e">
        <f>AND('Current Index'!C269,"AAAAAHV+r2o=")</f>
        <v>#VALUE!</v>
      </c>
      <c r="DD11" t="e">
        <f>AND('Current Index'!D269,"AAAAAHV+r2s=")</f>
        <v>#VALUE!</v>
      </c>
      <c r="DE11" t="e">
        <f>AND('Current Index'!E269,"AAAAAHV+r2w=")</f>
        <v>#VALUE!</v>
      </c>
      <c r="DF11" t="e">
        <f>AND('Current Index'!F269,"AAAAAHV+r20=")</f>
        <v>#VALUE!</v>
      </c>
      <c r="DG11" t="e">
        <f>AND('Current Index'!G269,"AAAAAHV+r24=")</f>
        <v>#VALUE!</v>
      </c>
      <c r="DH11" t="e">
        <f>AND('Current Index'!H269,"AAAAAHV+r28=")</f>
        <v>#VALUE!</v>
      </c>
      <c r="DI11" t="e">
        <f>AND('Current Index'!I269,"AAAAAHV+r3A=")</f>
        <v>#VALUE!</v>
      </c>
      <c r="DJ11" t="e">
        <f>IF('Current Index'!#REF!,"AAAAAHV+r3E=",0)</f>
        <v>#REF!</v>
      </c>
      <c r="DK11" t="e">
        <f>AND('Current Index'!#REF!,"AAAAAHV+r3I=")</f>
        <v>#REF!</v>
      </c>
      <c r="DL11" t="e">
        <f>AND('Current Index'!#REF!,"AAAAAHV+r3M=")</f>
        <v>#REF!</v>
      </c>
      <c r="DM11" t="e">
        <f>AND('Current Index'!#REF!,"AAAAAHV+r3Q=")</f>
        <v>#REF!</v>
      </c>
      <c r="DN11" t="e">
        <f>AND('Current Index'!#REF!,"AAAAAHV+r3U=")</f>
        <v>#REF!</v>
      </c>
      <c r="DO11" t="e">
        <f>AND('Current Index'!#REF!,"AAAAAHV+r3Y=")</f>
        <v>#REF!</v>
      </c>
      <c r="DP11" t="e">
        <f>AND('Current Index'!#REF!,"AAAAAHV+r3c=")</f>
        <v>#REF!</v>
      </c>
      <c r="DQ11" t="e">
        <f>AND('Current Index'!#REF!,"AAAAAHV+r3g=")</f>
        <v>#REF!</v>
      </c>
      <c r="DR11" t="e">
        <f>AND('Current Index'!#REF!,"AAAAAHV+r3k=")</f>
        <v>#REF!</v>
      </c>
      <c r="DS11" t="e">
        <f>AND('Current Index'!#REF!,"AAAAAHV+r3o=")</f>
        <v>#REF!</v>
      </c>
      <c r="DT11" t="e">
        <f>AND('Current Index'!#REF!,"AAAAAHV+r3s=")</f>
        <v>#REF!</v>
      </c>
      <c r="DU11">
        <f>IF('Current Index'!270:270,"AAAAAHV+r3w=",0)</f>
        <v>0</v>
      </c>
      <c r="DV11" t="e">
        <f>AND('Current Index'!A270,"AAAAAHV+r30=")</f>
        <v>#VALUE!</v>
      </c>
      <c r="DW11" t="e">
        <f>AND('Current Index'!#REF!,"AAAAAHV+r34=")</f>
        <v>#REF!</v>
      </c>
      <c r="DX11" t="e">
        <f>AND('Current Index'!B270,"AAAAAHV+r38=")</f>
        <v>#VALUE!</v>
      </c>
      <c r="DY11" t="e">
        <f>AND('Current Index'!C270,"AAAAAHV+r4A=")</f>
        <v>#VALUE!</v>
      </c>
      <c r="DZ11" t="e">
        <f>AND('Current Index'!D270,"AAAAAHV+r4E=")</f>
        <v>#VALUE!</v>
      </c>
      <c r="EA11" t="e">
        <f>AND('Current Index'!E270,"AAAAAHV+r4I=")</f>
        <v>#VALUE!</v>
      </c>
      <c r="EB11" t="e">
        <f>AND('Current Index'!F270,"AAAAAHV+r4M=")</f>
        <v>#VALUE!</v>
      </c>
      <c r="EC11" t="e">
        <f>AND('Current Index'!G270,"AAAAAHV+r4Q=")</f>
        <v>#VALUE!</v>
      </c>
      <c r="ED11" t="e">
        <f>AND('Current Index'!H270,"AAAAAHV+r4U=")</f>
        <v>#VALUE!</v>
      </c>
      <c r="EE11" t="e">
        <f>AND('Current Index'!I270,"AAAAAHV+r4Y=")</f>
        <v>#VALUE!</v>
      </c>
      <c r="EF11">
        <f>IF('Current Index'!271:271,"AAAAAHV+r4c=",0)</f>
        <v>0</v>
      </c>
      <c r="EG11" t="e">
        <f>AND('Current Index'!A271,"AAAAAHV+r4g=")</f>
        <v>#VALUE!</v>
      </c>
      <c r="EH11" t="e">
        <f>AND('Current Index'!#REF!,"AAAAAHV+r4k=")</f>
        <v>#REF!</v>
      </c>
      <c r="EI11" t="e">
        <f>AND('Current Index'!B271,"AAAAAHV+r4o=")</f>
        <v>#VALUE!</v>
      </c>
      <c r="EJ11" t="e">
        <f>AND('Current Index'!C271,"AAAAAHV+r4s=")</f>
        <v>#VALUE!</v>
      </c>
      <c r="EK11" t="e">
        <f>AND('Current Index'!D271,"AAAAAHV+r4w=")</f>
        <v>#VALUE!</v>
      </c>
      <c r="EL11" t="e">
        <f>AND('Current Index'!E271,"AAAAAHV+r40=")</f>
        <v>#VALUE!</v>
      </c>
      <c r="EM11" t="e">
        <f>AND('Current Index'!F271,"AAAAAHV+r44=")</f>
        <v>#VALUE!</v>
      </c>
      <c r="EN11" t="e">
        <f>AND('Current Index'!G271,"AAAAAHV+r48=")</f>
        <v>#VALUE!</v>
      </c>
      <c r="EO11" t="e">
        <f>AND('Current Index'!H271,"AAAAAHV+r5A=")</f>
        <v>#VALUE!</v>
      </c>
      <c r="EP11" t="e">
        <f>AND('Current Index'!I271,"AAAAAHV+r5E=")</f>
        <v>#VALUE!</v>
      </c>
      <c r="EQ11">
        <f>IF('Current Index'!272:272,"AAAAAHV+r5I=",0)</f>
        <v>0</v>
      </c>
      <c r="ER11" t="e">
        <f>AND('Current Index'!A272,"AAAAAHV+r5M=")</f>
        <v>#VALUE!</v>
      </c>
      <c r="ES11" t="e">
        <f>AND('Current Index'!#REF!,"AAAAAHV+r5Q=")</f>
        <v>#REF!</v>
      </c>
      <c r="ET11" t="e">
        <f>AND('Current Index'!B272,"AAAAAHV+r5U=")</f>
        <v>#VALUE!</v>
      </c>
      <c r="EU11" t="e">
        <f>AND('Current Index'!C272,"AAAAAHV+r5Y=")</f>
        <v>#VALUE!</v>
      </c>
      <c r="EV11" t="e">
        <f>AND('Current Index'!D272,"AAAAAHV+r5c=")</f>
        <v>#VALUE!</v>
      </c>
      <c r="EW11" t="e">
        <f>AND('Current Index'!E272,"AAAAAHV+r5g=")</f>
        <v>#VALUE!</v>
      </c>
      <c r="EX11" t="e">
        <f>AND('Current Index'!F272,"AAAAAHV+r5k=")</f>
        <v>#VALUE!</v>
      </c>
      <c r="EY11" t="e">
        <f>AND('Current Index'!G272,"AAAAAHV+r5o=")</f>
        <v>#VALUE!</v>
      </c>
      <c r="EZ11" t="e">
        <f>AND('Current Index'!H272,"AAAAAHV+r5s=")</f>
        <v>#VALUE!</v>
      </c>
      <c r="FA11" t="e">
        <f>AND('Current Index'!I272,"AAAAAHV+r5w=")</f>
        <v>#VALUE!</v>
      </c>
      <c r="FB11">
        <f>IF('Current Index'!273:273,"AAAAAHV+r50=",0)</f>
        <v>0</v>
      </c>
      <c r="FC11" t="e">
        <f>AND('Current Index'!A273,"AAAAAHV+r54=")</f>
        <v>#VALUE!</v>
      </c>
      <c r="FD11" t="e">
        <f>AND('Current Index'!#REF!,"AAAAAHV+r58=")</f>
        <v>#REF!</v>
      </c>
      <c r="FE11" t="e">
        <f>AND('Current Index'!B273,"AAAAAHV+r6A=")</f>
        <v>#VALUE!</v>
      </c>
      <c r="FF11" t="e">
        <f>AND('Current Index'!C273,"AAAAAHV+r6E=")</f>
        <v>#VALUE!</v>
      </c>
      <c r="FG11" t="e">
        <f>AND('Current Index'!D273,"AAAAAHV+r6I=")</f>
        <v>#VALUE!</v>
      </c>
      <c r="FH11" t="e">
        <f>AND('Current Index'!E273,"AAAAAHV+r6M=")</f>
        <v>#VALUE!</v>
      </c>
      <c r="FI11" t="e">
        <f>AND('Current Index'!F273,"AAAAAHV+r6Q=")</f>
        <v>#VALUE!</v>
      </c>
      <c r="FJ11" t="e">
        <f>AND('Current Index'!G273,"AAAAAHV+r6U=")</f>
        <v>#VALUE!</v>
      </c>
      <c r="FK11" t="e">
        <f>AND('Current Index'!H273,"AAAAAHV+r6Y=")</f>
        <v>#VALUE!</v>
      </c>
      <c r="FL11" t="e">
        <f>AND('Current Index'!I273,"AAAAAHV+r6c=")</f>
        <v>#VALUE!</v>
      </c>
      <c r="FM11">
        <f>IF('Current Index'!274:274,"AAAAAHV+r6g=",0)</f>
        <v>0</v>
      </c>
      <c r="FN11" t="e">
        <f>AND('Current Index'!A274,"AAAAAHV+r6k=")</f>
        <v>#VALUE!</v>
      </c>
      <c r="FO11" t="e">
        <f>AND('Current Index'!#REF!,"AAAAAHV+r6o=")</f>
        <v>#REF!</v>
      </c>
      <c r="FP11" t="e">
        <f>AND('Current Index'!B274,"AAAAAHV+r6s=")</f>
        <v>#VALUE!</v>
      </c>
      <c r="FQ11" t="e">
        <f>AND('Current Index'!C274,"AAAAAHV+r6w=")</f>
        <v>#VALUE!</v>
      </c>
      <c r="FR11" t="e">
        <f>AND('Current Index'!D274,"AAAAAHV+r60=")</f>
        <v>#VALUE!</v>
      </c>
      <c r="FS11" t="e">
        <f>AND('Current Index'!E274,"AAAAAHV+r64=")</f>
        <v>#VALUE!</v>
      </c>
      <c r="FT11" t="e">
        <f>AND('Current Index'!F274,"AAAAAHV+r68=")</f>
        <v>#VALUE!</v>
      </c>
      <c r="FU11" t="e">
        <f>AND('Current Index'!G274,"AAAAAHV+r7A=")</f>
        <v>#VALUE!</v>
      </c>
      <c r="FV11" t="e">
        <f>AND('Current Index'!H274,"AAAAAHV+r7E=")</f>
        <v>#VALUE!</v>
      </c>
      <c r="FW11" t="e">
        <f>AND('Current Index'!I274,"AAAAAHV+r7I=")</f>
        <v>#VALUE!</v>
      </c>
      <c r="FX11">
        <f>IF('Current Index'!275:275,"AAAAAHV+r7M=",0)</f>
        <v>0</v>
      </c>
      <c r="FY11" t="e">
        <f>AND('Current Index'!A275,"AAAAAHV+r7Q=")</f>
        <v>#VALUE!</v>
      </c>
      <c r="FZ11" t="e">
        <f>AND('Current Index'!#REF!,"AAAAAHV+r7U=")</f>
        <v>#REF!</v>
      </c>
      <c r="GA11" t="e">
        <f>AND('Current Index'!B275,"AAAAAHV+r7Y=")</f>
        <v>#VALUE!</v>
      </c>
      <c r="GB11" t="e">
        <f>AND('Current Index'!C275,"AAAAAHV+r7c=")</f>
        <v>#VALUE!</v>
      </c>
      <c r="GC11" t="e">
        <f>AND('Current Index'!D275,"AAAAAHV+r7g=")</f>
        <v>#VALUE!</v>
      </c>
      <c r="GD11" t="e">
        <f>AND('Current Index'!E275,"AAAAAHV+r7k=")</f>
        <v>#VALUE!</v>
      </c>
      <c r="GE11" t="e">
        <f>AND('Current Index'!F275,"AAAAAHV+r7o=")</f>
        <v>#VALUE!</v>
      </c>
      <c r="GF11" t="e">
        <f>AND('Current Index'!G275,"AAAAAHV+r7s=")</f>
        <v>#VALUE!</v>
      </c>
      <c r="GG11" t="e">
        <f>AND('Current Index'!H275,"AAAAAHV+r7w=")</f>
        <v>#VALUE!</v>
      </c>
      <c r="GH11" t="e">
        <f>AND('Current Index'!I275,"AAAAAHV+r70=")</f>
        <v>#VALUE!</v>
      </c>
      <c r="GI11">
        <f>IF('Current Index'!276:276,"AAAAAHV+r74=",0)</f>
        <v>0</v>
      </c>
      <c r="GJ11" t="e">
        <f>AND('Current Index'!A276,"AAAAAHV+r78=")</f>
        <v>#VALUE!</v>
      </c>
      <c r="GK11" t="e">
        <f>AND('Current Index'!#REF!,"AAAAAHV+r8A=")</f>
        <v>#REF!</v>
      </c>
      <c r="GL11" t="e">
        <f>AND('Current Index'!B276,"AAAAAHV+r8E=")</f>
        <v>#VALUE!</v>
      </c>
      <c r="GM11" t="e">
        <f>AND('Current Index'!C276,"AAAAAHV+r8I=")</f>
        <v>#VALUE!</v>
      </c>
      <c r="GN11" t="e">
        <f>AND('Current Index'!D276,"AAAAAHV+r8M=")</f>
        <v>#VALUE!</v>
      </c>
      <c r="GO11" t="e">
        <f>AND('Current Index'!E276,"AAAAAHV+r8Q=")</f>
        <v>#VALUE!</v>
      </c>
      <c r="GP11" t="e">
        <f>AND('Current Index'!F276,"AAAAAHV+r8U=")</f>
        <v>#VALUE!</v>
      </c>
      <c r="GQ11" t="e">
        <f>AND('Current Index'!G276,"AAAAAHV+r8Y=")</f>
        <v>#VALUE!</v>
      </c>
      <c r="GR11" t="e">
        <f>AND('Current Index'!H276,"AAAAAHV+r8c=")</f>
        <v>#VALUE!</v>
      </c>
      <c r="GS11" t="e">
        <f>AND('Current Index'!I276,"AAAAAHV+r8g=")</f>
        <v>#VALUE!</v>
      </c>
      <c r="GT11" t="e">
        <f>IF('Current Index'!#REF!,"AAAAAHV+r8k=",0)</f>
        <v>#REF!</v>
      </c>
      <c r="GU11" t="e">
        <f>AND('Current Index'!#REF!,"AAAAAHV+r8o=")</f>
        <v>#REF!</v>
      </c>
      <c r="GV11" t="e">
        <f>AND('Current Index'!#REF!,"AAAAAHV+r8s=")</f>
        <v>#REF!</v>
      </c>
      <c r="GW11" t="e">
        <f>AND('Current Index'!#REF!,"AAAAAHV+r8w=")</f>
        <v>#REF!</v>
      </c>
      <c r="GX11" t="e">
        <f>AND('Current Index'!#REF!,"AAAAAHV+r80=")</f>
        <v>#REF!</v>
      </c>
      <c r="GY11" t="e">
        <f>AND('Current Index'!#REF!,"AAAAAHV+r84=")</f>
        <v>#REF!</v>
      </c>
      <c r="GZ11" t="e">
        <f>AND('Current Index'!#REF!,"AAAAAHV+r88=")</f>
        <v>#REF!</v>
      </c>
      <c r="HA11" t="e">
        <f>AND('Current Index'!#REF!,"AAAAAHV+r9A=")</f>
        <v>#REF!</v>
      </c>
      <c r="HB11" t="e">
        <f>AND('Current Index'!#REF!,"AAAAAHV+r9E=")</f>
        <v>#REF!</v>
      </c>
      <c r="HC11" t="e">
        <f>AND('Current Index'!#REF!,"AAAAAHV+r9I=")</f>
        <v>#REF!</v>
      </c>
      <c r="HD11" t="e">
        <f>AND('Current Index'!#REF!,"AAAAAHV+r9M=")</f>
        <v>#REF!</v>
      </c>
      <c r="HE11">
        <f>IF('Current Index'!277:277,"AAAAAHV+r9Q=",0)</f>
        <v>0</v>
      </c>
      <c r="HF11" t="e">
        <f>AND('Current Index'!A277,"AAAAAHV+r9U=")</f>
        <v>#VALUE!</v>
      </c>
      <c r="HG11" t="e">
        <f>AND('Current Index'!#REF!,"AAAAAHV+r9Y=")</f>
        <v>#REF!</v>
      </c>
      <c r="HH11" t="e">
        <f>AND('Current Index'!B277,"AAAAAHV+r9c=")</f>
        <v>#VALUE!</v>
      </c>
      <c r="HI11" t="e">
        <f>AND('Current Index'!C277,"AAAAAHV+r9g=")</f>
        <v>#VALUE!</v>
      </c>
      <c r="HJ11" t="e">
        <f>AND('Current Index'!D277,"AAAAAHV+r9k=")</f>
        <v>#VALUE!</v>
      </c>
      <c r="HK11" t="e">
        <f>AND('Current Index'!E277,"AAAAAHV+r9o=")</f>
        <v>#VALUE!</v>
      </c>
      <c r="HL11" t="e">
        <f>AND('Current Index'!F277,"AAAAAHV+r9s=")</f>
        <v>#VALUE!</v>
      </c>
      <c r="HM11" t="e">
        <f>AND('Current Index'!G277,"AAAAAHV+r9w=")</f>
        <v>#VALUE!</v>
      </c>
      <c r="HN11" t="e">
        <f>AND('Current Index'!H277,"AAAAAHV+r90=")</f>
        <v>#VALUE!</v>
      </c>
      <c r="HO11" t="e">
        <f>AND('Current Index'!I277,"AAAAAHV+r94=")</f>
        <v>#VALUE!</v>
      </c>
      <c r="HP11">
        <f>IF('Current Index'!278:278,"AAAAAHV+r98=",0)</f>
        <v>0</v>
      </c>
      <c r="HQ11" t="e">
        <f>AND('Current Index'!A278,"AAAAAHV+r+A=")</f>
        <v>#VALUE!</v>
      </c>
      <c r="HR11" t="e">
        <f>AND('Current Index'!#REF!,"AAAAAHV+r+E=")</f>
        <v>#REF!</v>
      </c>
      <c r="HS11" t="e">
        <f>AND('Current Index'!B278,"AAAAAHV+r+I=")</f>
        <v>#VALUE!</v>
      </c>
      <c r="HT11" t="e">
        <f>AND('Current Index'!C278,"AAAAAHV+r+M=")</f>
        <v>#VALUE!</v>
      </c>
      <c r="HU11" t="e">
        <f>AND('Current Index'!D278,"AAAAAHV+r+Q=")</f>
        <v>#VALUE!</v>
      </c>
      <c r="HV11" t="e">
        <f>AND('Current Index'!E278,"AAAAAHV+r+U=")</f>
        <v>#VALUE!</v>
      </c>
      <c r="HW11" t="e">
        <f>AND('Current Index'!F278,"AAAAAHV+r+Y=")</f>
        <v>#VALUE!</v>
      </c>
      <c r="HX11" t="e">
        <f>AND('Current Index'!G278,"AAAAAHV+r+c=")</f>
        <v>#VALUE!</v>
      </c>
      <c r="HY11" t="e">
        <f>AND('Current Index'!H278,"AAAAAHV+r+g=")</f>
        <v>#VALUE!</v>
      </c>
      <c r="HZ11" t="e">
        <f>AND('Current Index'!I278,"AAAAAHV+r+k=")</f>
        <v>#VALUE!</v>
      </c>
      <c r="IA11">
        <f>IF('Current Index'!279:279,"AAAAAHV+r+o=",0)</f>
        <v>0</v>
      </c>
      <c r="IB11" t="e">
        <f>AND('Current Index'!A279,"AAAAAHV+r+s=")</f>
        <v>#VALUE!</v>
      </c>
      <c r="IC11" t="e">
        <f>AND('Current Index'!#REF!,"AAAAAHV+r+w=")</f>
        <v>#REF!</v>
      </c>
      <c r="ID11" t="e">
        <f>AND('Current Index'!B279,"AAAAAHV+r+0=")</f>
        <v>#VALUE!</v>
      </c>
      <c r="IE11" t="e">
        <f>AND('Current Index'!C279,"AAAAAHV+r+4=")</f>
        <v>#VALUE!</v>
      </c>
      <c r="IF11" t="e">
        <f>AND('Current Index'!D279,"AAAAAHV+r+8=")</f>
        <v>#VALUE!</v>
      </c>
      <c r="IG11" t="e">
        <f>AND('Current Index'!E279,"AAAAAHV+r/A=")</f>
        <v>#VALUE!</v>
      </c>
      <c r="IH11" t="e">
        <f>AND('Current Index'!F279,"AAAAAHV+r/E=")</f>
        <v>#VALUE!</v>
      </c>
      <c r="II11" t="e">
        <f>AND('Current Index'!G279,"AAAAAHV+r/I=")</f>
        <v>#VALUE!</v>
      </c>
      <c r="IJ11" t="e">
        <f>AND('Current Index'!H279,"AAAAAHV+r/M=")</f>
        <v>#VALUE!</v>
      </c>
      <c r="IK11" t="e">
        <f>AND('Current Index'!I279,"AAAAAHV+r/Q=")</f>
        <v>#VALUE!</v>
      </c>
      <c r="IL11" t="e">
        <f>IF('Current Index'!#REF!,"AAAAAHV+r/U=",0)</f>
        <v>#REF!</v>
      </c>
      <c r="IM11" t="e">
        <f>AND('Current Index'!#REF!,"AAAAAHV+r/Y=")</f>
        <v>#REF!</v>
      </c>
      <c r="IN11" t="e">
        <f>AND('Current Index'!#REF!,"AAAAAHV+r/c=")</f>
        <v>#REF!</v>
      </c>
      <c r="IO11" t="e">
        <f>AND('Current Index'!#REF!,"AAAAAHV+r/g=")</f>
        <v>#REF!</v>
      </c>
      <c r="IP11" t="e">
        <f>AND('Current Index'!#REF!,"AAAAAHV+r/k=")</f>
        <v>#REF!</v>
      </c>
      <c r="IQ11" t="e">
        <f>AND('Current Index'!#REF!,"AAAAAHV+r/o=")</f>
        <v>#REF!</v>
      </c>
      <c r="IR11" t="e">
        <f>AND('Current Index'!#REF!,"AAAAAHV+r/s=")</f>
        <v>#REF!</v>
      </c>
      <c r="IS11" t="e">
        <f>AND('Current Index'!#REF!,"AAAAAHV+r/w=")</f>
        <v>#REF!</v>
      </c>
      <c r="IT11" t="e">
        <f>AND('Current Index'!#REF!,"AAAAAHV+r/0=")</f>
        <v>#REF!</v>
      </c>
      <c r="IU11" t="e">
        <f>AND('Current Index'!#REF!,"AAAAAHV+r/4=")</f>
        <v>#REF!</v>
      </c>
      <c r="IV11" t="e">
        <f>AND('Current Index'!#REF!,"AAAAAHV+r/8=")</f>
        <v>#REF!</v>
      </c>
    </row>
    <row r="12" spans="1:256" x14ac:dyDescent="0.25">
      <c r="A12">
        <f>IF('Current Index'!280:280,"AAAAAFPr9gA=",0)</f>
        <v>0</v>
      </c>
      <c r="B12" t="e">
        <f>AND('Current Index'!A280,"AAAAAFPr9gE=")</f>
        <v>#VALUE!</v>
      </c>
      <c r="C12" t="e">
        <f>AND('Current Index'!#REF!,"AAAAAFPr9gI=")</f>
        <v>#REF!</v>
      </c>
      <c r="D12" t="e">
        <f>AND('Current Index'!B280,"AAAAAFPr9gM=")</f>
        <v>#VALUE!</v>
      </c>
      <c r="E12" t="e">
        <f>AND('Current Index'!C280,"AAAAAFPr9gQ=")</f>
        <v>#VALUE!</v>
      </c>
      <c r="F12" t="e">
        <f>AND('Current Index'!D280,"AAAAAFPr9gU=")</f>
        <v>#VALUE!</v>
      </c>
      <c r="G12" t="e">
        <f>AND('Current Index'!E280,"AAAAAFPr9gY=")</f>
        <v>#VALUE!</v>
      </c>
      <c r="H12" t="e">
        <f>AND('Current Index'!F280,"AAAAAFPr9gc=")</f>
        <v>#VALUE!</v>
      </c>
      <c r="I12" t="e">
        <f>AND('Current Index'!G280,"AAAAAFPr9gg=")</f>
        <v>#VALUE!</v>
      </c>
      <c r="J12" t="e">
        <f>AND('Current Index'!H280,"AAAAAFPr9gk=")</f>
        <v>#VALUE!</v>
      </c>
      <c r="K12" t="e">
        <f>AND('Current Index'!I280,"AAAAAFPr9go=")</f>
        <v>#VALUE!</v>
      </c>
      <c r="L12">
        <f>IF('Current Index'!281:281,"AAAAAFPr9gs=",0)</f>
        <v>0</v>
      </c>
      <c r="M12" t="e">
        <f>AND('Current Index'!A281,"AAAAAFPr9gw=")</f>
        <v>#VALUE!</v>
      </c>
      <c r="N12" t="e">
        <f>AND('Current Index'!#REF!,"AAAAAFPr9g0=")</f>
        <v>#REF!</v>
      </c>
      <c r="O12" t="e">
        <f>AND('Current Index'!B281,"AAAAAFPr9g4=")</f>
        <v>#VALUE!</v>
      </c>
      <c r="P12" t="e">
        <f>AND('Current Index'!C281,"AAAAAFPr9g8=")</f>
        <v>#VALUE!</v>
      </c>
      <c r="Q12" t="e">
        <f>AND('Current Index'!D281,"AAAAAFPr9hA=")</f>
        <v>#VALUE!</v>
      </c>
      <c r="R12" t="e">
        <f>AND('Current Index'!E281,"AAAAAFPr9hE=")</f>
        <v>#VALUE!</v>
      </c>
      <c r="S12" t="e">
        <f>AND('Current Index'!F281,"AAAAAFPr9hI=")</f>
        <v>#VALUE!</v>
      </c>
      <c r="T12" t="e">
        <f>AND('Current Index'!G281,"AAAAAFPr9hM=")</f>
        <v>#VALUE!</v>
      </c>
      <c r="U12" t="e">
        <f>AND('Current Index'!H281,"AAAAAFPr9hQ=")</f>
        <v>#VALUE!</v>
      </c>
      <c r="V12" t="e">
        <f>AND('Current Index'!I281,"AAAAAFPr9hU=")</f>
        <v>#VALUE!</v>
      </c>
      <c r="W12">
        <f>IF('Current Index'!282:282,"AAAAAFPr9hY=",0)</f>
        <v>0</v>
      </c>
      <c r="X12" t="e">
        <f>AND('Current Index'!A282,"AAAAAFPr9hc=")</f>
        <v>#VALUE!</v>
      </c>
      <c r="Y12" t="e">
        <f>AND('Current Index'!#REF!,"AAAAAFPr9hg=")</f>
        <v>#REF!</v>
      </c>
      <c r="Z12" t="e">
        <f>AND('Current Index'!B282,"AAAAAFPr9hk=")</f>
        <v>#VALUE!</v>
      </c>
      <c r="AA12" t="e">
        <f>AND('Current Index'!C282,"AAAAAFPr9ho=")</f>
        <v>#VALUE!</v>
      </c>
      <c r="AB12" t="e">
        <f>AND('Current Index'!D282,"AAAAAFPr9hs=")</f>
        <v>#VALUE!</v>
      </c>
      <c r="AC12" t="e">
        <f>AND('Current Index'!E282,"AAAAAFPr9hw=")</f>
        <v>#VALUE!</v>
      </c>
      <c r="AD12" t="e">
        <f>AND('Current Index'!F282,"AAAAAFPr9h0=")</f>
        <v>#VALUE!</v>
      </c>
      <c r="AE12" t="e">
        <f>AND('Current Index'!G282,"AAAAAFPr9h4=")</f>
        <v>#VALUE!</v>
      </c>
      <c r="AF12" t="e">
        <f>AND('Current Index'!H282,"AAAAAFPr9h8=")</f>
        <v>#VALUE!</v>
      </c>
      <c r="AG12" t="e">
        <f>AND('Current Index'!I282,"AAAAAFPr9iA=")</f>
        <v>#VALUE!</v>
      </c>
      <c r="AH12">
        <f>IF('Current Index'!283:283,"AAAAAFPr9iE=",0)</f>
        <v>0</v>
      </c>
      <c r="AI12" t="e">
        <f>AND('Current Index'!A283,"AAAAAFPr9iI=")</f>
        <v>#VALUE!</v>
      </c>
      <c r="AJ12" t="e">
        <f>AND('Current Index'!#REF!,"AAAAAFPr9iM=")</f>
        <v>#REF!</v>
      </c>
      <c r="AK12" t="e">
        <f>AND('Current Index'!B283,"AAAAAFPr9iQ=")</f>
        <v>#VALUE!</v>
      </c>
      <c r="AL12" t="e">
        <f>AND('Current Index'!C283,"AAAAAFPr9iU=")</f>
        <v>#VALUE!</v>
      </c>
      <c r="AM12" t="e">
        <f>AND('Current Index'!D283,"AAAAAFPr9iY=")</f>
        <v>#VALUE!</v>
      </c>
      <c r="AN12" t="e">
        <f>AND('Current Index'!E283,"AAAAAFPr9ic=")</f>
        <v>#VALUE!</v>
      </c>
      <c r="AO12" t="e">
        <f>AND('Current Index'!F283,"AAAAAFPr9ig=")</f>
        <v>#VALUE!</v>
      </c>
      <c r="AP12" t="e">
        <f>AND('Current Index'!G283,"AAAAAFPr9ik=")</f>
        <v>#VALUE!</v>
      </c>
      <c r="AQ12" t="e">
        <f>AND('Current Index'!H283,"AAAAAFPr9io=")</f>
        <v>#VALUE!</v>
      </c>
      <c r="AR12" t="e">
        <f>AND('Current Index'!I283,"AAAAAFPr9is=")</f>
        <v>#VALUE!</v>
      </c>
      <c r="AS12">
        <f>IF('Current Index'!284:284,"AAAAAFPr9iw=",0)</f>
        <v>0</v>
      </c>
      <c r="AT12" t="e">
        <f>AND('Current Index'!A284,"AAAAAFPr9i0=")</f>
        <v>#VALUE!</v>
      </c>
      <c r="AU12" t="e">
        <f>AND('Current Index'!#REF!,"AAAAAFPr9i4=")</f>
        <v>#REF!</v>
      </c>
      <c r="AV12" t="e">
        <f>AND('Current Index'!B284,"AAAAAFPr9i8=")</f>
        <v>#VALUE!</v>
      </c>
      <c r="AW12" t="e">
        <f>AND('Current Index'!C284,"AAAAAFPr9jA=")</f>
        <v>#VALUE!</v>
      </c>
      <c r="AX12" t="e">
        <f>AND('Current Index'!D284,"AAAAAFPr9jE=")</f>
        <v>#VALUE!</v>
      </c>
      <c r="AY12" t="e">
        <f>AND('Current Index'!E284,"AAAAAFPr9jI=")</f>
        <v>#VALUE!</v>
      </c>
      <c r="AZ12" t="e">
        <f>AND('Current Index'!F284,"AAAAAFPr9jM=")</f>
        <v>#VALUE!</v>
      </c>
      <c r="BA12" t="e">
        <f>AND('Current Index'!G284,"AAAAAFPr9jQ=")</f>
        <v>#VALUE!</v>
      </c>
      <c r="BB12" t="e">
        <f>AND('Current Index'!H284,"AAAAAFPr9jU=")</f>
        <v>#VALUE!</v>
      </c>
      <c r="BC12" t="e">
        <f>AND('Current Index'!I284,"AAAAAFPr9jY=")</f>
        <v>#VALUE!</v>
      </c>
      <c r="BD12">
        <f>IF('Current Index'!285:285,"AAAAAFPr9jc=",0)</f>
        <v>0</v>
      </c>
      <c r="BE12" t="e">
        <f>AND('Current Index'!A285,"AAAAAFPr9jg=")</f>
        <v>#VALUE!</v>
      </c>
      <c r="BF12" t="e">
        <f>AND('Current Index'!#REF!,"AAAAAFPr9jk=")</f>
        <v>#REF!</v>
      </c>
      <c r="BG12" t="e">
        <f>AND('Current Index'!B285,"AAAAAFPr9jo=")</f>
        <v>#VALUE!</v>
      </c>
      <c r="BH12" t="e">
        <f>AND('Current Index'!C285,"AAAAAFPr9js=")</f>
        <v>#VALUE!</v>
      </c>
      <c r="BI12" t="e">
        <f>AND('Current Index'!D285,"AAAAAFPr9jw=")</f>
        <v>#VALUE!</v>
      </c>
      <c r="BJ12" t="e">
        <f>AND('Current Index'!E285,"AAAAAFPr9j0=")</f>
        <v>#VALUE!</v>
      </c>
      <c r="BK12" t="e">
        <f>AND('Current Index'!F285,"AAAAAFPr9j4=")</f>
        <v>#VALUE!</v>
      </c>
      <c r="BL12" t="e">
        <f>AND('Current Index'!G285,"AAAAAFPr9j8=")</f>
        <v>#VALUE!</v>
      </c>
      <c r="BM12" t="e">
        <f>AND('Current Index'!H285,"AAAAAFPr9kA=")</f>
        <v>#VALUE!</v>
      </c>
      <c r="BN12" t="e">
        <f>AND('Current Index'!I285,"AAAAAFPr9kE=")</f>
        <v>#VALUE!</v>
      </c>
      <c r="BO12">
        <f>IF('Current Index'!286:286,"AAAAAFPr9kI=",0)</f>
        <v>0</v>
      </c>
      <c r="BP12" t="e">
        <f>AND('Current Index'!A286,"AAAAAFPr9kM=")</f>
        <v>#VALUE!</v>
      </c>
      <c r="BQ12" t="e">
        <f>AND('Current Index'!#REF!,"AAAAAFPr9kQ=")</f>
        <v>#REF!</v>
      </c>
      <c r="BR12" t="e">
        <f>AND('Current Index'!B286,"AAAAAFPr9kU=")</f>
        <v>#VALUE!</v>
      </c>
      <c r="BS12" t="e">
        <f>AND('Current Index'!C286,"AAAAAFPr9kY=")</f>
        <v>#VALUE!</v>
      </c>
      <c r="BT12" t="e">
        <f>AND('Current Index'!D286,"AAAAAFPr9kc=")</f>
        <v>#VALUE!</v>
      </c>
      <c r="BU12" t="e">
        <f>AND('Current Index'!E286,"AAAAAFPr9kg=")</f>
        <v>#VALUE!</v>
      </c>
      <c r="BV12" t="e">
        <f>AND('Current Index'!F286,"AAAAAFPr9kk=")</f>
        <v>#VALUE!</v>
      </c>
      <c r="BW12" t="e">
        <f>AND('Current Index'!G286,"AAAAAFPr9ko=")</f>
        <v>#VALUE!</v>
      </c>
      <c r="BX12" t="e">
        <f>AND('Current Index'!H286,"AAAAAFPr9ks=")</f>
        <v>#VALUE!</v>
      </c>
      <c r="BY12" t="e">
        <f>AND('Current Index'!I286,"AAAAAFPr9kw=")</f>
        <v>#VALUE!</v>
      </c>
      <c r="BZ12">
        <f>IF('Current Index'!287:287,"AAAAAFPr9k0=",0)</f>
        <v>0</v>
      </c>
      <c r="CA12" t="e">
        <f>AND('Current Index'!A287,"AAAAAFPr9k4=")</f>
        <v>#VALUE!</v>
      </c>
      <c r="CB12" t="e">
        <f>AND('Current Index'!#REF!,"AAAAAFPr9k8=")</f>
        <v>#REF!</v>
      </c>
      <c r="CC12" t="e">
        <f>AND('Current Index'!B287,"AAAAAFPr9lA=")</f>
        <v>#VALUE!</v>
      </c>
      <c r="CD12" t="e">
        <f>AND('Current Index'!C287,"AAAAAFPr9lE=")</f>
        <v>#VALUE!</v>
      </c>
      <c r="CE12" t="e">
        <f>AND('Current Index'!D287,"AAAAAFPr9lI=")</f>
        <v>#VALUE!</v>
      </c>
      <c r="CF12" t="e">
        <f>AND('Current Index'!E287,"AAAAAFPr9lM=")</f>
        <v>#VALUE!</v>
      </c>
      <c r="CG12" t="e">
        <f>AND('Current Index'!F287,"AAAAAFPr9lQ=")</f>
        <v>#VALUE!</v>
      </c>
      <c r="CH12" t="e">
        <f>AND('Current Index'!G287,"AAAAAFPr9lU=")</f>
        <v>#VALUE!</v>
      </c>
      <c r="CI12" t="e">
        <f>AND('Current Index'!H287,"AAAAAFPr9lY=")</f>
        <v>#VALUE!</v>
      </c>
      <c r="CJ12" t="e">
        <f>AND('Current Index'!I287,"AAAAAFPr9lc=")</f>
        <v>#VALUE!</v>
      </c>
      <c r="CK12">
        <f>IF('Current Index'!288:288,"AAAAAFPr9lg=",0)</f>
        <v>0</v>
      </c>
      <c r="CL12" t="e">
        <f>AND('Current Index'!A288,"AAAAAFPr9lk=")</f>
        <v>#VALUE!</v>
      </c>
      <c r="CM12" t="e">
        <f>AND('Current Index'!#REF!,"AAAAAFPr9lo=")</f>
        <v>#REF!</v>
      </c>
      <c r="CN12" t="e">
        <f>AND('Current Index'!B288,"AAAAAFPr9ls=")</f>
        <v>#VALUE!</v>
      </c>
      <c r="CO12" t="e">
        <f>AND('Current Index'!C288,"AAAAAFPr9lw=")</f>
        <v>#VALUE!</v>
      </c>
      <c r="CP12" t="e">
        <f>AND('Current Index'!D288,"AAAAAFPr9l0=")</f>
        <v>#VALUE!</v>
      </c>
      <c r="CQ12" t="e">
        <f>AND('Current Index'!E288,"AAAAAFPr9l4=")</f>
        <v>#VALUE!</v>
      </c>
      <c r="CR12" t="e">
        <f>AND('Current Index'!F288,"AAAAAFPr9l8=")</f>
        <v>#VALUE!</v>
      </c>
      <c r="CS12" t="e">
        <f>AND('Current Index'!G288,"AAAAAFPr9mA=")</f>
        <v>#VALUE!</v>
      </c>
      <c r="CT12" t="e">
        <f>AND('Current Index'!H288,"AAAAAFPr9mE=")</f>
        <v>#VALUE!</v>
      </c>
      <c r="CU12" t="e">
        <f>AND('Current Index'!I288,"AAAAAFPr9mI=")</f>
        <v>#VALUE!</v>
      </c>
      <c r="CV12">
        <f>IF('Current Index'!289:289,"AAAAAFPr9mM=",0)</f>
        <v>0</v>
      </c>
      <c r="CW12" t="e">
        <f>AND('Current Index'!A289,"AAAAAFPr9mQ=")</f>
        <v>#VALUE!</v>
      </c>
      <c r="CX12" t="e">
        <f>AND('Current Index'!#REF!,"AAAAAFPr9mU=")</f>
        <v>#REF!</v>
      </c>
      <c r="CY12" t="e">
        <f>AND('Current Index'!B289,"AAAAAFPr9mY=")</f>
        <v>#VALUE!</v>
      </c>
      <c r="CZ12" t="e">
        <f>AND('Current Index'!C289,"AAAAAFPr9mc=")</f>
        <v>#VALUE!</v>
      </c>
      <c r="DA12" t="e">
        <f>AND('Current Index'!D289,"AAAAAFPr9mg=")</f>
        <v>#VALUE!</v>
      </c>
      <c r="DB12" t="e">
        <f>AND('Current Index'!E289,"AAAAAFPr9mk=")</f>
        <v>#VALUE!</v>
      </c>
      <c r="DC12" t="e">
        <f>AND('Current Index'!F289,"AAAAAFPr9mo=")</f>
        <v>#VALUE!</v>
      </c>
      <c r="DD12" t="e">
        <f>AND('Current Index'!G289,"AAAAAFPr9ms=")</f>
        <v>#VALUE!</v>
      </c>
      <c r="DE12" t="e">
        <f>AND('Current Index'!H289,"AAAAAFPr9mw=")</f>
        <v>#VALUE!</v>
      </c>
      <c r="DF12" t="e">
        <f>AND('Current Index'!I289,"AAAAAFPr9m0=")</f>
        <v>#VALUE!</v>
      </c>
      <c r="DG12">
        <f>IF('Current Index'!290:290,"AAAAAFPr9m4=",0)</f>
        <v>0</v>
      </c>
      <c r="DH12" t="e">
        <f>AND('Current Index'!A290,"AAAAAFPr9m8=")</f>
        <v>#VALUE!</v>
      </c>
      <c r="DI12" t="e">
        <f>AND('Current Index'!#REF!,"AAAAAFPr9nA=")</f>
        <v>#REF!</v>
      </c>
      <c r="DJ12" t="e">
        <f>AND('Current Index'!B290,"AAAAAFPr9nE=")</f>
        <v>#VALUE!</v>
      </c>
      <c r="DK12" t="e">
        <f>AND('Current Index'!C290,"AAAAAFPr9nI=")</f>
        <v>#VALUE!</v>
      </c>
      <c r="DL12" t="e">
        <f>AND('Current Index'!D290,"AAAAAFPr9nM=")</f>
        <v>#VALUE!</v>
      </c>
      <c r="DM12" t="e">
        <f>AND('Current Index'!E290,"AAAAAFPr9nQ=")</f>
        <v>#VALUE!</v>
      </c>
      <c r="DN12" t="e">
        <f>AND('Current Index'!F290,"AAAAAFPr9nU=")</f>
        <v>#VALUE!</v>
      </c>
      <c r="DO12" t="e">
        <f>AND('Current Index'!G290,"AAAAAFPr9nY=")</f>
        <v>#VALUE!</v>
      </c>
      <c r="DP12" t="e">
        <f>AND('Current Index'!H290,"AAAAAFPr9nc=")</f>
        <v>#VALUE!</v>
      </c>
      <c r="DQ12" t="e">
        <f>AND('Current Index'!I290,"AAAAAFPr9ng=")</f>
        <v>#VALUE!</v>
      </c>
      <c r="DR12">
        <f>IF('Current Index'!291:291,"AAAAAFPr9nk=",0)</f>
        <v>0</v>
      </c>
      <c r="DS12" t="e">
        <f>AND('Current Index'!A291,"AAAAAFPr9no=")</f>
        <v>#VALUE!</v>
      </c>
      <c r="DT12" t="e">
        <f>AND('Current Index'!#REF!,"AAAAAFPr9ns=")</f>
        <v>#REF!</v>
      </c>
      <c r="DU12" t="e">
        <f>AND('Current Index'!B291,"AAAAAFPr9nw=")</f>
        <v>#VALUE!</v>
      </c>
      <c r="DV12" t="e">
        <f>AND('Current Index'!C291,"AAAAAFPr9n0=")</f>
        <v>#VALUE!</v>
      </c>
      <c r="DW12" t="e">
        <f>AND('Current Index'!D291,"AAAAAFPr9n4=")</f>
        <v>#VALUE!</v>
      </c>
      <c r="DX12" t="e">
        <f>AND('Current Index'!E291,"AAAAAFPr9n8=")</f>
        <v>#VALUE!</v>
      </c>
      <c r="DY12" t="e">
        <f>AND('Current Index'!F291,"AAAAAFPr9oA=")</f>
        <v>#VALUE!</v>
      </c>
      <c r="DZ12" t="e">
        <f>AND('Current Index'!G291,"AAAAAFPr9oE=")</f>
        <v>#VALUE!</v>
      </c>
      <c r="EA12" t="e">
        <f>AND('Current Index'!H291,"AAAAAFPr9oI=")</f>
        <v>#VALUE!</v>
      </c>
      <c r="EB12" t="e">
        <f>AND('Current Index'!I291,"AAAAAFPr9oM=")</f>
        <v>#VALUE!</v>
      </c>
      <c r="EC12">
        <f>IF('Current Index'!292:292,"AAAAAFPr9oQ=",0)</f>
        <v>0</v>
      </c>
      <c r="ED12" t="e">
        <f>AND('Current Index'!A292,"AAAAAFPr9oU=")</f>
        <v>#VALUE!</v>
      </c>
      <c r="EE12" t="e">
        <f>AND('Current Index'!#REF!,"AAAAAFPr9oY=")</f>
        <v>#REF!</v>
      </c>
      <c r="EF12" t="e">
        <f>AND('Current Index'!B292,"AAAAAFPr9oc=")</f>
        <v>#VALUE!</v>
      </c>
      <c r="EG12" t="e">
        <f>AND('Current Index'!C292,"AAAAAFPr9og=")</f>
        <v>#VALUE!</v>
      </c>
      <c r="EH12" t="e">
        <f>AND('Current Index'!D292,"AAAAAFPr9ok=")</f>
        <v>#VALUE!</v>
      </c>
      <c r="EI12" t="e">
        <f>AND('Current Index'!E292,"AAAAAFPr9oo=")</f>
        <v>#VALUE!</v>
      </c>
      <c r="EJ12" t="e">
        <f>AND('Current Index'!F292,"AAAAAFPr9os=")</f>
        <v>#VALUE!</v>
      </c>
      <c r="EK12" t="e">
        <f>AND('Current Index'!G292,"AAAAAFPr9ow=")</f>
        <v>#VALUE!</v>
      </c>
      <c r="EL12" t="e">
        <f>AND('Current Index'!H292,"AAAAAFPr9o0=")</f>
        <v>#VALUE!</v>
      </c>
      <c r="EM12" t="e">
        <f>AND('Current Index'!I292,"AAAAAFPr9o4=")</f>
        <v>#VALUE!</v>
      </c>
      <c r="EN12">
        <f>IF('Current Index'!293:293,"AAAAAFPr9o8=",0)</f>
        <v>0</v>
      </c>
      <c r="EO12" t="e">
        <f>AND('Current Index'!A293,"AAAAAFPr9pA=")</f>
        <v>#VALUE!</v>
      </c>
      <c r="EP12" t="e">
        <f>AND('Current Index'!#REF!,"AAAAAFPr9pE=")</f>
        <v>#REF!</v>
      </c>
      <c r="EQ12" t="e">
        <f>AND('Current Index'!B293,"AAAAAFPr9pI=")</f>
        <v>#VALUE!</v>
      </c>
      <c r="ER12" t="e">
        <f>AND('Current Index'!C293,"AAAAAFPr9pM=")</f>
        <v>#VALUE!</v>
      </c>
      <c r="ES12" t="e">
        <f>AND('Current Index'!D293,"AAAAAFPr9pQ=")</f>
        <v>#VALUE!</v>
      </c>
      <c r="ET12" t="e">
        <f>AND('Current Index'!E293,"AAAAAFPr9pU=")</f>
        <v>#VALUE!</v>
      </c>
      <c r="EU12" t="e">
        <f>AND('Current Index'!F293,"AAAAAFPr9pY=")</f>
        <v>#VALUE!</v>
      </c>
      <c r="EV12" t="e">
        <f>AND('Current Index'!G293,"AAAAAFPr9pc=")</f>
        <v>#VALUE!</v>
      </c>
      <c r="EW12" t="e">
        <f>AND('Current Index'!H293,"AAAAAFPr9pg=")</f>
        <v>#VALUE!</v>
      </c>
      <c r="EX12" t="e">
        <f>AND('Current Index'!I293,"AAAAAFPr9pk=")</f>
        <v>#VALUE!</v>
      </c>
      <c r="EY12">
        <f>IF('Current Index'!294:294,"AAAAAFPr9po=",0)</f>
        <v>0</v>
      </c>
      <c r="EZ12" t="e">
        <f>AND('Current Index'!A294,"AAAAAFPr9ps=")</f>
        <v>#VALUE!</v>
      </c>
      <c r="FA12" t="e">
        <f>AND('Current Index'!#REF!,"AAAAAFPr9pw=")</f>
        <v>#REF!</v>
      </c>
      <c r="FB12" t="e">
        <f>AND('Current Index'!B294,"AAAAAFPr9p0=")</f>
        <v>#VALUE!</v>
      </c>
      <c r="FC12" t="e">
        <f>AND('Current Index'!C294,"AAAAAFPr9p4=")</f>
        <v>#VALUE!</v>
      </c>
      <c r="FD12" t="e">
        <f>AND('Current Index'!D294,"AAAAAFPr9p8=")</f>
        <v>#VALUE!</v>
      </c>
      <c r="FE12" t="e">
        <f>AND('Current Index'!E294,"AAAAAFPr9qA=")</f>
        <v>#VALUE!</v>
      </c>
      <c r="FF12" t="e">
        <f>AND('Current Index'!F294,"AAAAAFPr9qE=")</f>
        <v>#VALUE!</v>
      </c>
      <c r="FG12" t="e">
        <f>AND('Current Index'!G294,"AAAAAFPr9qI=")</f>
        <v>#VALUE!</v>
      </c>
      <c r="FH12" t="e">
        <f>AND('Current Index'!H294,"AAAAAFPr9qM=")</f>
        <v>#VALUE!</v>
      </c>
      <c r="FI12" t="e">
        <f>AND('Current Index'!I294,"AAAAAFPr9qQ=")</f>
        <v>#VALUE!</v>
      </c>
      <c r="FJ12">
        <f>IF('Current Index'!295:295,"AAAAAFPr9qU=",0)</f>
        <v>0</v>
      </c>
      <c r="FK12" t="e">
        <f>AND('Current Index'!A295,"AAAAAFPr9qY=")</f>
        <v>#VALUE!</v>
      </c>
      <c r="FL12" t="e">
        <f>AND('Current Index'!#REF!,"AAAAAFPr9qc=")</f>
        <v>#REF!</v>
      </c>
      <c r="FM12" t="e">
        <f>AND('Current Index'!B295,"AAAAAFPr9qg=")</f>
        <v>#VALUE!</v>
      </c>
      <c r="FN12" t="e">
        <f>AND('Current Index'!C295,"AAAAAFPr9qk=")</f>
        <v>#VALUE!</v>
      </c>
      <c r="FO12" t="e">
        <f>AND('Current Index'!D295,"AAAAAFPr9qo=")</f>
        <v>#VALUE!</v>
      </c>
      <c r="FP12" t="e">
        <f>AND('Current Index'!E295,"AAAAAFPr9qs=")</f>
        <v>#VALUE!</v>
      </c>
      <c r="FQ12" t="e">
        <f>AND('Current Index'!F295,"AAAAAFPr9qw=")</f>
        <v>#VALUE!</v>
      </c>
      <c r="FR12" t="e">
        <f>AND('Current Index'!G295,"AAAAAFPr9q0=")</f>
        <v>#VALUE!</v>
      </c>
      <c r="FS12" t="e">
        <f>AND('Current Index'!H295,"AAAAAFPr9q4=")</f>
        <v>#VALUE!</v>
      </c>
      <c r="FT12" t="e">
        <f>AND('Current Index'!I295,"AAAAAFPr9q8=")</f>
        <v>#VALUE!</v>
      </c>
      <c r="FU12">
        <f>IF('Current Index'!305:305,"AAAAAFPr9rA=",0)</f>
        <v>0</v>
      </c>
      <c r="FV12" t="e">
        <f>AND('Current Index'!A305,"AAAAAFPr9rE=")</f>
        <v>#VALUE!</v>
      </c>
      <c r="FW12" t="e">
        <f>AND('Current Index'!#REF!,"AAAAAFPr9rI=")</f>
        <v>#REF!</v>
      </c>
      <c r="FX12" t="e">
        <f>AND('Current Index'!B305,"AAAAAFPr9rM=")</f>
        <v>#VALUE!</v>
      </c>
      <c r="FY12" t="e">
        <f>AND('Current Index'!C305,"AAAAAFPr9rQ=")</f>
        <v>#VALUE!</v>
      </c>
      <c r="FZ12" t="e">
        <f>AND('Current Index'!D305,"AAAAAFPr9rU=")</f>
        <v>#VALUE!</v>
      </c>
      <c r="GA12" t="e">
        <f>AND('Current Index'!E305,"AAAAAFPr9rY=")</f>
        <v>#VALUE!</v>
      </c>
      <c r="GB12" t="e">
        <f>AND('Current Index'!F305,"AAAAAFPr9rc=")</f>
        <v>#VALUE!</v>
      </c>
      <c r="GC12" t="e">
        <f>AND('Current Index'!G305,"AAAAAFPr9rg=")</f>
        <v>#VALUE!</v>
      </c>
      <c r="GD12" t="e">
        <f>AND('Current Index'!H305,"AAAAAFPr9rk=")</f>
        <v>#VALUE!</v>
      </c>
      <c r="GE12" t="e">
        <f>AND('Current Index'!I305,"AAAAAFPr9ro=")</f>
        <v>#VALUE!</v>
      </c>
      <c r="GF12" t="e">
        <f>IF('Current Index'!#REF!,"AAAAAFPr9rs=",0)</f>
        <v>#REF!</v>
      </c>
      <c r="GG12" t="e">
        <f>AND('Current Index'!#REF!,"AAAAAFPr9rw=")</f>
        <v>#REF!</v>
      </c>
      <c r="GH12" t="e">
        <f>AND('Current Index'!#REF!,"AAAAAFPr9r0=")</f>
        <v>#REF!</v>
      </c>
      <c r="GI12" t="e">
        <f>AND('Current Index'!#REF!,"AAAAAFPr9r4=")</f>
        <v>#REF!</v>
      </c>
      <c r="GJ12" t="e">
        <f>AND('Current Index'!#REF!,"AAAAAFPr9r8=")</f>
        <v>#REF!</v>
      </c>
      <c r="GK12" t="e">
        <f>AND('Current Index'!#REF!,"AAAAAFPr9sA=")</f>
        <v>#REF!</v>
      </c>
      <c r="GL12" t="e">
        <f>AND('Current Index'!#REF!,"AAAAAFPr9sE=")</f>
        <v>#REF!</v>
      </c>
      <c r="GM12" t="e">
        <f>AND('Current Index'!#REF!,"AAAAAFPr9sI=")</f>
        <v>#REF!</v>
      </c>
      <c r="GN12" t="e">
        <f>AND('Current Index'!#REF!,"AAAAAFPr9sM=")</f>
        <v>#REF!</v>
      </c>
      <c r="GO12" t="e">
        <f>AND('Current Index'!#REF!,"AAAAAFPr9sQ=")</f>
        <v>#REF!</v>
      </c>
      <c r="GP12" t="e">
        <f>AND('Current Index'!#REF!,"AAAAAFPr9sU=")</f>
        <v>#REF!</v>
      </c>
      <c r="GQ12">
        <f>IF('Current Index'!306:306,"AAAAAFPr9sY=",0)</f>
        <v>0</v>
      </c>
      <c r="GR12" t="e">
        <f>AND('Current Index'!A306,"AAAAAFPr9sc=")</f>
        <v>#VALUE!</v>
      </c>
      <c r="GS12" t="e">
        <f>AND('Current Index'!#REF!,"AAAAAFPr9sg=")</f>
        <v>#REF!</v>
      </c>
      <c r="GT12" t="e">
        <f>AND('Current Index'!B306,"AAAAAFPr9sk=")</f>
        <v>#VALUE!</v>
      </c>
      <c r="GU12" t="e">
        <f>AND('Current Index'!C306,"AAAAAFPr9so=")</f>
        <v>#VALUE!</v>
      </c>
      <c r="GV12" t="e">
        <f>AND('Current Index'!D306,"AAAAAFPr9ss=")</f>
        <v>#VALUE!</v>
      </c>
      <c r="GW12" t="e">
        <f>AND('Current Index'!E306,"AAAAAFPr9sw=")</f>
        <v>#VALUE!</v>
      </c>
      <c r="GX12" t="e">
        <f>AND('Current Index'!F306,"AAAAAFPr9s0=")</f>
        <v>#VALUE!</v>
      </c>
      <c r="GY12" t="e">
        <f>AND('Current Index'!G306,"AAAAAFPr9s4=")</f>
        <v>#VALUE!</v>
      </c>
      <c r="GZ12" t="e">
        <f>AND('Current Index'!H306,"AAAAAFPr9s8=")</f>
        <v>#VALUE!</v>
      </c>
      <c r="HA12" t="e">
        <f>AND('Current Index'!I306,"AAAAAFPr9tA=")</f>
        <v>#VALUE!</v>
      </c>
      <c r="HB12">
        <f>IF('Current Index'!307:307,"AAAAAFPr9tE=",0)</f>
        <v>0</v>
      </c>
      <c r="HC12" t="e">
        <f>AND('Current Index'!A307,"AAAAAFPr9tI=")</f>
        <v>#VALUE!</v>
      </c>
      <c r="HD12" t="e">
        <f>AND('Current Index'!#REF!,"AAAAAFPr9tM=")</f>
        <v>#REF!</v>
      </c>
      <c r="HE12" t="e">
        <f>AND('Current Index'!B307,"AAAAAFPr9tQ=")</f>
        <v>#VALUE!</v>
      </c>
      <c r="HF12" t="e">
        <f>AND('Current Index'!C307,"AAAAAFPr9tU=")</f>
        <v>#VALUE!</v>
      </c>
      <c r="HG12" t="e">
        <f>AND('Current Index'!D307,"AAAAAFPr9tY=")</f>
        <v>#VALUE!</v>
      </c>
      <c r="HH12" t="e">
        <f>AND('Current Index'!E307,"AAAAAFPr9tc=")</f>
        <v>#VALUE!</v>
      </c>
      <c r="HI12" t="e">
        <f>AND('Current Index'!F307,"AAAAAFPr9tg=")</f>
        <v>#VALUE!</v>
      </c>
      <c r="HJ12" t="e">
        <f>AND('Current Index'!G307,"AAAAAFPr9tk=")</f>
        <v>#VALUE!</v>
      </c>
      <c r="HK12" t="e">
        <f>AND('Current Index'!H307,"AAAAAFPr9to=")</f>
        <v>#VALUE!</v>
      </c>
      <c r="HL12" t="e">
        <f>AND('Current Index'!I307,"AAAAAFPr9ts=")</f>
        <v>#VALUE!</v>
      </c>
      <c r="HM12">
        <f>IF('Current Index'!308:308,"AAAAAFPr9tw=",0)</f>
        <v>0</v>
      </c>
      <c r="HN12" t="e">
        <f>AND('Current Index'!A308,"AAAAAFPr9t0=")</f>
        <v>#VALUE!</v>
      </c>
      <c r="HO12" t="e">
        <f>AND('Current Index'!#REF!,"AAAAAFPr9t4=")</f>
        <v>#REF!</v>
      </c>
      <c r="HP12" t="e">
        <f>AND('Current Index'!B308,"AAAAAFPr9t8=")</f>
        <v>#VALUE!</v>
      </c>
      <c r="HQ12" t="e">
        <f>AND('Current Index'!C308,"AAAAAFPr9uA=")</f>
        <v>#VALUE!</v>
      </c>
      <c r="HR12" t="e">
        <f>AND('Current Index'!D308,"AAAAAFPr9uE=")</f>
        <v>#VALUE!</v>
      </c>
      <c r="HS12" t="e">
        <f>AND('Current Index'!E308,"AAAAAFPr9uI=")</f>
        <v>#VALUE!</v>
      </c>
      <c r="HT12" t="e">
        <f>AND('Current Index'!F308,"AAAAAFPr9uM=")</f>
        <v>#VALUE!</v>
      </c>
      <c r="HU12" t="e">
        <f>AND('Current Index'!G308,"AAAAAFPr9uQ=")</f>
        <v>#VALUE!</v>
      </c>
      <c r="HV12" t="e">
        <f>AND('Current Index'!H308,"AAAAAFPr9uU=")</f>
        <v>#VALUE!</v>
      </c>
      <c r="HW12" t="e">
        <f>AND('Current Index'!I308,"AAAAAFPr9uY=")</f>
        <v>#VALUE!</v>
      </c>
      <c r="HX12">
        <f>IF('Current Index'!309:309,"AAAAAFPr9uc=",0)</f>
        <v>0</v>
      </c>
      <c r="HY12" t="e">
        <f>AND('Current Index'!A309,"AAAAAFPr9ug=")</f>
        <v>#VALUE!</v>
      </c>
      <c r="HZ12" t="e">
        <f>AND('Current Index'!#REF!,"AAAAAFPr9uk=")</f>
        <v>#REF!</v>
      </c>
      <c r="IA12" t="e">
        <f>AND('Current Index'!B309,"AAAAAFPr9uo=")</f>
        <v>#VALUE!</v>
      </c>
      <c r="IB12" t="e">
        <f>AND('Current Index'!C309,"AAAAAFPr9us=")</f>
        <v>#VALUE!</v>
      </c>
      <c r="IC12" t="e">
        <f>AND('Current Index'!D309,"AAAAAFPr9uw=")</f>
        <v>#VALUE!</v>
      </c>
      <c r="ID12" t="e">
        <f>AND('Current Index'!E309,"AAAAAFPr9u0=")</f>
        <v>#VALUE!</v>
      </c>
      <c r="IE12" t="e">
        <f>AND('Current Index'!F309,"AAAAAFPr9u4=")</f>
        <v>#VALUE!</v>
      </c>
      <c r="IF12" t="e">
        <f>AND('Current Index'!G309,"AAAAAFPr9u8=")</f>
        <v>#VALUE!</v>
      </c>
      <c r="IG12" t="e">
        <f>AND('Current Index'!H309,"AAAAAFPr9vA=")</f>
        <v>#VALUE!</v>
      </c>
      <c r="IH12" t="e">
        <f>AND('Current Index'!I309,"AAAAAFPr9vE=")</f>
        <v>#VALUE!</v>
      </c>
      <c r="II12">
        <f>IF('Current Index'!321:321,"AAAAAFPr9vI=",0)</f>
        <v>0</v>
      </c>
      <c r="IJ12" t="e">
        <f>AND('Current Index'!A321,"AAAAAFPr9vM=")</f>
        <v>#VALUE!</v>
      </c>
      <c r="IK12" t="e">
        <f>AND('Current Index'!#REF!,"AAAAAFPr9vQ=")</f>
        <v>#REF!</v>
      </c>
      <c r="IL12" t="e">
        <f>AND('Current Index'!B321,"AAAAAFPr9vU=")</f>
        <v>#VALUE!</v>
      </c>
      <c r="IM12" t="e">
        <f>AND('Current Index'!C321,"AAAAAFPr9vY=")</f>
        <v>#VALUE!</v>
      </c>
      <c r="IN12" t="e">
        <f>AND('Current Index'!D321,"AAAAAFPr9vc=")</f>
        <v>#VALUE!</v>
      </c>
      <c r="IO12" t="e">
        <f>AND('Current Index'!E321,"AAAAAFPr9vg=")</f>
        <v>#VALUE!</v>
      </c>
      <c r="IP12" t="e">
        <f>AND('Current Index'!F321,"AAAAAFPr9vk=")</f>
        <v>#VALUE!</v>
      </c>
      <c r="IQ12" t="e">
        <f>AND('Current Index'!G321,"AAAAAFPr9vo=")</f>
        <v>#VALUE!</v>
      </c>
      <c r="IR12" t="e">
        <f>AND('Current Index'!H321,"AAAAAFPr9vs=")</f>
        <v>#VALUE!</v>
      </c>
      <c r="IS12" t="e">
        <f>AND('Current Index'!I321,"AAAAAFPr9vw=")</f>
        <v>#VALUE!</v>
      </c>
      <c r="IT12">
        <f>IF('Current Index'!322:322,"AAAAAFPr9v0=",0)</f>
        <v>0</v>
      </c>
      <c r="IU12" t="e">
        <f>AND('Current Index'!A322,"AAAAAFPr9v4=")</f>
        <v>#VALUE!</v>
      </c>
      <c r="IV12" t="e">
        <f>AND('Current Index'!#REF!,"AAAAAFPr9v8=")</f>
        <v>#REF!</v>
      </c>
    </row>
    <row r="13" spans="1:256" x14ac:dyDescent="0.25">
      <c r="A13" t="e">
        <f>AND('Current Index'!B322,"AAAAAHjmfwA=")</f>
        <v>#VALUE!</v>
      </c>
      <c r="B13" t="e">
        <f>AND('Current Index'!C322,"AAAAAHjmfwE=")</f>
        <v>#VALUE!</v>
      </c>
      <c r="C13" t="e">
        <f>AND('Current Index'!D322,"AAAAAHjmfwI=")</f>
        <v>#VALUE!</v>
      </c>
      <c r="D13" t="e">
        <f>AND('Current Index'!E322,"AAAAAHjmfwM=")</f>
        <v>#VALUE!</v>
      </c>
      <c r="E13" t="e">
        <f>AND('Current Index'!F322,"AAAAAHjmfwQ=")</f>
        <v>#VALUE!</v>
      </c>
      <c r="F13" t="e">
        <f>AND('Current Index'!G322,"AAAAAHjmfwU=")</f>
        <v>#VALUE!</v>
      </c>
      <c r="G13" t="e">
        <f>AND('Current Index'!H322,"AAAAAHjmfwY=")</f>
        <v>#VALUE!</v>
      </c>
      <c r="H13" t="e">
        <f>AND('Current Index'!I322,"AAAAAHjmfwc=")</f>
        <v>#VALUE!</v>
      </c>
      <c r="I13">
        <f>IF('Current Index'!323:323,"AAAAAHjmfwg=",0)</f>
        <v>0</v>
      </c>
      <c r="J13" t="e">
        <f>AND('Current Index'!A323,"AAAAAHjmfwk=")</f>
        <v>#VALUE!</v>
      </c>
      <c r="K13" t="e">
        <f>AND('Current Index'!#REF!,"AAAAAHjmfwo=")</f>
        <v>#REF!</v>
      </c>
      <c r="L13" t="e">
        <f>AND('Current Index'!B323,"AAAAAHjmfws=")</f>
        <v>#VALUE!</v>
      </c>
      <c r="M13" t="e">
        <f>AND('Current Index'!C323,"AAAAAHjmfww=")</f>
        <v>#VALUE!</v>
      </c>
      <c r="N13" t="e">
        <f>AND('Current Index'!D323,"AAAAAHjmfw0=")</f>
        <v>#VALUE!</v>
      </c>
      <c r="O13" t="e">
        <f>AND('Current Index'!E323,"AAAAAHjmfw4=")</f>
        <v>#VALUE!</v>
      </c>
      <c r="P13" t="e">
        <f>AND('Current Index'!F323,"AAAAAHjmfw8=")</f>
        <v>#VALUE!</v>
      </c>
      <c r="Q13" t="e">
        <f>AND('Current Index'!G323,"AAAAAHjmfxA=")</f>
        <v>#VALUE!</v>
      </c>
      <c r="R13" t="e">
        <f>AND('Current Index'!H323,"AAAAAHjmfxE=")</f>
        <v>#VALUE!</v>
      </c>
      <c r="S13" t="e">
        <f>AND('Current Index'!I323,"AAAAAHjmfxI=")</f>
        <v>#VALUE!</v>
      </c>
      <c r="T13">
        <f>IF('Current Index'!324:324,"AAAAAHjmfxM=",0)</f>
        <v>0</v>
      </c>
      <c r="U13" t="e">
        <f>AND('Current Index'!A324,"AAAAAHjmfxQ=")</f>
        <v>#VALUE!</v>
      </c>
      <c r="V13" t="e">
        <f>AND('Current Index'!#REF!,"AAAAAHjmfxU=")</f>
        <v>#REF!</v>
      </c>
      <c r="W13" t="e">
        <f>AND('Current Index'!B324,"AAAAAHjmfxY=")</f>
        <v>#VALUE!</v>
      </c>
      <c r="X13" t="e">
        <f>AND('Current Index'!C324,"AAAAAHjmfxc=")</f>
        <v>#VALUE!</v>
      </c>
      <c r="Y13" t="e">
        <f>AND('Current Index'!D324,"AAAAAHjmfxg=")</f>
        <v>#VALUE!</v>
      </c>
      <c r="Z13" t="e">
        <f>AND('Current Index'!E324,"AAAAAHjmfxk=")</f>
        <v>#VALUE!</v>
      </c>
      <c r="AA13" t="e">
        <f>AND('Current Index'!F324,"AAAAAHjmfxo=")</f>
        <v>#VALUE!</v>
      </c>
      <c r="AB13" t="e">
        <f>AND('Current Index'!G324,"AAAAAHjmfxs=")</f>
        <v>#VALUE!</v>
      </c>
      <c r="AC13" t="e">
        <f>AND('Current Index'!H324,"AAAAAHjmfxw=")</f>
        <v>#VALUE!</v>
      </c>
      <c r="AD13" t="e">
        <f>AND('Current Index'!I324,"AAAAAHjmfx0=")</f>
        <v>#VALUE!</v>
      </c>
      <c r="AE13">
        <f>IF('Current Index'!325:325,"AAAAAHjmfx4=",0)</f>
        <v>0</v>
      </c>
      <c r="AF13" t="e">
        <f>AND('Current Index'!A325,"AAAAAHjmfx8=")</f>
        <v>#VALUE!</v>
      </c>
      <c r="AG13" t="e">
        <f>AND('Current Index'!#REF!,"AAAAAHjmfyA=")</f>
        <v>#REF!</v>
      </c>
      <c r="AH13" t="e">
        <f>AND('Current Index'!B325,"AAAAAHjmfyE=")</f>
        <v>#VALUE!</v>
      </c>
      <c r="AI13" t="e">
        <f>AND('Current Index'!C325,"AAAAAHjmfyI=")</f>
        <v>#VALUE!</v>
      </c>
      <c r="AJ13" t="e">
        <f>AND('Current Index'!D325,"AAAAAHjmfyM=")</f>
        <v>#VALUE!</v>
      </c>
      <c r="AK13" t="e">
        <f>AND('Current Index'!E325,"AAAAAHjmfyQ=")</f>
        <v>#VALUE!</v>
      </c>
      <c r="AL13" t="e">
        <f>AND('Current Index'!F325,"AAAAAHjmfyU=")</f>
        <v>#VALUE!</v>
      </c>
      <c r="AM13" t="e">
        <f>AND('Current Index'!G325,"AAAAAHjmfyY=")</f>
        <v>#VALUE!</v>
      </c>
      <c r="AN13" t="e">
        <f>AND('Current Index'!H325,"AAAAAHjmfyc=")</f>
        <v>#VALUE!</v>
      </c>
      <c r="AO13" t="e">
        <f>AND('Current Index'!I325,"AAAAAHjmfyg=")</f>
        <v>#VALUE!</v>
      </c>
      <c r="AP13">
        <f>IF('Current Index'!326:326,"AAAAAHjmfyk=",0)</f>
        <v>0</v>
      </c>
      <c r="AQ13" t="e">
        <f>AND('Current Index'!A326,"AAAAAHjmfyo=")</f>
        <v>#VALUE!</v>
      </c>
      <c r="AR13" t="e">
        <f>AND('Current Index'!#REF!,"AAAAAHjmfys=")</f>
        <v>#REF!</v>
      </c>
      <c r="AS13" t="e">
        <f>AND('Current Index'!B326,"AAAAAHjmfyw=")</f>
        <v>#VALUE!</v>
      </c>
      <c r="AT13" t="e">
        <f>AND('Current Index'!C326,"AAAAAHjmfy0=")</f>
        <v>#VALUE!</v>
      </c>
      <c r="AU13" t="e">
        <f>AND('Current Index'!D326,"AAAAAHjmfy4=")</f>
        <v>#VALUE!</v>
      </c>
      <c r="AV13" t="e">
        <f>AND('Current Index'!E326,"AAAAAHjmfy8=")</f>
        <v>#VALUE!</v>
      </c>
      <c r="AW13" t="e">
        <f>AND('Current Index'!F326,"AAAAAHjmfzA=")</f>
        <v>#VALUE!</v>
      </c>
      <c r="AX13" t="e">
        <f>AND('Current Index'!G326,"AAAAAHjmfzE=")</f>
        <v>#VALUE!</v>
      </c>
      <c r="AY13" t="e">
        <f>AND('Current Index'!H326,"AAAAAHjmfzI=")</f>
        <v>#VALUE!</v>
      </c>
      <c r="AZ13" t="e">
        <f>AND('Current Index'!I326,"AAAAAHjmfzM=")</f>
        <v>#VALUE!</v>
      </c>
      <c r="BA13">
        <f>IF('Current Index'!327:327,"AAAAAHjmfzQ=",0)</f>
        <v>0</v>
      </c>
      <c r="BB13" t="e">
        <f>AND('Current Index'!A327,"AAAAAHjmfzU=")</f>
        <v>#VALUE!</v>
      </c>
      <c r="BC13" t="e">
        <f>AND('Current Index'!#REF!,"AAAAAHjmfzY=")</f>
        <v>#REF!</v>
      </c>
      <c r="BD13" t="e">
        <f>AND('Current Index'!B327,"AAAAAHjmfzc=")</f>
        <v>#VALUE!</v>
      </c>
      <c r="BE13" t="e">
        <f>AND('Current Index'!C327,"AAAAAHjmfzg=")</f>
        <v>#VALUE!</v>
      </c>
      <c r="BF13" t="e">
        <f>AND('Current Index'!D327,"AAAAAHjmfzk=")</f>
        <v>#VALUE!</v>
      </c>
      <c r="BG13" t="e">
        <f>AND('Current Index'!E327,"AAAAAHjmfzo=")</f>
        <v>#VALUE!</v>
      </c>
      <c r="BH13" t="e">
        <f>AND('Current Index'!F327,"AAAAAHjmfzs=")</f>
        <v>#VALUE!</v>
      </c>
      <c r="BI13" t="e">
        <f>AND('Current Index'!G327,"AAAAAHjmfzw=")</f>
        <v>#VALUE!</v>
      </c>
      <c r="BJ13" t="e">
        <f>AND('Current Index'!H327,"AAAAAHjmfz0=")</f>
        <v>#VALUE!</v>
      </c>
      <c r="BK13" t="e">
        <f>AND('Current Index'!I327,"AAAAAHjmfz4=")</f>
        <v>#VALUE!</v>
      </c>
      <c r="BL13">
        <f>IF('Current Index'!328:328,"AAAAAHjmfz8=",0)</f>
        <v>0</v>
      </c>
      <c r="BM13" t="e">
        <f>AND('Current Index'!A328,"AAAAAHjmf0A=")</f>
        <v>#VALUE!</v>
      </c>
      <c r="BN13" t="e">
        <f>AND('Current Index'!#REF!,"AAAAAHjmf0E=")</f>
        <v>#REF!</v>
      </c>
      <c r="BO13" t="e">
        <f>AND('Current Index'!B328,"AAAAAHjmf0I=")</f>
        <v>#VALUE!</v>
      </c>
      <c r="BP13" t="e">
        <f>AND('Current Index'!C328,"AAAAAHjmf0M=")</f>
        <v>#VALUE!</v>
      </c>
      <c r="BQ13" t="e">
        <f>AND('Current Index'!D328,"AAAAAHjmf0Q=")</f>
        <v>#VALUE!</v>
      </c>
      <c r="BR13" t="e">
        <f>AND('Current Index'!E328,"AAAAAHjmf0U=")</f>
        <v>#VALUE!</v>
      </c>
      <c r="BS13" t="e">
        <f>AND('Current Index'!F328,"AAAAAHjmf0Y=")</f>
        <v>#VALUE!</v>
      </c>
      <c r="BT13" t="e">
        <f>AND('Current Index'!G328,"AAAAAHjmf0c=")</f>
        <v>#VALUE!</v>
      </c>
      <c r="BU13" t="e">
        <f>AND('Current Index'!H328,"AAAAAHjmf0g=")</f>
        <v>#VALUE!</v>
      </c>
      <c r="BV13" t="e">
        <f>AND('Current Index'!I328,"AAAAAHjmf0k=")</f>
        <v>#VALUE!</v>
      </c>
      <c r="BW13">
        <f>IF('Current Index'!329:329,"AAAAAHjmf0o=",0)</f>
        <v>0</v>
      </c>
      <c r="BX13" t="e">
        <f>AND('Current Index'!A329,"AAAAAHjmf0s=")</f>
        <v>#VALUE!</v>
      </c>
      <c r="BY13" t="e">
        <f>AND('Current Index'!#REF!,"AAAAAHjmf0w=")</f>
        <v>#REF!</v>
      </c>
      <c r="BZ13" t="e">
        <f>AND('Current Index'!B329,"AAAAAHjmf00=")</f>
        <v>#VALUE!</v>
      </c>
      <c r="CA13" t="e">
        <f>AND('Current Index'!C329,"AAAAAHjmf04=")</f>
        <v>#VALUE!</v>
      </c>
      <c r="CB13" t="e">
        <f>AND('Current Index'!D329,"AAAAAHjmf08=")</f>
        <v>#VALUE!</v>
      </c>
      <c r="CC13" t="e">
        <f>AND('Current Index'!E329,"AAAAAHjmf1A=")</f>
        <v>#VALUE!</v>
      </c>
      <c r="CD13" t="e">
        <f>AND('Current Index'!F329,"AAAAAHjmf1E=")</f>
        <v>#VALUE!</v>
      </c>
      <c r="CE13" t="e">
        <f>AND('Current Index'!G329,"AAAAAHjmf1I=")</f>
        <v>#VALUE!</v>
      </c>
      <c r="CF13" t="e">
        <f>AND('Current Index'!H329,"AAAAAHjmf1M=")</f>
        <v>#VALUE!</v>
      </c>
      <c r="CG13" t="e">
        <f>AND('Current Index'!I329,"AAAAAHjmf1Q=")</f>
        <v>#VALUE!</v>
      </c>
      <c r="CH13" t="e">
        <f>IF('Current Index'!#REF!,"AAAAAHjmf1U=",0)</f>
        <v>#REF!</v>
      </c>
      <c r="CI13" t="e">
        <f>AND('Current Index'!#REF!,"AAAAAHjmf1Y=")</f>
        <v>#REF!</v>
      </c>
      <c r="CJ13" t="e">
        <f>AND('Current Index'!#REF!,"AAAAAHjmf1c=")</f>
        <v>#REF!</v>
      </c>
      <c r="CK13" t="e">
        <f>AND('Current Index'!#REF!,"AAAAAHjmf1g=")</f>
        <v>#REF!</v>
      </c>
      <c r="CL13" t="e">
        <f>AND('Current Index'!#REF!,"AAAAAHjmf1k=")</f>
        <v>#REF!</v>
      </c>
      <c r="CM13" t="e">
        <f>AND('Current Index'!#REF!,"AAAAAHjmf1o=")</f>
        <v>#REF!</v>
      </c>
      <c r="CN13" t="e">
        <f>AND('Current Index'!#REF!,"AAAAAHjmf1s=")</f>
        <v>#REF!</v>
      </c>
      <c r="CO13" t="e">
        <f>AND('Current Index'!#REF!,"AAAAAHjmf1w=")</f>
        <v>#REF!</v>
      </c>
      <c r="CP13" t="e">
        <f>AND('Current Index'!#REF!,"AAAAAHjmf10=")</f>
        <v>#REF!</v>
      </c>
      <c r="CQ13" t="e">
        <f>AND('Current Index'!#REF!,"AAAAAHjmf14=")</f>
        <v>#REF!</v>
      </c>
      <c r="CR13" t="e">
        <f>AND('Current Index'!#REF!,"AAAAAHjmf18=")</f>
        <v>#REF!</v>
      </c>
      <c r="CS13">
        <f>IF('Current Index'!332:332,"AAAAAHjmf2A=",0)</f>
        <v>0</v>
      </c>
      <c r="CT13" t="e">
        <f>AND('Current Index'!A332,"AAAAAHjmf2E=")</f>
        <v>#VALUE!</v>
      </c>
      <c r="CU13" t="e">
        <f>AND('Current Index'!#REF!,"AAAAAHjmf2I=")</f>
        <v>#REF!</v>
      </c>
      <c r="CV13" t="e">
        <f>AND('Current Index'!B332,"AAAAAHjmf2M=")</f>
        <v>#VALUE!</v>
      </c>
      <c r="CW13" t="e">
        <f>AND('Current Index'!C332,"AAAAAHjmf2Q=")</f>
        <v>#VALUE!</v>
      </c>
      <c r="CX13" t="e">
        <f>AND('Current Index'!D332,"AAAAAHjmf2U=")</f>
        <v>#VALUE!</v>
      </c>
      <c r="CY13" t="e">
        <f>AND('Current Index'!E332,"AAAAAHjmf2Y=")</f>
        <v>#VALUE!</v>
      </c>
      <c r="CZ13" t="e">
        <f>AND('Current Index'!F332,"AAAAAHjmf2c=")</f>
        <v>#VALUE!</v>
      </c>
      <c r="DA13" t="e">
        <f>AND('Current Index'!G332,"AAAAAHjmf2g=")</f>
        <v>#VALUE!</v>
      </c>
      <c r="DB13" t="e">
        <f>AND('Current Index'!H332,"AAAAAHjmf2k=")</f>
        <v>#VALUE!</v>
      </c>
      <c r="DC13" t="e">
        <f>AND('Current Index'!I332,"AAAAAHjmf2o=")</f>
        <v>#VALUE!</v>
      </c>
      <c r="DD13">
        <f>IF('Current Index'!333:333,"AAAAAHjmf2s=",0)</f>
        <v>0</v>
      </c>
      <c r="DE13" t="e">
        <f>AND('Current Index'!A333,"AAAAAHjmf2w=")</f>
        <v>#VALUE!</v>
      </c>
      <c r="DF13" t="e">
        <f>AND('Current Index'!#REF!,"AAAAAHjmf20=")</f>
        <v>#REF!</v>
      </c>
      <c r="DG13" t="e">
        <f>AND('Current Index'!B333,"AAAAAHjmf24=")</f>
        <v>#VALUE!</v>
      </c>
      <c r="DH13" t="e">
        <f>AND('Current Index'!C333,"AAAAAHjmf28=")</f>
        <v>#VALUE!</v>
      </c>
      <c r="DI13" t="e">
        <f>AND('Current Index'!D333,"AAAAAHjmf3A=")</f>
        <v>#VALUE!</v>
      </c>
      <c r="DJ13" t="e">
        <f>AND('Current Index'!E333,"AAAAAHjmf3E=")</f>
        <v>#VALUE!</v>
      </c>
      <c r="DK13" t="e">
        <f>AND('Current Index'!F333,"AAAAAHjmf3I=")</f>
        <v>#VALUE!</v>
      </c>
      <c r="DL13" t="e">
        <f>AND('Current Index'!G333,"AAAAAHjmf3M=")</f>
        <v>#VALUE!</v>
      </c>
      <c r="DM13" t="e">
        <f>AND('Current Index'!H333,"AAAAAHjmf3Q=")</f>
        <v>#VALUE!</v>
      </c>
      <c r="DN13" t="e">
        <f>AND('Current Index'!I333,"AAAAAHjmf3U=")</f>
        <v>#VALUE!</v>
      </c>
      <c r="DO13">
        <f>IF('Current Index'!334:334,"AAAAAHjmf3Y=",0)</f>
        <v>0</v>
      </c>
      <c r="DP13" t="e">
        <f>AND('Current Index'!A334,"AAAAAHjmf3c=")</f>
        <v>#VALUE!</v>
      </c>
      <c r="DQ13" t="e">
        <f>AND('Current Index'!#REF!,"AAAAAHjmf3g=")</f>
        <v>#REF!</v>
      </c>
      <c r="DR13" t="e">
        <f>AND('Current Index'!B334,"AAAAAHjmf3k=")</f>
        <v>#VALUE!</v>
      </c>
      <c r="DS13" t="e">
        <f>AND('Current Index'!C334,"AAAAAHjmf3o=")</f>
        <v>#VALUE!</v>
      </c>
      <c r="DT13" t="e">
        <f>AND('Current Index'!D334,"AAAAAHjmf3s=")</f>
        <v>#VALUE!</v>
      </c>
      <c r="DU13" t="e">
        <f>AND('Current Index'!E334,"AAAAAHjmf3w=")</f>
        <v>#VALUE!</v>
      </c>
      <c r="DV13" t="e">
        <f>AND('Current Index'!F334,"AAAAAHjmf30=")</f>
        <v>#VALUE!</v>
      </c>
      <c r="DW13" t="e">
        <f>AND('Current Index'!G334,"AAAAAHjmf34=")</f>
        <v>#VALUE!</v>
      </c>
      <c r="DX13" t="e">
        <f>AND('Current Index'!H334,"AAAAAHjmf38=")</f>
        <v>#VALUE!</v>
      </c>
      <c r="DY13" t="e">
        <f>AND('Current Index'!I334,"AAAAAHjmf4A=")</f>
        <v>#VALUE!</v>
      </c>
      <c r="DZ13">
        <f>IF('Current Index'!335:335,"AAAAAHjmf4E=",0)</f>
        <v>0</v>
      </c>
      <c r="EA13" t="e">
        <f>AND('Current Index'!A335,"AAAAAHjmf4I=")</f>
        <v>#VALUE!</v>
      </c>
      <c r="EB13" t="e">
        <f>AND('Current Index'!#REF!,"AAAAAHjmf4M=")</f>
        <v>#REF!</v>
      </c>
      <c r="EC13" t="e">
        <f>AND('Current Index'!B335,"AAAAAHjmf4Q=")</f>
        <v>#VALUE!</v>
      </c>
      <c r="ED13" t="e">
        <f>AND('Current Index'!C335,"AAAAAHjmf4U=")</f>
        <v>#VALUE!</v>
      </c>
      <c r="EE13" t="e">
        <f>AND('Current Index'!D335,"AAAAAHjmf4Y=")</f>
        <v>#VALUE!</v>
      </c>
      <c r="EF13" t="e">
        <f>AND('Current Index'!E335,"AAAAAHjmf4c=")</f>
        <v>#VALUE!</v>
      </c>
      <c r="EG13" t="e">
        <f>AND('Current Index'!F335,"AAAAAHjmf4g=")</f>
        <v>#VALUE!</v>
      </c>
      <c r="EH13" t="e">
        <f>AND('Current Index'!G335,"AAAAAHjmf4k=")</f>
        <v>#VALUE!</v>
      </c>
      <c r="EI13" t="e">
        <f>AND('Current Index'!H335,"AAAAAHjmf4o=")</f>
        <v>#VALUE!</v>
      </c>
      <c r="EJ13" t="e">
        <f>AND('Current Index'!I335,"AAAAAHjmf4s=")</f>
        <v>#VALUE!</v>
      </c>
      <c r="EK13">
        <f>IF('Current Index'!336:336,"AAAAAHjmf4w=",0)</f>
        <v>0</v>
      </c>
      <c r="EL13" t="e">
        <f>AND('Current Index'!A336,"AAAAAHjmf40=")</f>
        <v>#VALUE!</v>
      </c>
      <c r="EM13" t="e">
        <f>AND('Current Index'!#REF!,"AAAAAHjmf44=")</f>
        <v>#REF!</v>
      </c>
      <c r="EN13" t="e">
        <f>AND('Current Index'!B336,"AAAAAHjmf48=")</f>
        <v>#VALUE!</v>
      </c>
      <c r="EO13" t="e">
        <f>AND('Current Index'!C336,"AAAAAHjmf5A=")</f>
        <v>#VALUE!</v>
      </c>
      <c r="EP13" t="e">
        <f>AND('Current Index'!D336,"AAAAAHjmf5E=")</f>
        <v>#VALUE!</v>
      </c>
      <c r="EQ13" t="e">
        <f>AND('Current Index'!E336,"AAAAAHjmf5I=")</f>
        <v>#VALUE!</v>
      </c>
      <c r="ER13" t="e">
        <f>AND('Current Index'!F336,"AAAAAHjmf5M=")</f>
        <v>#VALUE!</v>
      </c>
      <c r="ES13" t="e">
        <f>AND('Current Index'!G336,"AAAAAHjmf5Q=")</f>
        <v>#VALUE!</v>
      </c>
      <c r="ET13" t="e">
        <f>AND('Current Index'!H336,"AAAAAHjmf5U=")</f>
        <v>#VALUE!</v>
      </c>
      <c r="EU13" t="e">
        <f>AND('Current Index'!I336,"AAAAAHjmf5Y=")</f>
        <v>#VALUE!</v>
      </c>
      <c r="EV13">
        <f>IF('Current Index'!337:337,"AAAAAHjmf5c=",0)</f>
        <v>0</v>
      </c>
      <c r="EW13" t="e">
        <f>AND('Current Index'!A337,"AAAAAHjmf5g=")</f>
        <v>#VALUE!</v>
      </c>
      <c r="EX13" t="e">
        <f>AND('Current Index'!#REF!,"AAAAAHjmf5k=")</f>
        <v>#REF!</v>
      </c>
      <c r="EY13" t="e">
        <f>AND('Current Index'!B337,"AAAAAHjmf5o=")</f>
        <v>#VALUE!</v>
      </c>
      <c r="EZ13" t="e">
        <f>AND('Current Index'!C337,"AAAAAHjmf5s=")</f>
        <v>#VALUE!</v>
      </c>
      <c r="FA13" t="e">
        <f>AND('Current Index'!D337,"AAAAAHjmf5w=")</f>
        <v>#VALUE!</v>
      </c>
      <c r="FB13" t="e">
        <f>AND('Current Index'!E337,"AAAAAHjmf50=")</f>
        <v>#VALUE!</v>
      </c>
      <c r="FC13" t="e">
        <f>AND('Current Index'!F337,"AAAAAHjmf54=")</f>
        <v>#VALUE!</v>
      </c>
      <c r="FD13" t="e">
        <f>AND('Current Index'!G337,"AAAAAHjmf58=")</f>
        <v>#VALUE!</v>
      </c>
      <c r="FE13" t="e">
        <f>AND('Current Index'!H337,"AAAAAHjmf6A=")</f>
        <v>#VALUE!</v>
      </c>
      <c r="FF13" t="e">
        <f>AND('Current Index'!I337,"AAAAAHjmf6E=")</f>
        <v>#VALUE!</v>
      </c>
      <c r="FG13">
        <f>IF('Current Index'!338:338,"AAAAAHjmf6I=",0)</f>
        <v>0</v>
      </c>
      <c r="FH13" t="e">
        <f>AND('Current Index'!A338,"AAAAAHjmf6M=")</f>
        <v>#VALUE!</v>
      </c>
      <c r="FI13" t="e">
        <f>AND('Current Index'!#REF!,"AAAAAHjmf6Q=")</f>
        <v>#REF!</v>
      </c>
      <c r="FJ13" t="e">
        <f>AND('Current Index'!B338,"AAAAAHjmf6U=")</f>
        <v>#VALUE!</v>
      </c>
      <c r="FK13" t="e">
        <f>AND('Current Index'!C338,"AAAAAHjmf6Y=")</f>
        <v>#VALUE!</v>
      </c>
      <c r="FL13" t="e">
        <f>AND('Current Index'!D338,"AAAAAHjmf6c=")</f>
        <v>#VALUE!</v>
      </c>
      <c r="FM13" t="e">
        <f>AND('Current Index'!E338,"AAAAAHjmf6g=")</f>
        <v>#VALUE!</v>
      </c>
      <c r="FN13" t="e">
        <f>AND('Current Index'!F338,"AAAAAHjmf6k=")</f>
        <v>#VALUE!</v>
      </c>
      <c r="FO13" t="e">
        <f>AND('Current Index'!G338,"AAAAAHjmf6o=")</f>
        <v>#VALUE!</v>
      </c>
      <c r="FP13" t="e">
        <f>AND('Current Index'!H338,"AAAAAHjmf6s=")</f>
        <v>#VALUE!</v>
      </c>
      <c r="FQ13" t="e">
        <f>AND('Current Index'!I338,"AAAAAHjmf6w=")</f>
        <v>#VALUE!</v>
      </c>
      <c r="FR13">
        <f>IF('Current Index'!339:339,"AAAAAHjmf60=",0)</f>
        <v>0</v>
      </c>
      <c r="FS13" t="e">
        <f>AND('Current Index'!A339,"AAAAAHjmf64=")</f>
        <v>#VALUE!</v>
      </c>
      <c r="FT13" t="e">
        <f>AND('Current Index'!#REF!,"AAAAAHjmf68=")</f>
        <v>#REF!</v>
      </c>
      <c r="FU13" t="e">
        <f>AND('Current Index'!B339,"AAAAAHjmf7A=")</f>
        <v>#VALUE!</v>
      </c>
      <c r="FV13" t="e">
        <f>AND('Current Index'!C339,"AAAAAHjmf7E=")</f>
        <v>#VALUE!</v>
      </c>
      <c r="FW13" t="e">
        <f>AND('Current Index'!D339,"AAAAAHjmf7I=")</f>
        <v>#VALUE!</v>
      </c>
      <c r="FX13" t="e">
        <f>AND('Current Index'!E339,"AAAAAHjmf7M=")</f>
        <v>#VALUE!</v>
      </c>
      <c r="FY13" t="e">
        <f>AND('Current Index'!F339,"AAAAAHjmf7Q=")</f>
        <v>#VALUE!</v>
      </c>
      <c r="FZ13" t="e">
        <f>AND('Current Index'!G339,"AAAAAHjmf7U=")</f>
        <v>#VALUE!</v>
      </c>
      <c r="GA13" t="e">
        <f>AND('Current Index'!H339,"AAAAAHjmf7Y=")</f>
        <v>#VALUE!</v>
      </c>
      <c r="GB13" t="e">
        <f>AND('Current Index'!I339,"AAAAAHjmf7c=")</f>
        <v>#VALUE!</v>
      </c>
      <c r="GC13">
        <f>IF('Current Index'!340:340,"AAAAAHjmf7g=",0)</f>
        <v>0</v>
      </c>
      <c r="GD13" t="e">
        <f>AND('Current Index'!A340,"AAAAAHjmf7k=")</f>
        <v>#VALUE!</v>
      </c>
      <c r="GE13" t="e">
        <f>AND('Current Index'!#REF!,"AAAAAHjmf7o=")</f>
        <v>#REF!</v>
      </c>
      <c r="GF13" t="e">
        <f>AND('Current Index'!B340,"AAAAAHjmf7s=")</f>
        <v>#VALUE!</v>
      </c>
      <c r="GG13" t="e">
        <f>AND('Current Index'!C340,"AAAAAHjmf7w=")</f>
        <v>#VALUE!</v>
      </c>
      <c r="GH13" t="e">
        <f>AND('Current Index'!D340,"AAAAAHjmf70=")</f>
        <v>#VALUE!</v>
      </c>
      <c r="GI13" t="e">
        <f>AND('Current Index'!E340,"AAAAAHjmf74=")</f>
        <v>#VALUE!</v>
      </c>
      <c r="GJ13" t="e">
        <f>AND('Current Index'!F340,"AAAAAHjmf78=")</f>
        <v>#VALUE!</v>
      </c>
      <c r="GK13" t="e">
        <f>AND('Current Index'!G340,"AAAAAHjmf8A=")</f>
        <v>#VALUE!</v>
      </c>
      <c r="GL13" t="e">
        <f>AND('Current Index'!H340,"AAAAAHjmf8E=")</f>
        <v>#VALUE!</v>
      </c>
      <c r="GM13" t="e">
        <f>AND('Current Index'!I340,"AAAAAHjmf8I=")</f>
        <v>#VALUE!</v>
      </c>
      <c r="GN13">
        <f>IF('Current Index'!341:341,"AAAAAHjmf8M=",0)</f>
        <v>0</v>
      </c>
      <c r="GO13" t="e">
        <f>AND('Current Index'!A341,"AAAAAHjmf8Q=")</f>
        <v>#VALUE!</v>
      </c>
      <c r="GP13" t="e">
        <f>AND('Current Index'!#REF!,"AAAAAHjmf8U=")</f>
        <v>#REF!</v>
      </c>
      <c r="GQ13" t="e">
        <f>AND('Current Index'!B341,"AAAAAHjmf8Y=")</f>
        <v>#VALUE!</v>
      </c>
      <c r="GR13" t="e">
        <f>AND('Current Index'!C341,"AAAAAHjmf8c=")</f>
        <v>#VALUE!</v>
      </c>
      <c r="GS13" t="e">
        <f>AND('Current Index'!D341,"AAAAAHjmf8g=")</f>
        <v>#VALUE!</v>
      </c>
      <c r="GT13" t="e">
        <f>AND('Current Index'!E341,"AAAAAHjmf8k=")</f>
        <v>#VALUE!</v>
      </c>
      <c r="GU13" t="e">
        <f>AND('Current Index'!F341,"AAAAAHjmf8o=")</f>
        <v>#VALUE!</v>
      </c>
      <c r="GV13" t="e">
        <f>AND('Current Index'!G341,"AAAAAHjmf8s=")</f>
        <v>#VALUE!</v>
      </c>
      <c r="GW13" t="e">
        <f>AND('Current Index'!H341,"AAAAAHjmf8w=")</f>
        <v>#VALUE!</v>
      </c>
      <c r="GX13" t="e">
        <f>AND('Current Index'!I341,"AAAAAHjmf80=")</f>
        <v>#VALUE!</v>
      </c>
      <c r="GY13">
        <f>IF('Current Index'!342:342,"AAAAAHjmf84=",0)</f>
        <v>0</v>
      </c>
      <c r="GZ13" t="e">
        <f>AND('Current Index'!A342,"AAAAAHjmf88=")</f>
        <v>#VALUE!</v>
      </c>
      <c r="HA13" t="e">
        <f>AND('Current Index'!#REF!,"AAAAAHjmf9A=")</f>
        <v>#REF!</v>
      </c>
      <c r="HB13" t="e">
        <f>AND('Current Index'!B342,"AAAAAHjmf9E=")</f>
        <v>#VALUE!</v>
      </c>
      <c r="HC13" t="e">
        <f>AND('Current Index'!C342,"AAAAAHjmf9I=")</f>
        <v>#VALUE!</v>
      </c>
      <c r="HD13" t="e">
        <f>AND('Current Index'!D342,"AAAAAHjmf9M=")</f>
        <v>#VALUE!</v>
      </c>
      <c r="HE13" t="e">
        <f>AND('Current Index'!E342,"AAAAAHjmf9Q=")</f>
        <v>#VALUE!</v>
      </c>
      <c r="HF13" t="e">
        <f>AND('Current Index'!F342,"AAAAAHjmf9U=")</f>
        <v>#VALUE!</v>
      </c>
      <c r="HG13" t="e">
        <f>AND('Current Index'!G342,"AAAAAHjmf9Y=")</f>
        <v>#VALUE!</v>
      </c>
      <c r="HH13" t="e">
        <f>AND('Current Index'!H342,"AAAAAHjmf9c=")</f>
        <v>#VALUE!</v>
      </c>
      <c r="HI13" t="e">
        <f>AND('Current Index'!I342,"AAAAAHjmf9g=")</f>
        <v>#VALUE!</v>
      </c>
      <c r="HJ13" t="e">
        <f>IF('Current Index'!#REF!,"AAAAAHjmf9k=",0)</f>
        <v>#REF!</v>
      </c>
      <c r="HK13" t="e">
        <f>AND('Current Index'!#REF!,"AAAAAHjmf9o=")</f>
        <v>#REF!</v>
      </c>
      <c r="HL13" t="e">
        <f>AND('Current Index'!#REF!,"AAAAAHjmf9s=")</f>
        <v>#REF!</v>
      </c>
      <c r="HM13" t="e">
        <f>AND('Current Index'!#REF!,"AAAAAHjmf9w=")</f>
        <v>#REF!</v>
      </c>
      <c r="HN13" t="e">
        <f>AND('Current Index'!#REF!,"AAAAAHjmf90=")</f>
        <v>#REF!</v>
      </c>
      <c r="HO13" t="e">
        <f>AND('Current Index'!#REF!,"AAAAAHjmf94=")</f>
        <v>#REF!</v>
      </c>
      <c r="HP13" t="e">
        <f>AND('Current Index'!#REF!,"AAAAAHjmf98=")</f>
        <v>#REF!</v>
      </c>
      <c r="HQ13" t="e">
        <f>AND('Current Index'!#REF!,"AAAAAHjmf+A=")</f>
        <v>#REF!</v>
      </c>
      <c r="HR13" t="e">
        <f>AND('Current Index'!#REF!,"AAAAAHjmf+E=")</f>
        <v>#REF!</v>
      </c>
      <c r="HS13" t="e">
        <f>AND('Current Index'!#REF!,"AAAAAHjmf+I=")</f>
        <v>#REF!</v>
      </c>
      <c r="HT13" t="e">
        <f>AND('Current Index'!#REF!,"AAAAAHjmf+M=")</f>
        <v>#REF!</v>
      </c>
      <c r="HU13">
        <f>IF('Current Index'!343:343,"AAAAAHjmf+Q=",0)</f>
        <v>0</v>
      </c>
      <c r="HV13" t="e">
        <f>AND('Current Index'!A343,"AAAAAHjmf+U=")</f>
        <v>#VALUE!</v>
      </c>
      <c r="HW13" t="e">
        <f>AND('Current Index'!#REF!,"AAAAAHjmf+Y=")</f>
        <v>#REF!</v>
      </c>
      <c r="HX13" t="e">
        <f>AND('Current Index'!B343,"AAAAAHjmf+c=")</f>
        <v>#VALUE!</v>
      </c>
      <c r="HY13" t="e">
        <f>AND('Current Index'!C343,"AAAAAHjmf+g=")</f>
        <v>#VALUE!</v>
      </c>
      <c r="HZ13" t="e">
        <f>AND('Current Index'!D343,"AAAAAHjmf+k=")</f>
        <v>#VALUE!</v>
      </c>
      <c r="IA13" t="e">
        <f>AND('Current Index'!E343,"AAAAAHjmf+o=")</f>
        <v>#VALUE!</v>
      </c>
      <c r="IB13" t="e">
        <f>AND('Current Index'!F343,"AAAAAHjmf+s=")</f>
        <v>#VALUE!</v>
      </c>
      <c r="IC13" t="e">
        <f>AND('Current Index'!G343,"AAAAAHjmf+w=")</f>
        <v>#VALUE!</v>
      </c>
      <c r="ID13" t="e">
        <f>AND('Current Index'!H343,"AAAAAHjmf+0=")</f>
        <v>#VALUE!</v>
      </c>
      <c r="IE13" t="e">
        <f>AND('Current Index'!I343,"AAAAAHjmf+4=")</f>
        <v>#VALUE!</v>
      </c>
      <c r="IF13">
        <f>IF('Current Index'!344:344,"AAAAAHjmf+8=",0)</f>
        <v>0</v>
      </c>
      <c r="IG13" t="e">
        <f>AND('Current Index'!A344,"AAAAAHjmf/A=")</f>
        <v>#VALUE!</v>
      </c>
      <c r="IH13" t="e">
        <f>AND('Current Index'!#REF!,"AAAAAHjmf/E=")</f>
        <v>#REF!</v>
      </c>
      <c r="II13" t="e">
        <f>AND('Current Index'!B344,"AAAAAHjmf/I=")</f>
        <v>#VALUE!</v>
      </c>
      <c r="IJ13" t="e">
        <f>AND('Current Index'!C344,"AAAAAHjmf/M=")</f>
        <v>#VALUE!</v>
      </c>
      <c r="IK13" t="e">
        <f>AND('Current Index'!D344,"AAAAAHjmf/Q=")</f>
        <v>#VALUE!</v>
      </c>
      <c r="IL13" t="e">
        <f>AND('Current Index'!E344,"AAAAAHjmf/U=")</f>
        <v>#VALUE!</v>
      </c>
      <c r="IM13" t="e">
        <f>AND('Current Index'!F344,"AAAAAHjmf/Y=")</f>
        <v>#VALUE!</v>
      </c>
      <c r="IN13" t="e">
        <f>AND('Current Index'!G344,"AAAAAHjmf/c=")</f>
        <v>#VALUE!</v>
      </c>
      <c r="IO13" t="e">
        <f>AND('Current Index'!H344,"AAAAAHjmf/g=")</f>
        <v>#VALUE!</v>
      </c>
      <c r="IP13" t="e">
        <f>AND('Current Index'!I344,"AAAAAHjmf/k=")</f>
        <v>#VALUE!</v>
      </c>
      <c r="IQ13">
        <f>IF('Current Index'!345:345,"AAAAAHjmf/o=",0)</f>
        <v>0</v>
      </c>
      <c r="IR13" t="e">
        <f>AND('Current Index'!A345,"AAAAAHjmf/s=")</f>
        <v>#VALUE!</v>
      </c>
      <c r="IS13" t="e">
        <f>AND('Current Index'!#REF!,"AAAAAHjmf/w=")</f>
        <v>#REF!</v>
      </c>
      <c r="IT13" t="e">
        <f>AND('Current Index'!B345,"AAAAAHjmf/0=")</f>
        <v>#VALUE!</v>
      </c>
      <c r="IU13" t="e">
        <f>AND('Current Index'!C345,"AAAAAHjmf/4=")</f>
        <v>#VALUE!</v>
      </c>
      <c r="IV13" t="e">
        <f>AND('Current Index'!D345,"AAAAAHjmf/8=")</f>
        <v>#VALUE!</v>
      </c>
    </row>
    <row r="14" spans="1:256" x14ac:dyDescent="0.25">
      <c r="A14" t="e">
        <f>AND('Current Index'!E345,"AAAAAB9v9gA=")</f>
        <v>#VALUE!</v>
      </c>
      <c r="B14" t="e">
        <f>AND('Current Index'!F345,"AAAAAB9v9gE=")</f>
        <v>#VALUE!</v>
      </c>
      <c r="C14" t="e">
        <f>AND('Current Index'!G345,"AAAAAB9v9gI=")</f>
        <v>#VALUE!</v>
      </c>
      <c r="D14" t="e">
        <f>AND('Current Index'!H345,"AAAAAB9v9gM=")</f>
        <v>#VALUE!</v>
      </c>
      <c r="E14" t="e">
        <f>AND('Current Index'!I345,"AAAAAB9v9gQ=")</f>
        <v>#VALUE!</v>
      </c>
      <c r="F14" t="e">
        <f>IF('Current Index'!#REF!,"AAAAAB9v9gU=",0)</f>
        <v>#REF!</v>
      </c>
      <c r="G14" t="e">
        <f>AND('Current Index'!#REF!,"AAAAAB9v9gY=")</f>
        <v>#REF!</v>
      </c>
      <c r="H14" t="e">
        <f>AND('Current Index'!#REF!,"AAAAAB9v9gc=")</f>
        <v>#REF!</v>
      </c>
      <c r="I14" t="e">
        <f>AND('Current Index'!#REF!,"AAAAAB9v9gg=")</f>
        <v>#REF!</v>
      </c>
      <c r="J14" t="e">
        <f>AND('Current Index'!#REF!,"AAAAAB9v9gk=")</f>
        <v>#REF!</v>
      </c>
      <c r="K14" t="e">
        <f>AND('Current Index'!#REF!,"AAAAAB9v9go=")</f>
        <v>#REF!</v>
      </c>
      <c r="L14" t="e">
        <f>AND('Current Index'!#REF!,"AAAAAB9v9gs=")</f>
        <v>#REF!</v>
      </c>
      <c r="M14" t="e">
        <f>AND('Current Index'!#REF!,"AAAAAB9v9gw=")</f>
        <v>#REF!</v>
      </c>
      <c r="N14" t="e">
        <f>AND('Current Index'!#REF!,"AAAAAB9v9g0=")</f>
        <v>#REF!</v>
      </c>
      <c r="O14" t="e">
        <f>AND('Current Index'!#REF!,"AAAAAB9v9g4=")</f>
        <v>#REF!</v>
      </c>
      <c r="P14" t="e">
        <f>AND('Current Index'!#REF!,"AAAAAB9v9g8=")</f>
        <v>#REF!</v>
      </c>
      <c r="Q14">
        <f>IF('Current Index'!346:346,"AAAAAB9v9hA=",0)</f>
        <v>0</v>
      </c>
      <c r="R14" t="e">
        <f>AND('Current Index'!A346,"AAAAAB9v9hE=")</f>
        <v>#VALUE!</v>
      </c>
      <c r="S14" t="e">
        <f>AND('Current Index'!#REF!,"AAAAAB9v9hI=")</f>
        <v>#REF!</v>
      </c>
      <c r="T14" t="e">
        <f>AND('Current Index'!B346,"AAAAAB9v9hM=")</f>
        <v>#VALUE!</v>
      </c>
      <c r="U14" t="e">
        <f>AND('Current Index'!C346,"AAAAAB9v9hQ=")</f>
        <v>#VALUE!</v>
      </c>
      <c r="V14" t="e">
        <f>AND('Current Index'!D346,"AAAAAB9v9hU=")</f>
        <v>#VALUE!</v>
      </c>
      <c r="W14" t="e">
        <f>AND('Current Index'!E346,"AAAAAB9v9hY=")</f>
        <v>#VALUE!</v>
      </c>
      <c r="X14" t="e">
        <f>AND('Current Index'!F346,"AAAAAB9v9hc=")</f>
        <v>#VALUE!</v>
      </c>
      <c r="Y14" t="e">
        <f>AND('Current Index'!G346,"AAAAAB9v9hg=")</f>
        <v>#VALUE!</v>
      </c>
      <c r="Z14" t="e">
        <f>AND('Current Index'!H346,"AAAAAB9v9hk=")</f>
        <v>#VALUE!</v>
      </c>
      <c r="AA14" t="e">
        <f>AND('Current Index'!I346,"AAAAAB9v9ho=")</f>
        <v>#VALUE!</v>
      </c>
      <c r="AB14">
        <f>IF('Current Index'!347:347,"AAAAAB9v9hs=",0)</f>
        <v>0</v>
      </c>
      <c r="AC14" t="e">
        <f>AND('Current Index'!A347,"AAAAAB9v9hw=")</f>
        <v>#VALUE!</v>
      </c>
      <c r="AD14" t="e">
        <f>AND('Current Index'!#REF!,"AAAAAB9v9h0=")</f>
        <v>#REF!</v>
      </c>
      <c r="AE14" t="e">
        <f>AND('Current Index'!B347,"AAAAAB9v9h4=")</f>
        <v>#VALUE!</v>
      </c>
      <c r="AF14" t="e">
        <f>AND('Current Index'!C347,"AAAAAB9v9h8=")</f>
        <v>#VALUE!</v>
      </c>
      <c r="AG14" t="e">
        <f>AND('Current Index'!D347,"AAAAAB9v9iA=")</f>
        <v>#VALUE!</v>
      </c>
      <c r="AH14" t="e">
        <f>AND('Current Index'!E347,"AAAAAB9v9iE=")</f>
        <v>#VALUE!</v>
      </c>
      <c r="AI14" t="e">
        <f>AND('Current Index'!F347,"AAAAAB9v9iI=")</f>
        <v>#VALUE!</v>
      </c>
      <c r="AJ14" t="e">
        <f>AND('Current Index'!G347,"AAAAAB9v9iM=")</f>
        <v>#VALUE!</v>
      </c>
      <c r="AK14" t="e">
        <f>AND('Current Index'!H347,"AAAAAB9v9iQ=")</f>
        <v>#VALUE!</v>
      </c>
      <c r="AL14" t="e">
        <f>AND('Current Index'!I347,"AAAAAB9v9iU=")</f>
        <v>#VALUE!</v>
      </c>
      <c r="AM14">
        <f>IF('Current Index'!348:348,"AAAAAB9v9iY=",0)</f>
        <v>0</v>
      </c>
      <c r="AN14" t="e">
        <f>AND('Current Index'!A348,"AAAAAB9v9ic=")</f>
        <v>#VALUE!</v>
      </c>
      <c r="AO14" t="e">
        <f>AND('Current Index'!#REF!,"AAAAAB9v9ig=")</f>
        <v>#REF!</v>
      </c>
      <c r="AP14" t="e">
        <f>AND('Current Index'!B348,"AAAAAB9v9ik=")</f>
        <v>#VALUE!</v>
      </c>
      <c r="AQ14" t="e">
        <f>AND('Current Index'!C348,"AAAAAB9v9io=")</f>
        <v>#VALUE!</v>
      </c>
      <c r="AR14" t="e">
        <f>AND('Current Index'!D348,"AAAAAB9v9is=")</f>
        <v>#VALUE!</v>
      </c>
      <c r="AS14" t="e">
        <f>AND('Current Index'!E348,"AAAAAB9v9iw=")</f>
        <v>#VALUE!</v>
      </c>
      <c r="AT14" t="e">
        <f>AND('Current Index'!F348,"AAAAAB9v9i0=")</f>
        <v>#VALUE!</v>
      </c>
      <c r="AU14" t="e">
        <f>AND('Current Index'!G348,"AAAAAB9v9i4=")</f>
        <v>#VALUE!</v>
      </c>
      <c r="AV14" t="e">
        <f>AND('Current Index'!H348,"AAAAAB9v9i8=")</f>
        <v>#VALUE!</v>
      </c>
      <c r="AW14" t="e">
        <f>AND('Current Index'!I348,"AAAAAB9v9jA=")</f>
        <v>#VALUE!</v>
      </c>
      <c r="AX14">
        <f>IF('Current Index'!349:349,"AAAAAB9v9jE=",0)</f>
        <v>0</v>
      </c>
      <c r="AY14" t="e">
        <f>AND('Current Index'!A349,"AAAAAB9v9jI=")</f>
        <v>#VALUE!</v>
      </c>
      <c r="AZ14" t="e">
        <f>AND('Current Index'!#REF!,"AAAAAB9v9jM=")</f>
        <v>#REF!</v>
      </c>
      <c r="BA14" t="e">
        <f>AND('Current Index'!B349,"AAAAAB9v9jQ=")</f>
        <v>#VALUE!</v>
      </c>
      <c r="BB14" t="e">
        <f>AND('Current Index'!C349,"AAAAAB9v9jU=")</f>
        <v>#VALUE!</v>
      </c>
      <c r="BC14" t="e">
        <f>AND('Current Index'!D349,"AAAAAB9v9jY=")</f>
        <v>#VALUE!</v>
      </c>
      <c r="BD14" t="e">
        <f>AND('Current Index'!E349,"AAAAAB9v9jc=")</f>
        <v>#VALUE!</v>
      </c>
      <c r="BE14" t="e">
        <f>AND('Current Index'!F349,"AAAAAB9v9jg=")</f>
        <v>#VALUE!</v>
      </c>
      <c r="BF14" t="e">
        <f>AND('Current Index'!G349,"AAAAAB9v9jk=")</f>
        <v>#VALUE!</v>
      </c>
      <c r="BG14" t="e">
        <f>AND('Current Index'!H349,"AAAAAB9v9jo=")</f>
        <v>#VALUE!</v>
      </c>
      <c r="BH14" t="e">
        <f>AND('Current Index'!I349,"AAAAAB9v9js=")</f>
        <v>#VALUE!</v>
      </c>
      <c r="BI14">
        <f>IF('Current Index'!350:350,"AAAAAB9v9jw=",0)</f>
        <v>0</v>
      </c>
      <c r="BJ14" t="e">
        <f>AND('Current Index'!A350,"AAAAAB9v9j0=")</f>
        <v>#VALUE!</v>
      </c>
      <c r="BK14" t="e">
        <f>AND('Current Index'!#REF!,"AAAAAB9v9j4=")</f>
        <v>#REF!</v>
      </c>
      <c r="BL14" t="e">
        <f>AND('Current Index'!B350,"AAAAAB9v9j8=")</f>
        <v>#VALUE!</v>
      </c>
      <c r="BM14" t="e">
        <f>AND('Current Index'!C350,"AAAAAB9v9kA=")</f>
        <v>#VALUE!</v>
      </c>
      <c r="BN14" t="e">
        <f>AND('Current Index'!D350,"AAAAAB9v9kE=")</f>
        <v>#VALUE!</v>
      </c>
      <c r="BO14" t="e">
        <f>AND('Current Index'!E350,"AAAAAB9v9kI=")</f>
        <v>#VALUE!</v>
      </c>
      <c r="BP14" t="e">
        <f>AND('Current Index'!F350,"AAAAAB9v9kM=")</f>
        <v>#VALUE!</v>
      </c>
      <c r="BQ14" t="e">
        <f>AND('Current Index'!G350,"AAAAAB9v9kQ=")</f>
        <v>#VALUE!</v>
      </c>
      <c r="BR14" t="e">
        <f>AND('Current Index'!H350,"AAAAAB9v9kU=")</f>
        <v>#VALUE!</v>
      </c>
      <c r="BS14" t="e">
        <f>AND('Current Index'!I350,"AAAAAB9v9kY=")</f>
        <v>#VALUE!</v>
      </c>
      <c r="BT14">
        <f>IF('Current Index'!351:351,"AAAAAB9v9kc=",0)</f>
        <v>0</v>
      </c>
      <c r="BU14" t="e">
        <f>AND('Current Index'!A351,"AAAAAB9v9kg=")</f>
        <v>#VALUE!</v>
      </c>
      <c r="BV14" t="e">
        <f>AND('Current Index'!#REF!,"AAAAAB9v9kk=")</f>
        <v>#REF!</v>
      </c>
      <c r="BW14" t="e">
        <f>AND('Current Index'!B351,"AAAAAB9v9ko=")</f>
        <v>#VALUE!</v>
      </c>
      <c r="BX14" t="e">
        <f>AND('Current Index'!C351,"AAAAAB9v9ks=")</f>
        <v>#VALUE!</v>
      </c>
      <c r="BY14" t="e">
        <f>AND('Current Index'!D351,"AAAAAB9v9kw=")</f>
        <v>#VALUE!</v>
      </c>
      <c r="BZ14" t="e">
        <f>AND('Current Index'!E351,"AAAAAB9v9k0=")</f>
        <v>#VALUE!</v>
      </c>
      <c r="CA14" t="e">
        <f>AND('Current Index'!F351,"AAAAAB9v9k4=")</f>
        <v>#VALUE!</v>
      </c>
      <c r="CB14" t="e">
        <f>AND('Current Index'!G351,"AAAAAB9v9k8=")</f>
        <v>#VALUE!</v>
      </c>
      <c r="CC14" t="e">
        <f>AND('Current Index'!H351,"AAAAAB9v9lA=")</f>
        <v>#VALUE!</v>
      </c>
      <c r="CD14" t="e">
        <f>AND('Current Index'!I351,"AAAAAB9v9lE=")</f>
        <v>#VALUE!</v>
      </c>
      <c r="CE14">
        <f>IF('Current Index'!352:352,"AAAAAB9v9lI=",0)</f>
        <v>0</v>
      </c>
      <c r="CF14" t="e">
        <f>AND('Current Index'!A352,"AAAAAB9v9lM=")</f>
        <v>#VALUE!</v>
      </c>
      <c r="CG14" t="e">
        <f>AND('Current Index'!#REF!,"AAAAAB9v9lQ=")</f>
        <v>#REF!</v>
      </c>
      <c r="CH14" t="e">
        <f>AND('Current Index'!B352,"AAAAAB9v9lU=")</f>
        <v>#VALUE!</v>
      </c>
      <c r="CI14" t="e">
        <f>AND('Current Index'!C352,"AAAAAB9v9lY=")</f>
        <v>#VALUE!</v>
      </c>
      <c r="CJ14" t="e">
        <f>AND('Current Index'!D352,"AAAAAB9v9lc=")</f>
        <v>#VALUE!</v>
      </c>
      <c r="CK14" t="e">
        <f>AND('Current Index'!E352,"AAAAAB9v9lg=")</f>
        <v>#VALUE!</v>
      </c>
      <c r="CL14" t="e">
        <f>AND('Current Index'!F352,"AAAAAB9v9lk=")</f>
        <v>#VALUE!</v>
      </c>
      <c r="CM14" t="e">
        <f>AND('Current Index'!G352,"AAAAAB9v9lo=")</f>
        <v>#VALUE!</v>
      </c>
      <c r="CN14" t="e">
        <f>AND('Current Index'!H352,"AAAAAB9v9ls=")</f>
        <v>#VALUE!</v>
      </c>
      <c r="CO14" t="e">
        <f>AND('Current Index'!I352,"AAAAAB9v9lw=")</f>
        <v>#VALUE!</v>
      </c>
      <c r="CP14">
        <f>IF('Current Index'!353:353,"AAAAAB9v9l0=",0)</f>
        <v>0</v>
      </c>
      <c r="CQ14" t="e">
        <f>AND('Current Index'!A353,"AAAAAB9v9l4=")</f>
        <v>#VALUE!</v>
      </c>
      <c r="CR14" t="e">
        <f>AND('Current Index'!#REF!,"AAAAAB9v9l8=")</f>
        <v>#REF!</v>
      </c>
      <c r="CS14" t="e">
        <f>AND('Current Index'!B353,"AAAAAB9v9mA=")</f>
        <v>#VALUE!</v>
      </c>
      <c r="CT14" t="e">
        <f>AND('Current Index'!C353,"AAAAAB9v9mE=")</f>
        <v>#VALUE!</v>
      </c>
      <c r="CU14" t="e">
        <f>AND('Current Index'!D353,"AAAAAB9v9mI=")</f>
        <v>#VALUE!</v>
      </c>
      <c r="CV14" t="e">
        <f>AND('Current Index'!E353,"AAAAAB9v9mM=")</f>
        <v>#VALUE!</v>
      </c>
      <c r="CW14" t="e">
        <f>AND('Current Index'!F353,"AAAAAB9v9mQ=")</f>
        <v>#VALUE!</v>
      </c>
      <c r="CX14" t="e">
        <f>AND('Current Index'!G353,"AAAAAB9v9mU=")</f>
        <v>#VALUE!</v>
      </c>
      <c r="CY14" t="e">
        <f>AND('Current Index'!H353,"AAAAAB9v9mY=")</f>
        <v>#VALUE!</v>
      </c>
      <c r="CZ14" t="e">
        <f>AND('Current Index'!I353,"AAAAAB9v9mc=")</f>
        <v>#VALUE!</v>
      </c>
      <c r="DA14" t="e">
        <f>IF('Current Index'!#REF!,"AAAAAB9v9mg=",0)</f>
        <v>#REF!</v>
      </c>
      <c r="DB14" t="e">
        <f>AND('Current Index'!#REF!,"AAAAAB9v9mk=")</f>
        <v>#REF!</v>
      </c>
      <c r="DC14" t="e">
        <f>AND('Current Index'!#REF!,"AAAAAB9v9mo=")</f>
        <v>#REF!</v>
      </c>
      <c r="DD14" t="e">
        <f>AND('Current Index'!#REF!,"AAAAAB9v9ms=")</f>
        <v>#REF!</v>
      </c>
      <c r="DE14" t="e">
        <f>AND('Current Index'!#REF!,"AAAAAB9v9mw=")</f>
        <v>#REF!</v>
      </c>
      <c r="DF14" t="e">
        <f>AND('Current Index'!#REF!,"AAAAAB9v9m0=")</f>
        <v>#REF!</v>
      </c>
      <c r="DG14" t="e">
        <f>AND('Current Index'!#REF!,"AAAAAB9v9m4=")</f>
        <v>#REF!</v>
      </c>
      <c r="DH14" t="e">
        <f>AND('Current Index'!#REF!,"AAAAAB9v9m8=")</f>
        <v>#REF!</v>
      </c>
      <c r="DI14" t="e">
        <f>AND('Current Index'!#REF!,"AAAAAB9v9nA=")</f>
        <v>#REF!</v>
      </c>
      <c r="DJ14" t="e">
        <f>AND('Current Index'!#REF!,"AAAAAB9v9nE=")</f>
        <v>#REF!</v>
      </c>
      <c r="DK14" t="e">
        <f>AND('Current Index'!#REF!,"AAAAAB9v9nI=")</f>
        <v>#REF!</v>
      </c>
      <c r="DL14">
        <f>IF('Current Index'!354:354,"AAAAAB9v9nM=",0)</f>
        <v>0</v>
      </c>
      <c r="DM14" t="e">
        <f>AND('Current Index'!A354,"AAAAAB9v9nQ=")</f>
        <v>#VALUE!</v>
      </c>
      <c r="DN14" t="e">
        <f>AND('Current Index'!#REF!,"AAAAAB9v9nU=")</f>
        <v>#REF!</v>
      </c>
      <c r="DO14" t="e">
        <f>AND('Current Index'!B354,"AAAAAB9v9nY=")</f>
        <v>#VALUE!</v>
      </c>
      <c r="DP14" t="e">
        <f>AND('Current Index'!C354,"AAAAAB9v9nc=")</f>
        <v>#VALUE!</v>
      </c>
      <c r="DQ14" t="e">
        <f>AND('Current Index'!D354,"AAAAAB9v9ng=")</f>
        <v>#VALUE!</v>
      </c>
      <c r="DR14" t="e">
        <f>AND('Current Index'!E354,"AAAAAB9v9nk=")</f>
        <v>#VALUE!</v>
      </c>
      <c r="DS14" t="e">
        <f>AND('Current Index'!F354,"AAAAAB9v9no=")</f>
        <v>#VALUE!</v>
      </c>
      <c r="DT14" t="e">
        <f>AND('Current Index'!G354,"AAAAAB9v9ns=")</f>
        <v>#VALUE!</v>
      </c>
      <c r="DU14" t="e">
        <f>AND('Current Index'!H354,"AAAAAB9v9nw=")</f>
        <v>#VALUE!</v>
      </c>
      <c r="DV14" t="e">
        <f>AND('Current Index'!I354,"AAAAAB9v9n0=")</f>
        <v>#VALUE!</v>
      </c>
      <c r="DW14">
        <f>IF('Current Index'!355:355,"AAAAAB9v9n4=",0)</f>
        <v>0</v>
      </c>
      <c r="DX14" t="e">
        <f>AND('Current Index'!A355,"AAAAAB9v9n8=")</f>
        <v>#VALUE!</v>
      </c>
      <c r="DY14" t="e">
        <f>AND('Current Index'!#REF!,"AAAAAB9v9oA=")</f>
        <v>#REF!</v>
      </c>
      <c r="DZ14" t="e">
        <f>AND('Current Index'!B355,"AAAAAB9v9oE=")</f>
        <v>#VALUE!</v>
      </c>
      <c r="EA14" t="e">
        <f>AND('Current Index'!C355,"AAAAAB9v9oI=")</f>
        <v>#VALUE!</v>
      </c>
      <c r="EB14" t="e">
        <f>AND('Current Index'!D355,"AAAAAB9v9oM=")</f>
        <v>#VALUE!</v>
      </c>
      <c r="EC14" t="e">
        <f>AND('Current Index'!E355,"AAAAAB9v9oQ=")</f>
        <v>#VALUE!</v>
      </c>
      <c r="ED14" t="e">
        <f>AND('Current Index'!F355,"AAAAAB9v9oU=")</f>
        <v>#VALUE!</v>
      </c>
      <c r="EE14" t="e">
        <f>AND('Current Index'!G355,"AAAAAB9v9oY=")</f>
        <v>#VALUE!</v>
      </c>
      <c r="EF14" t="e">
        <f>AND('Current Index'!H355,"AAAAAB9v9oc=")</f>
        <v>#VALUE!</v>
      </c>
      <c r="EG14" t="e">
        <f>AND('Current Index'!I355,"AAAAAB9v9og=")</f>
        <v>#VALUE!</v>
      </c>
      <c r="EH14">
        <f>IF('Current Index'!356:356,"AAAAAB9v9ok=",0)</f>
        <v>0</v>
      </c>
      <c r="EI14" t="e">
        <f>AND('Current Index'!A356,"AAAAAB9v9oo=")</f>
        <v>#VALUE!</v>
      </c>
      <c r="EJ14" t="e">
        <f>AND('Current Index'!#REF!,"AAAAAB9v9os=")</f>
        <v>#REF!</v>
      </c>
      <c r="EK14" t="e">
        <f>AND('Current Index'!B356,"AAAAAB9v9ow=")</f>
        <v>#VALUE!</v>
      </c>
      <c r="EL14" t="e">
        <f>AND('Current Index'!C356,"AAAAAB9v9o0=")</f>
        <v>#VALUE!</v>
      </c>
      <c r="EM14" t="e">
        <f>AND('Current Index'!D356,"AAAAAB9v9o4=")</f>
        <v>#VALUE!</v>
      </c>
      <c r="EN14" t="e">
        <f>AND('Current Index'!E356,"AAAAAB9v9o8=")</f>
        <v>#VALUE!</v>
      </c>
      <c r="EO14" t="e">
        <f>AND('Current Index'!F356,"AAAAAB9v9pA=")</f>
        <v>#VALUE!</v>
      </c>
      <c r="EP14" t="e">
        <f>AND('Current Index'!G356,"AAAAAB9v9pE=")</f>
        <v>#VALUE!</v>
      </c>
      <c r="EQ14" t="e">
        <f>AND('Current Index'!H356,"AAAAAB9v9pI=")</f>
        <v>#VALUE!</v>
      </c>
      <c r="ER14" t="e">
        <f>AND('Current Index'!I356,"AAAAAB9v9pM=")</f>
        <v>#VALUE!</v>
      </c>
      <c r="ES14" t="e">
        <f>IF('Current Index'!#REF!,"AAAAAB9v9pQ=",0)</f>
        <v>#REF!</v>
      </c>
      <c r="ET14" t="e">
        <f>AND('Current Index'!#REF!,"AAAAAB9v9pU=")</f>
        <v>#REF!</v>
      </c>
      <c r="EU14" t="e">
        <f>AND('Current Index'!#REF!,"AAAAAB9v9pY=")</f>
        <v>#REF!</v>
      </c>
      <c r="EV14" t="e">
        <f>AND('Current Index'!#REF!,"AAAAAB9v9pc=")</f>
        <v>#REF!</v>
      </c>
      <c r="EW14" t="e">
        <f>AND('Current Index'!#REF!,"AAAAAB9v9pg=")</f>
        <v>#REF!</v>
      </c>
      <c r="EX14" t="e">
        <f>AND('Current Index'!#REF!,"AAAAAB9v9pk=")</f>
        <v>#REF!</v>
      </c>
      <c r="EY14" t="e">
        <f>AND('Current Index'!#REF!,"AAAAAB9v9po=")</f>
        <v>#REF!</v>
      </c>
      <c r="EZ14" t="e">
        <f>AND('Current Index'!#REF!,"AAAAAB9v9ps=")</f>
        <v>#REF!</v>
      </c>
      <c r="FA14" t="e">
        <f>AND('Current Index'!#REF!,"AAAAAB9v9pw=")</f>
        <v>#REF!</v>
      </c>
      <c r="FB14" t="e">
        <f>AND('Current Index'!#REF!,"AAAAAB9v9p0=")</f>
        <v>#REF!</v>
      </c>
      <c r="FC14" t="e">
        <f>AND('Current Index'!#REF!,"AAAAAB9v9p4=")</f>
        <v>#REF!</v>
      </c>
      <c r="FD14">
        <f>IF('Current Index'!357:357,"AAAAAB9v9p8=",0)</f>
        <v>0</v>
      </c>
      <c r="FE14" t="e">
        <f>AND('Current Index'!A357,"AAAAAB9v9qA=")</f>
        <v>#VALUE!</v>
      </c>
      <c r="FF14" t="e">
        <f>AND('Current Index'!#REF!,"AAAAAB9v9qE=")</f>
        <v>#REF!</v>
      </c>
      <c r="FG14" t="e">
        <f>AND('Current Index'!B357,"AAAAAB9v9qI=")</f>
        <v>#VALUE!</v>
      </c>
      <c r="FH14" t="e">
        <f>AND('Current Index'!C357,"AAAAAB9v9qM=")</f>
        <v>#VALUE!</v>
      </c>
      <c r="FI14" t="e">
        <f>AND('Current Index'!D357,"AAAAAB9v9qQ=")</f>
        <v>#VALUE!</v>
      </c>
      <c r="FJ14" t="e">
        <f>AND('Current Index'!E357,"AAAAAB9v9qU=")</f>
        <v>#VALUE!</v>
      </c>
      <c r="FK14" t="e">
        <f>AND('Current Index'!F357,"AAAAAB9v9qY=")</f>
        <v>#VALUE!</v>
      </c>
      <c r="FL14" t="e">
        <f>AND('Current Index'!G357,"AAAAAB9v9qc=")</f>
        <v>#VALUE!</v>
      </c>
      <c r="FM14" t="e">
        <f>AND('Current Index'!H357,"AAAAAB9v9qg=")</f>
        <v>#VALUE!</v>
      </c>
      <c r="FN14" t="e">
        <f>AND('Current Index'!I357,"AAAAAB9v9qk=")</f>
        <v>#VALUE!</v>
      </c>
      <c r="FO14">
        <f>IF('Current Index'!358:358,"AAAAAB9v9qo=",0)</f>
        <v>0</v>
      </c>
      <c r="FP14" t="e">
        <f>AND('Current Index'!A358,"AAAAAB9v9qs=")</f>
        <v>#VALUE!</v>
      </c>
      <c r="FQ14" t="e">
        <f>AND('Current Index'!#REF!,"AAAAAB9v9qw=")</f>
        <v>#REF!</v>
      </c>
      <c r="FR14" t="e">
        <f>AND('Current Index'!B358,"AAAAAB9v9q0=")</f>
        <v>#VALUE!</v>
      </c>
      <c r="FS14" t="e">
        <f>AND('Current Index'!C358,"AAAAAB9v9q4=")</f>
        <v>#VALUE!</v>
      </c>
      <c r="FT14" t="e">
        <f>AND('Current Index'!D358,"AAAAAB9v9q8=")</f>
        <v>#VALUE!</v>
      </c>
      <c r="FU14" t="e">
        <f>AND('Current Index'!E358,"AAAAAB9v9rA=")</f>
        <v>#VALUE!</v>
      </c>
      <c r="FV14" t="e">
        <f>AND('Current Index'!F358,"AAAAAB9v9rE=")</f>
        <v>#VALUE!</v>
      </c>
      <c r="FW14" t="e">
        <f>AND('Current Index'!G358,"AAAAAB9v9rI=")</f>
        <v>#VALUE!</v>
      </c>
      <c r="FX14" t="e">
        <f>AND('Current Index'!H358,"AAAAAB9v9rM=")</f>
        <v>#VALUE!</v>
      </c>
      <c r="FY14" t="e">
        <f>AND('Current Index'!I358,"AAAAAB9v9rQ=")</f>
        <v>#VALUE!</v>
      </c>
      <c r="FZ14">
        <f>IF('Current Index'!359:359,"AAAAAB9v9rU=",0)</f>
        <v>0</v>
      </c>
      <c r="GA14" t="e">
        <f>AND('Current Index'!A359,"AAAAAB9v9rY=")</f>
        <v>#VALUE!</v>
      </c>
      <c r="GB14" t="e">
        <f>AND('Current Index'!#REF!,"AAAAAB9v9rc=")</f>
        <v>#REF!</v>
      </c>
      <c r="GC14" t="e">
        <f>AND('Current Index'!B359,"AAAAAB9v9rg=")</f>
        <v>#VALUE!</v>
      </c>
      <c r="GD14" t="e">
        <f>AND('Current Index'!C359,"AAAAAB9v9rk=")</f>
        <v>#VALUE!</v>
      </c>
      <c r="GE14" t="e">
        <f>AND('Current Index'!D359,"AAAAAB9v9ro=")</f>
        <v>#VALUE!</v>
      </c>
      <c r="GF14" t="e">
        <f>AND('Current Index'!E359,"AAAAAB9v9rs=")</f>
        <v>#VALUE!</v>
      </c>
      <c r="GG14" t="e">
        <f>AND('Current Index'!F359,"AAAAAB9v9rw=")</f>
        <v>#VALUE!</v>
      </c>
      <c r="GH14" t="e">
        <f>AND('Current Index'!G359,"AAAAAB9v9r0=")</f>
        <v>#VALUE!</v>
      </c>
      <c r="GI14" t="e">
        <f>AND('Current Index'!H359,"AAAAAB9v9r4=")</f>
        <v>#VALUE!</v>
      </c>
      <c r="GJ14" t="e">
        <f>AND('Current Index'!I359,"AAAAAB9v9r8=")</f>
        <v>#VALUE!</v>
      </c>
      <c r="GK14">
        <f>IF('Current Index'!360:360,"AAAAAB9v9sA=",0)</f>
        <v>0</v>
      </c>
      <c r="GL14" t="e">
        <f>AND('Current Index'!A360,"AAAAAB9v9sE=")</f>
        <v>#VALUE!</v>
      </c>
      <c r="GM14" t="e">
        <f>AND('Current Index'!#REF!,"AAAAAB9v9sI=")</f>
        <v>#REF!</v>
      </c>
      <c r="GN14" t="e">
        <f>AND('Current Index'!B360,"AAAAAB9v9sM=")</f>
        <v>#VALUE!</v>
      </c>
      <c r="GO14" t="e">
        <f>AND('Current Index'!C360,"AAAAAB9v9sQ=")</f>
        <v>#VALUE!</v>
      </c>
      <c r="GP14" t="e">
        <f>AND('Current Index'!D360,"AAAAAB9v9sU=")</f>
        <v>#VALUE!</v>
      </c>
      <c r="GQ14" t="e">
        <f>AND('Current Index'!E360,"AAAAAB9v9sY=")</f>
        <v>#VALUE!</v>
      </c>
      <c r="GR14" t="e">
        <f>AND('Current Index'!F360,"AAAAAB9v9sc=")</f>
        <v>#VALUE!</v>
      </c>
      <c r="GS14" t="e">
        <f>AND('Current Index'!G360,"AAAAAB9v9sg=")</f>
        <v>#VALUE!</v>
      </c>
      <c r="GT14" t="e">
        <f>AND('Current Index'!H360,"AAAAAB9v9sk=")</f>
        <v>#VALUE!</v>
      </c>
      <c r="GU14" t="e">
        <f>AND('Current Index'!I360,"AAAAAB9v9so=")</f>
        <v>#VALUE!</v>
      </c>
      <c r="GV14">
        <f>IF('Current Index'!361:361,"AAAAAB9v9ss=",0)</f>
        <v>0</v>
      </c>
      <c r="GW14" t="e">
        <f>AND('Current Index'!A361,"AAAAAB9v9sw=")</f>
        <v>#VALUE!</v>
      </c>
      <c r="GX14" t="e">
        <f>AND('Current Index'!#REF!,"AAAAAB9v9s0=")</f>
        <v>#REF!</v>
      </c>
      <c r="GY14" t="e">
        <f>AND('Current Index'!B361,"AAAAAB9v9s4=")</f>
        <v>#VALUE!</v>
      </c>
      <c r="GZ14" t="e">
        <f>AND('Current Index'!C361,"AAAAAB9v9s8=")</f>
        <v>#VALUE!</v>
      </c>
      <c r="HA14" t="e">
        <f>AND('Current Index'!D361,"AAAAAB9v9tA=")</f>
        <v>#VALUE!</v>
      </c>
      <c r="HB14" t="e">
        <f>AND('Current Index'!E361,"AAAAAB9v9tE=")</f>
        <v>#VALUE!</v>
      </c>
      <c r="HC14" t="e">
        <f>AND('Current Index'!F361,"AAAAAB9v9tI=")</f>
        <v>#VALUE!</v>
      </c>
      <c r="HD14" t="e">
        <f>AND('Current Index'!G361,"AAAAAB9v9tM=")</f>
        <v>#VALUE!</v>
      </c>
      <c r="HE14" t="e">
        <f>AND('Current Index'!H361,"AAAAAB9v9tQ=")</f>
        <v>#VALUE!</v>
      </c>
      <c r="HF14" t="e">
        <f>AND('Current Index'!I361,"AAAAAB9v9tU=")</f>
        <v>#VALUE!</v>
      </c>
      <c r="HG14" t="e">
        <f>IF('Current Index'!#REF!,"AAAAAB9v9tY=",0)</f>
        <v>#REF!</v>
      </c>
      <c r="HH14" t="e">
        <f>AND('Current Index'!#REF!,"AAAAAB9v9tc=")</f>
        <v>#REF!</v>
      </c>
      <c r="HI14" t="e">
        <f>AND('Current Index'!#REF!,"AAAAAB9v9tg=")</f>
        <v>#REF!</v>
      </c>
      <c r="HJ14" t="e">
        <f>AND('Current Index'!#REF!,"AAAAAB9v9tk=")</f>
        <v>#REF!</v>
      </c>
      <c r="HK14" t="e">
        <f>AND('Current Index'!#REF!,"AAAAAB9v9to=")</f>
        <v>#REF!</v>
      </c>
      <c r="HL14" t="e">
        <f>AND('Current Index'!#REF!,"AAAAAB9v9ts=")</f>
        <v>#REF!</v>
      </c>
      <c r="HM14" t="e">
        <f>AND('Current Index'!#REF!,"AAAAAB9v9tw=")</f>
        <v>#REF!</v>
      </c>
      <c r="HN14" t="e">
        <f>AND('Current Index'!#REF!,"AAAAAB9v9t0=")</f>
        <v>#REF!</v>
      </c>
      <c r="HO14" t="e">
        <f>AND('Current Index'!#REF!,"AAAAAB9v9t4=")</f>
        <v>#REF!</v>
      </c>
      <c r="HP14" t="e">
        <f>AND('Current Index'!#REF!,"AAAAAB9v9t8=")</f>
        <v>#REF!</v>
      </c>
      <c r="HQ14" t="e">
        <f>AND('Current Index'!#REF!,"AAAAAB9v9uA=")</f>
        <v>#REF!</v>
      </c>
      <c r="HR14">
        <f>IF('Current Index'!362:362,"AAAAAB9v9uE=",0)</f>
        <v>0</v>
      </c>
      <c r="HS14" t="e">
        <f>AND('Current Index'!A362,"AAAAAB9v9uI=")</f>
        <v>#VALUE!</v>
      </c>
      <c r="HT14" t="e">
        <f>AND('Current Index'!#REF!,"AAAAAB9v9uM=")</f>
        <v>#REF!</v>
      </c>
      <c r="HU14" t="e">
        <f>AND('Current Index'!B362,"AAAAAB9v9uQ=")</f>
        <v>#VALUE!</v>
      </c>
      <c r="HV14" t="e">
        <f>AND('Current Index'!C362,"AAAAAB9v9uU=")</f>
        <v>#VALUE!</v>
      </c>
      <c r="HW14" t="e">
        <f>AND('Current Index'!D362,"AAAAAB9v9uY=")</f>
        <v>#VALUE!</v>
      </c>
      <c r="HX14" t="e">
        <f>AND('Current Index'!E362,"AAAAAB9v9uc=")</f>
        <v>#VALUE!</v>
      </c>
      <c r="HY14" t="e">
        <f>AND('Current Index'!F362,"AAAAAB9v9ug=")</f>
        <v>#VALUE!</v>
      </c>
      <c r="HZ14" t="e">
        <f>AND('Current Index'!G362,"AAAAAB9v9uk=")</f>
        <v>#VALUE!</v>
      </c>
      <c r="IA14" t="e">
        <f>AND('Current Index'!H362,"AAAAAB9v9uo=")</f>
        <v>#VALUE!</v>
      </c>
      <c r="IB14" t="e">
        <f>AND('Current Index'!I362,"AAAAAB9v9us=")</f>
        <v>#VALUE!</v>
      </c>
      <c r="IC14" t="e">
        <f>IF('Current Index'!#REF!,"AAAAAB9v9uw=",0)</f>
        <v>#REF!</v>
      </c>
      <c r="ID14" t="e">
        <f>AND('Current Index'!#REF!,"AAAAAB9v9u0=")</f>
        <v>#REF!</v>
      </c>
      <c r="IE14" t="e">
        <f>AND('Current Index'!#REF!,"AAAAAB9v9u4=")</f>
        <v>#REF!</v>
      </c>
      <c r="IF14" t="e">
        <f>AND('Current Index'!#REF!,"AAAAAB9v9u8=")</f>
        <v>#REF!</v>
      </c>
      <c r="IG14" t="e">
        <f>AND('Current Index'!#REF!,"AAAAAB9v9vA=")</f>
        <v>#REF!</v>
      </c>
      <c r="IH14" t="e">
        <f>AND('Current Index'!#REF!,"AAAAAB9v9vE=")</f>
        <v>#REF!</v>
      </c>
      <c r="II14" t="e">
        <f>AND('Current Index'!#REF!,"AAAAAB9v9vI=")</f>
        <v>#REF!</v>
      </c>
      <c r="IJ14" t="e">
        <f>AND('Current Index'!#REF!,"AAAAAB9v9vM=")</f>
        <v>#REF!</v>
      </c>
      <c r="IK14" t="e">
        <f>AND('Current Index'!#REF!,"AAAAAB9v9vQ=")</f>
        <v>#REF!</v>
      </c>
      <c r="IL14" t="e">
        <f>AND('Current Index'!#REF!,"AAAAAB9v9vU=")</f>
        <v>#REF!</v>
      </c>
      <c r="IM14" t="e">
        <f>AND('Current Index'!#REF!,"AAAAAB9v9vY=")</f>
        <v>#REF!</v>
      </c>
      <c r="IN14">
        <f>IF('Current Index'!363:363,"AAAAAB9v9vc=",0)</f>
        <v>0</v>
      </c>
      <c r="IO14" t="e">
        <f>AND('Current Index'!A363,"AAAAAB9v9vg=")</f>
        <v>#VALUE!</v>
      </c>
      <c r="IP14" t="e">
        <f>AND('Current Index'!#REF!,"AAAAAB9v9vk=")</f>
        <v>#REF!</v>
      </c>
      <c r="IQ14" t="e">
        <f>AND('Current Index'!B363,"AAAAAB9v9vo=")</f>
        <v>#VALUE!</v>
      </c>
      <c r="IR14" t="e">
        <f>AND('Current Index'!C363,"AAAAAB9v9vs=")</f>
        <v>#VALUE!</v>
      </c>
      <c r="IS14" t="e">
        <f>AND('Current Index'!D363,"AAAAAB9v9vw=")</f>
        <v>#VALUE!</v>
      </c>
      <c r="IT14" t="e">
        <f>AND('Current Index'!E363,"AAAAAB9v9v0=")</f>
        <v>#VALUE!</v>
      </c>
      <c r="IU14" t="e">
        <f>AND('Current Index'!F363,"AAAAAB9v9v4=")</f>
        <v>#VALUE!</v>
      </c>
      <c r="IV14" t="e">
        <f>AND('Current Index'!G363,"AAAAAB9v9v8=")</f>
        <v>#VALUE!</v>
      </c>
    </row>
    <row r="15" spans="1:256" x14ac:dyDescent="0.25">
      <c r="A15" t="e">
        <f>AND('Current Index'!H363,"AAAAADb3fwA=")</f>
        <v>#VALUE!</v>
      </c>
      <c r="B15" t="e">
        <f>AND('Current Index'!I363,"AAAAADb3fwE=")</f>
        <v>#VALUE!</v>
      </c>
      <c r="C15" t="e">
        <f>IF('Current Index'!364:364,"AAAAADb3fwI=",0)</f>
        <v>#VALUE!</v>
      </c>
      <c r="D15" t="e">
        <f>AND('Current Index'!A364,"AAAAADb3fwM=")</f>
        <v>#VALUE!</v>
      </c>
      <c r="E15" t="e">
        <f>AND('Current Index'!#REF!,"AAAAADb3fwQ=")</f>
        <v>#REF!</v>
      </c>
      <c r="F15" t="e">
        <f>AND('Current Index'!B364,"AAAAADb3fwU=")</f>
        <v>#VALUE!</v>
      </c>
      <c r="G15" t="e">
        <f>AND('Current Index'!C364,"AAAAADb3fwY=")</f>
        <v>#VALUE!</v>
      </c>
      <c r="H15" t="e">
        <f>AND('Current Index'!D364,"AAAAADb3fwc=")</f>
        <v>#VALUE!</v>
      </c>
      <c r="I15" t="e">
        <f>AND('Current Index'!E364,"AAAAADb3fwg=")</f>
        <v>#VALUE!</v>
      </c>
      <c r="J15" t="e">
        <f>AND('Current Index'!F364,"AAAAADb3fwk=")</f>
        <v>#VALUE!</v>
      </c>
      <c r="K15" t="e">
        <f>AND('Current Index'!G364,"AAAAADb3fwo=")</f>
        <v>#VALUE!</v>
      </c>
      <c r="L15" t="e">
        <f>AND('Current Index'!H364,"AAAAADb3fws=")</f>
        <v>#VALUE!</v>
      </c>
      <c r="M15" t="e">
        <f>AND('Current Index'!I364,"AAAAADb3fww=")</f>
        <v>#VALUE!</v>
      </c>
      <c r="N15">
        <f>IF('Current Index'!365:365,"AAAAADb3fw0=",0)</f>
        <v>0</v>
      </c>
      <c r="O15" t="e">
        <f>AND('Current Index'!A365,"AAAAADb3fw4=")</f>
        <v>#VALUE!</v>
      </c>
      <c r="P15" t="e">
        <f>AND('Current Index'!#REF!,"AAAAADb3fw8=")</f>
        <v>#REF!</v>
      </c>
      <c r="Q15" t="e">
        <f>AND('Current Index'!B365,"AAAAADb3fxA=")</f>
        <v>#VALUE!</v>
      </c>
      <c r="R15" t="e">
        <f>AND('Current Index'!C365,"AAAAADb3fxE=")</f>
        <v>#VALUE!</v>
      </c>
      <c r="S15" t="e">
        <f>AND('Current Index'!D365,"AAAAADb3fxI=")</f>
        <v>#VALUE!</v>
      </c>
      <c r="T15" t="e">
        <f>AND('Current Index'!E365,"AAAAADb3fxM=")</f>
        <v>#VALUE!</v>
      </c>
      <c r="U15" t="e">
        <f>AND('Current Index'!F365,"AAAAADb3fxQ=")</f>
        <v>#VALUE!</v>
      </c>
      <c r="V15" t="e">
        <f>AND('Current Index'!G365,"AAAAADb3fxU=")</f>
        <v>#VALUE!</v>
      </c>
      <c r="W15" t="e">
        <f>AND('Current Index'!H365,"AAAAADb3fxY=")</f>
        <v>#VALUE!</v>
      </c>
      <c r="X15" t="e">
        <f>AND('Current Index'!I365,"AAAAADb3fxc=")</f>
        <v>#VALUE!</v>
      </c>
      <c r="Y15">
        <f>IF('Current Index'!366:366,"AAAAADb3fxg=",0)</f>
        <v>0</v>
      </c>
      <c r="Z15" t="e">
        <f>AND('Current Index'!A366,"AAAAADb3fxk=")</f>
        <v>#VALUE!</v>
      </c>
      <c r="AA15" t="e">
        <f>AND('Current Index'!#REF!,"AAAAADb3fxo=")</f>
        <v>#REF!</v>
      </c>
      <c r="AB15" t="e">
        <f>AND('Current Index'!B366,"AAAAADb3fxs=")</f>
        <v>#VALUE!</v>
      </c>
      <c r="AC15" t="e">
        <f>AND('Current Index'!C366,"AAAAADb3fxw=")</f>
        <v>#VALUE!</v>
      </c>
      <c r="AD15" t="e">
        <f>AND('Current Index'!D366,"AAAAADb3fx0=")</f>
        <v>#VALUE!</v>
      </c>
      <c r="AE15" t="e">
        <f>AND('Current Index'!E366,"AAAAADb3fx4=")</f>
        <v>#VALUE!</v>
      </c>
      <c r="AF15" t="e">
        <f>AND('Current Index'!F366,"AAAAADb3fx8=")</f>
        <v>#VALUE!</v>
      </c>
      <c r="AG15" t="e">
        <f>AND('Current Index'!G366,"AAAAADb3fyA=")</f>
        <v>#VALUE!</v>
      </c>
      <c r="AH15" t="e">
        <f>AND('Current Index'!H366,"AAAAADb3fyE=")</f>
        <v>#VALUE!</v>
      </c>
      <c r="AI15" t="e">
        <f>AND('Current Index'!I366,"AAAAADb3fyI=")</f>
        <v>#VALUE!</v>
      </c>
      <c r="AJ15">
        <f>IF('Current Index'!367:367,"AAAAADb3fyM=",0)</f>
        <v>0</v>
      </c>
      <c r="AK15" t="e">
        <f>AND('Current Index'!A367,"AAAAADb3fyQ=")</f>
        <v>#VALUE!</v>
      </c>
      <c r="AL15" t="e">
        <f>AND('Current Index'!#REF!,"AAAAADb3fyU=")</f>
        <v>#REF!</v>
      </c>
      <c r="AM15" t="e">
        <f>AND('Current Index'!B367,"AAAAADb3fyY=")</f>
        <v>#VALUE!</v>
      </c>
      <c r="AN15" t="e">
        <f>AND('Current Index'!C367,"AAAAADb3fyc=")</f>
        <v>#VALUE!</v>
      </c>
      <c r="AO15" t="e">
        <f>AND('Current Index'!D367,"AAAAADb3fyg=")</f>
        <v>#VALUE!</v>
      </c>
      <c r="AP15" t="e">
        <f>AND('Current Index'!E367,"AAAAADb3fyk=")</f>
        <v>#VALUE!</v>
      </c>
      <c r="AQ15" t="e">
        <f>AND('Current Index'!F367,"AAAAADb3fyo=")</f>
        <v>#VALUE!</v>
      </c>
      <c r="AR15" t="e">
        <f>AND('Current Index'!G367,"AAAAADb3fys=")</f>
        <v>#VALUE!</v>
      </c>
      <c r="AS15" t="e">
        <f>AND('Current Index'!H367,"AAAAADb3fyw=")</f>
        <v>#VALUE!</v>
      </c>
      <c r="AT15" t="e">
        <f>AND('Current Index'!I367,"AAAAADb3fy0=")</f>
        <v>#VALUE!</v>
      </c>
      <c r="AU15">
        <f>IF('Current Index'!368:368,"AAAAADb3fy4=",0)</f>
        <v>0</v>
      </c>
      <c r="AV15" t="e">
        <f>AND('Current Index'!A368,"AAAAADb3fy8=")</f>
        <v>#VALUE!</v>
      </c>
      <c r="AW15" t="e">
        <f>AND('Current Index'!#REF!,"AAAAADb3fzA=")</f>
        <v>#REF!</v>
      </c>
      <c r="AX15" t="e">
        <f>AND('Current Index'!B368,"AAAAADb3fzE=")</f>
        <v>#VALUE!</v>
      </c>
      <c r="AY15" t="e">
        <f>AND('Current Index'!C368,"AAAAADb3fzI=")</f>
        <v>#VALUE!</v>
      </c>
      <c r="AZ15" t="e">
        <f>AND('Current Index'!D368,"AAAAADb3fzM=")</f>
        <v>#VALUE!</v>
      </c>
      <c r="BA15" t="e">
        <f>AND('Current Index'!E368,"AAAAADb3fzQ=")</f>
        <v>#VALUE!</v>
      </c>
      <c r="BB15" t="e">
        <f>AND('Current Index'!F368,"AAAAADb3fzU=")</f>
        <v>#VALUE!</v>
      </c>
      <c r="BC15" t="e">
        <f>AND('Current Index'!G368,"AAAAADb3fzY=")</f>
        <v>#VALUE!</v>
      </c>
      <c r="BD15" t="e">
        <f>AND('Current Index'!H368,"AAAAADb3fzc=")</f>
        <v>#VALUE!</v>
      </c>
      <c r="BE15" t="e">
        <f>AND('Current Index'!I368,"AAAAADb3fzg=")</f>
        <v>#VALUE!</v>
      </c>
      <c r="BF15">
        <f>IF('Current Index'!369:369,"AAAAADb3fzk=",0)</f>
        <v>0</v>
      </c>
      <c r="BG15" t="e">
        <f>AND('Current Index'!A369,"AAAAADb3fzo=")</f>
        <v>#VALUE!</v>
      </c>
      <c r="BH15" t="e">
        <f>AND('Current Index'!#REF!,"AAAAADb3fzs=")</f>
        <v>#REF!</v>
      </c>
      <c r="BI15" t="e">
        <f>AND('Current Index'!B369,"AAAAADb3fzw=")</f>
        <v>#VALUE!</v>
      </c>
      <c r="BJ15" t="e">
        <f>AND('Current Index'!C369,"AAAAADb3fz0=")</f>
        <v>#VALUE!</v>
      </c>
      <c r="BK15" t="e">
        <f>AND('Current Index'!D369,"AAAAADb3fz4=")</f>
        <v>#VALUE!</v>
      </c>
      <c r="BL15" t="e">
        <f>AND('Current Index'!E369,"AAAAADb3fz8=")</f>
        <v>#VALUE!</v>
      </c>
      <c r="BM15" t="e">
        <f>AND('Current Index'!F369,"AAAAADb3f0A=")</f>
        <v>#VALUE!</v>
      </c>
      <c r="BN15" t="e">
        <f>AND('Current Index'!G369,"AAAAADb3f0E=")</f>
        <v>#VALUE!</v>
      </c>
      <c r="BO15" t="e">
        <f>AND('Current Index'!H369,"AAAAADb3f0I=")</f>
        <v>#VALUE!</v>
      </c>
      <c r="BP15" t="e">
        <f>AND('Current Index'!I369,"AAAAADb3f0M=")</f>
        <v>#VALUE!</v>
      </c>
      <c r="BQ15">
        <f>IF('Current Index'!370:370,"AAAAADb3f0Q=",0)</f>
        <v>0</v>
      </c>
      <c r="BR15" t="e">
        <f>AND('Current Index'!A370,"AAAAADb3f0U=")</f>
        <v>#VALUE!</v>
      </c>
      <c r="BS15" t="e">
        <f>AND('Current Index'!#REF!,"AAAAADb3f0Y=")</f>
        <v>#REF!</v>
      </c>
      <c r="BT15" t="e">
        <f>AND('Current Index'!B370,"AAAAADb3f0c=")</f>
        <v>#VALUE!</v>
      </c>
      <c r="BU15" t="e">
        <f>AND('Current Index'!C370,"AAAAADb3f0g=")</f>
        <v>#VALUE!</v>
      </c>
      <c r="BV15" t="e">
        <f>AND('Current Index'!D370,"AAAAADb3f0k=")</f>
        <v>#VALUE!</v>
      </c>
      <c r="BW15" t="e">
        <f>AND('Current Index'!E370,"AAAAADb3f0o=")</f>
        <v>#VALUE!</v>
      </c>
      <c r="BX15" t="e">
        <f>AND('Current Index'!F370,"AAAAADb3f0s=")</f>
        <v>#VALUE!</v>
      </c>
      <c r="BY15" t="e">
        <f>AND('Current Index'!G370,"AAAAADb3f0w=")</f>
        <v>#VALUE!</v>
      </c>
      <c r="BZ15" t="e">
        <f>AND('Current Index'!H370,"AAAAADb3f00=")</f>
        <v>#VALUE!</v>
      </c>
      <c r="CA15" t="e">
        <f>AND('Current Index'!I370,"AAAAADb3f04=")</f>
        <v>#VALUE!</v>
      </c>
      <c r="CB15">
        <f>IF('Current Index'!371:371,"AAAAADb3f08=",0)</f>
        <v>0</v>
      </c>
      <c r="CC15" t="e">
        <f>AND('Current Index'!A371,"AAAAADb3f1A=")</f>
        <v>#VALUE!</v>
      </c>
      <c r="CD15" t="e">
        <f>AND('Current Index'!#REF!,"AAAAADb3f1E=")</f>
        <v>#REF!</v>
      </c>
      <c r="CE15" t="e">
        <f>AND('Current Index'!B371,"AAAAADb3f1I=")</f>
        <v>#VALUE!</v>
      </c>
      <c r="CF15" t="e">
        <f>AND('Current Index'!C371,"AAAAADb3f1M=")</f>
        <v>#VALUE!</v>
      </c>
      <c r="CG15" t="e">
        <f>AND('Current Index'!D371,"AAAAADb3f1Q=")</f>
        <v>#VALUE!</v>
      </c>
      <c r="CH15" t="e">
        <f>AND('Current Index'!E371,"AAAAADb3f1U=")</f>
        <v>#VALUE!</v>
      </c>
      <c r="CI15" t="e">
        <f>AND('Current Index'!F371,"AAAAADb3f1Y=")</f>
        <v>#VALUE!</v>
      </c>
      <c r="CJ15" t="e">
        <f>AND('Current Index'!G371,"AAAAADb3f1c=")</f>
        <v>#VALUE!</v>
      </c>
      <c r="CK15" t="e">
        <f>AND('Current Index'!H371,"AAAAADb3f1g=")</f>
        <v>#VALUE!</v>
      </c>
      <c r="CL15" t="e">
        <f>AND('Current Index'!I371,"AAAAADb3f1k=")</f>
        <v>#VALUE!</v>
      </c>
      <c r="CM15">
        <f>IF('Current Index'!372:372,"AAAAADb3f1o=",0)</f>
        <v>0</v>
      </c>
      <c r="CN15" t="e">
        <f>AND('Current Index'!A372,"AAAAADb3f1s=")</f>
        <v>#VALUE!</v>
      </c>
      <c r="CO15" t="e">
        <f>AND('Current Index'!#REF!,"AAAAADb3f1w=")</f>
        <v>#REF!</v>
      </c>
      <c r="CP15" t="e">
        <f>AND('Current Index'!B372,"AAAAADb3f10=")</f>
        <v>#VALUE!</v>
      </c>
      <c r="CQ15" t="e">
        <f>AND('Current Index'!C372,"AAAAADb3f14=")</f>
        <v>#VALUE!</v>
      </c>
      <c r="CR15" t="e">
        <f>AND('Current Index'!D372,"AAAAADb3f18=")</f>
        <v>#VALUE!</v>
      </c>
      <c r="CS15" t="e">
        <f>AND('Current Index'!E372,"AAAAADb3f2A=")</f>
        <v>#VALUE!</v>
      </c>
      <c r="CT15" t="e">
        <f>AND('Current Index'!F372,"AAAAADb3f2E=")</f>
        <v>#VALUE!</v>
      </c>
      <c r="CU15" t="e">
        <f>AND('Current Index'!G372,"AAAAADb3f2I=")</f>
        <v>#VALUE!</v>
      </c>
      <c r="CV15" t="e">
        <f>AND('Current Index'!H372,"AAAAADb3f2M=")</f>
        <v>#VALUE!</v>
      </c>
      <c r="CW15" t="e">
        <f>AND('Current Index'!I372,"AAAAADb3f2Q=")</f>
        <v>#VALUE!</v>
      </c>
      <c r="CX15">
        <f>IF('Current Index'!373:373,"AAAAADb3f2U=",0)</f>
        <v>0</v>
      </c>
      <c r="CY15" t="e">
        <f>AND('Current Index'!A373,"AAAAADb3f2Y=")</f>
        <v>#VALUE!</v>
      </c>
      <c r="CZ15" t="e">
        <f>AND('Current Index'!#REF!,"AAAAADb3f2c=")</f>
        <v>#REF!</v>
      </c>
      <c r="DA15" t="e">
        <f>AND('Current Index'!B373,"AAAAADb3f2g=")</f>
        <v>#VALUE!</v>
      </c>
      <c r="DB15" t="e">
        <f>AND('Current Index'!C373,"AAAAADb3f2k=")</f>
        <v>#VALUE!</v>
      </c>
      <c r="DC15" t="e">
        <f>AND('Current Index'!D373,"AAAAADb3f2o=")</f>
        <v>#VALUE!</v>
      </c>
      <c r="DD15" t="e">
        <f>AND('Current Index'!E373,"AAAAADb3f2s=")</f>
        <v>#VALUE!</v>
      </c>
      <c r="DE15" t="e">
        <f>AND('Current Index'!F373,"AAAAADb3f2w=")</f>
        <v>#VALUE!</v>
      </c>
      <c r="DF15" t="e">
        <f>AND('Current Index'!G373,"AAAAADb3f20=")</f>
        <v>#VALUE!</v>
      </c>
      <c r="DG15" t="e">
        <f>AND('Current Index'!H373,"AAAAADb3f24=")</f>
        <v>#VALUE!</v>
      </c>
      <c r="DH15" t="e">
        <f>AND('Current Index'!I373,"AAAAADb3f28=")</f>
        <v>#VALUE!</v>
      </c>
      <c r="DI15">
        <f>IF('Current Index'!374:374,"AAAAADb3f3A=",0)</f>
        <v>0</v>
      </c>
      <c r="DJ15" t="e">
        <f>AND('Current Index'!A374,"AAAAADb3f3E=")</f>
        <v>#VALUE!</v>
      </c>
      <c r="DK15" t="e">
        <f>AND('Current Index'!#REF!,"AAAAADb3f3I=")</f>
        <v>#REF!</v>
      </c>
      <c r="DL15" t="e">
        <f>AND('Current Index'!B374,"AAAAADb3f3M=")</f>
        <v>#VALUE!</v>
      </c>
      <c r="DM15" t="e">
        <f>AND('Current Index'!C374,"AAAAADb3f3Q=")</f>
        <v>#VALUE!</v>
      </c>
      <c r="DN15" t="e">
        <f>AND('Current Index'!D374,"AAAAADb3f3U=")</f>
        <v>#VALUE!</v>
      </c>
      <c r="DO15" t="e">
        <f>AND('Current Index'!E374,"AAAAADb3f3Y=")</f>
        <v>#VALUE!</v>
      </c>
      <c r="DP15" t="e">
        <f>AND('Current Index'!F374,"AAAAADb3f3c=")</f>
        <v>#VALUE!</v>
      </c>
      <c r="DQ15" t="e">
        <f>AND('Current Index'!G374,"AAAAADb3f3g=")</f>
        <v>#VALUE!</v>
      </c>
      <c r="DR15" t="e">
        <f>AND('Current Index'!H374,"AAAAADb3f3k=")</f>
        <v>#VALUE!</v>
      </c>
      <c r="DS15" t="e">
        <f>AND('Current Index'!I374,"AAAAADb3f3o=")</f>
        <v>#VALUE!</v>
      </c>
      <c r="DT15" t="e">
        <f>IF('Current Index'!#REF!,"AAAAADb3f3s=",0)</f>
        <v>#REF!</v>
      </c>
      <c r="DU15" t="e">
        <f>AND('Current Index'!#REF!,"AAAAADb3f3w=")</f>
        <v>#REF!</v>
      </c>
      <c r="DV15" t="e">
        <f>AND('Current Index'!#REF!,"AAAAADb3f30=")</f>
        <v>#REF!</v>
      </c>
      <c r="DW15" t="e">
        <f>AND('Current Index'!#REF!,"AAAAADb3f34=")</f>
        <v>#REF!</v>
      </c>
      <c r="DX15" t="e">
        <f>AND('Current Index'!#REF!,"AAAAADb3f38=")</f>
        <v>#REF!</v>
      </c>
      <c r="DY15" t="e">
        <f>AND('Current Index'!#REF!,"AAAAADb3f4A=")</f>
        <v>#REF!</v>
      </c>
      <c r="DZ15" t="e">
        <f>AND('Current Index'!#REF!,"AAAAADb3f4E=")</f>
        <v>#REF!</v>
      </c>
      <c r="EA15" t="e">
        <f>AND('Current Index'!#REF!,"AAAAADb3f4I=")</f>
        <v>#REF!</v>
      </c>
      <c r="EB15" t="e">
        <f>AND('Current Index'!#REF!,"AAAAADb3f4M=")</f>
        <v>#REF!</v>
      </c>
      <c r="EC15" t="e">
        <f>AND('Current Index'!#REF!,"AAAAADb3f4Q=")</f>
        <v>#REF!</v>
      </c>
      <c r="ED15" t="e">
        <f>AND('Current Index'!#REF!,"AAAAADb3f4U=")</f>
        <v>#REF!</v>
      </c>
      <c r="EE15" t="e">
        <f>IF('Current Index'!#REF!,"AAAAADb3f4Y=",0)</f>
        <v>#REF!</v>
      </c>
      <c r="EF15" t="e">
        <f>AND('Current Index'!#REF!,"AAAAADb3f4c=")</f>
        <v>#REF!</v>
      </c>
      <c r="EG15" t="e">
        <f>AND('Current Index'!#REF!,"AAAAADb3f4g=")</f>
        <v>#REF!</v>
      </c>
      <c r="EH15" t="e">
        <f>AND('Current Index'!#REF!,"AAAAADb3f4k=")</f>
        <v>#REF!</v>
      </c>
      <c r="EI15" t="e">
        <f>AND('Current Index'!#REF!,"AAAAADb3f4o=")</f>
        <v>#REF!</v>
      </c>
      <c r="EJ15" t="e">
        <f>AND('Current Index'!#REF!,"AAAAADb3f4s=")</f>
        <v>#REF!</v>
      </c>
      <c r="EK15" t="e">
        <f>AND('Current Index'!#REF!,"AAAAADb3f4w=")</f>
        <v>#REF!</v>
      </c>
      <c r="EL15" t="e">
        <f>AND('Current Index'!#REF!,"AAAAADb3f40=")</f>
        <v>#REF!</v>
      </c>
      <c r="EM15" t="e">
        <f>AND('Current Index'!#REF!,"AAAAADb3f44=")</f>
        <v>#REF!</v>
      </c>
      <c r="EN15" t="e">
        <f>AND('Current Index'!#REF!,"AAAAADb3f48=")</f>
        <v>#REF!</v>
      </c>
      <c r="EO15" t="e">
        <f>AND('Current Index'!#REF!,"AAAAADb3f5A=")</f>
        <v>#REF!</v>
      </c>
      <c r="EP15">
        <f>IF('Current Index'!375:375,"AAAAADb3f5E=",0)</f>
        <v>0</v>
      </c>
      <c r="EQ15" t="e">
        <f>AND('Current Index'!A375,"AAAAADb3f5I=")</f>
        <v>#VALUE!</v>
      </c>
      <c r="ER15" t="e">
        <f>AND('Current Index'!#REF!,"AAAAADb3f5M=")</f>
        <v>#REF!</v>
      </c>
      <c r="ES15" t="e">
        <f>AND('Current Index'!B375,"AAAAADb3f5Q=")</f>
        <v>#VALUE!</v>
      </c>
      <c r="ET15" t="e">
        <f>AND('Current Index'!C375,"AAAAADb3f5U=")</f>
        <v>#VALUE!</v>
      </c>
      <c r="EU15" t="e">
        <f>AND('Current Index'!D375,"AAAAADb3f5Y=")</f>
        <v>#VALUE!</v>
      </c>
      <c r="EV15" t="e">
        <f>AND('Current Index'!E375,"AAAAADb3f5c=")</f>
        <v>#VALUE!</v>
      </c>
      <c r="EW15" t="e">
        <f>AND('Current Index'!F375,"AAAAADb3f5g=")</f>
        <v>#VALUE!</v>
      </c>
      <c r="EX15" t="e">
        <f>AND('Current Index'!G375,"AAAAADb3f5k=")</f>
        <v>#VALUE!</v>
      </c>
      <c r="EY15" t="e">
        <f>AND('Current Index'!H375,"AAAAADb3f5o=")</f>
        <v>#VALUE!</v>
      </c>
      <c r="EZ15" t="e">
        <f>AND('Current Index'!I375,"AAAAADb3f5s=")</f>
        <v>#VALUE!</v>
      </c>
      <c r="FA15">
        <f>IF('Current Index'!376:376,"AAAAADb3f5w=",0)</f>
        <v>0</v>
      </c>
      <c r="FB15" t="e">
        <f>AND('Current Index'!A376,"AAAAADb3f50=")</f>
        <v>#VALUE!</v>
      </c>
      <c r="FC15" t="e">
        <f>AND('Current Index'!#REF!,"AAAAADb3f54=")</f>
        <v>#REF!</v>
      </c>
      <c r="FD15" t="e">
        <f>AND('Current Index'!B376,"AAAAADb3f58=")</f>
        <v>#VALUE!</v>
      </c>
      <c r="FE15" t="e">
        <f>AND('Current Index'!C376,"AAAAADb3f6A=")</f>
        <v>#VALUE!</v>
      </c>
      <c r="FF15" t="e">
        <f>AND('Current Index'!D376,"AAAAADb3f6E=")</f>
        <v>#VALUE!</v>
      </c>
      <c r="FG15" t="e">
        <f>AND('Current Index'!E376,"AAAAADb3f6I=")</f>
        <v>#VALUE!</v>
      </c>
      <c r="FH15" t="e">
        <f>AND('Current Index'!F376,"AAAAADb3f6M=")</f>
        <v>#VALUE!</v>
      </c>
      <c r="FI15" t="e">
        <f>AND('Current Index'!G376,"AAAAADb3f6Q=")</f>
        <v>#VALUE!</v>
      </c>
      <c r="FJ15" t="e">
        <f>AND('Current Index'!H376,"AAAAADb3f6U=")</f>
        <v>#VALUE!</v>
      </c>
      <c r="FK15" t="e">
        <f>AND('Current Index'!I376,"AAAAADb3f6Y=")</f>
        <v>#VALUE!</v>
      </c>
      <c r="FL15">
        <f>IF('Current Index'!377:377,"AAAAADb3f6c=",0)</f>
        <v>0</v>
      </c>
      <c r="FM15" t="e">
        <f>AND('Current Index'!A377,"AAAAADb3f6g=")</f>
        <v>#VALUE!</v>
      </c>
      <c r="FN15" t="e">
        <f>AND('Current Index'!#REF!,"AAAAADb3f6k=")</f>
        <v>#REF!</v>
      </c>
      <c r="FO15" t="e">
        <f>AND('Current Index'!B377,"AAAAADb3f6o=")</f>
        <v>#VALUE!</v>
      </c>
      <c r="FP15" t="e">
        <f>AND('Current Index'!C377,"AAAAADb3f6s=")</f>
        <v>#VALUE!</v>
      </c>
      <c r="FQ15" t="e">
        <f>AND('Current Index'!D377,"AAAAADb3f6w=")</f>
        <v>#VALUE!</v>
      </c>
      <c r="FR15" t="e">
        <f>AND('Current Index'!E377,"AAAAADb3f60=")</f>
        <v>#VALUE!</v>
      </c>
      <c r="FS15" t="e">
        <f>AND('Current Index'!F377,"AAAAADb3f64=")</f>
        <v>#VALUE!</v>
      </c>
      <c r="FT15" t="e">
        <f>AND('Current Index'!G377,"AAAAADb3f68=")</f>
        <v>#VALUE!</v>
      </c>
      <c r="FU15" t="e">
        <f>AND('Current Index'!H377,"AAAAADb3f7A=")</f>
        <v>#VALUE!</v>
      </c>
      <c r="FV15" t="e">
        <f>AND('Current Index'!I377,"AAAAADb3f7E=")</f>
        <v>#VALUE!</v>
      </c>
      <c r="FW15">
        <f>IF('Current Index'!378:378,"AAAAADb3f7I=",0)</f>
        <v>0</v>
      </c>
      <c r="FX15" t="e">
        <f>AND('Current Index'!A378,"AAAAADb3f7M=")</f>
        <v>#VALUE!</v>
      </c>
      <c r="FY15" t="e">
        <f>AND('Current Index'!#REF!,"AAAAADb3f7Q=")</f>
        <v>#REF!</v>
      </c>
      <c r="FZ15" t="e">
        <f>AND('Current Index'!B378,"AAAAADb3f7U=")</f>
        <v>#VALUE!</v>
      </c>
      <c r="GA15" t="e">
        <f>AND('Current Index'!C378,"AAAAADb3f7Y=")</f>
        <v>#VALUE!</v>
      </c>
      <c r="GB15" t="e">
        <f>AND('Current Index'!D378,"AAAAADb3f7c=")</f>
        <v>#VALUE!</v>
      </c>
      <c r="GC15" t="e">
        <f>AND('Current Index'!E378,"AAAAADb3f7g=")</f>
        <v>#VALUE!</v>
      </c>
      <c r="GD15" t="e">
        <f>AND('Current Index'!F378,"AAAAADb3f7k=")</f>
        <v>#VALUE!</v>
      </c>
      <c r="GE15" t="e">
        <f>AND('Current Index'!G378,"AAAAADb3f7o=")</f>
        <v>#VALUE!</v>
      </c>
      <c r="GF15" t="e">
        <f>AND('Current Index'!H378,"AAAAADb3f7s=")</f>
        <v>#VALUE!</v>
      </c>
      <c r="GG15" t="e">
        <f>AND('Current Index'!I378,"AAAAADb3f7w=")</f>
        <v>#VALUE!</v>
      </c>
      <c r="GH15">
        <f>IF('Current Index'!379:379,"AAAAADb3f70=",0)</f>
        <v>0</v>
      </c>
      <c r="GI15" t="e">
        <f>AND('Current Index'!A379,"AAAAADb3f74=")</f>
        <v>#VALUE!</v>
      </c>
      <c r="GJ15" t="e">
        <f>AND('Current Index'!#REF!,"AAAAADb3f78=")</f>
        <v>#REF!</v>
      </c>
      <c r="GK15" t="e">
        <f>AND('Current Index'!B379,"AAAAADb3f8A=")</f>
        <v>#VALUE!</v>
      </c>
      <c r="GL15" t="e">
        <f>AND('Current Index'!C379,"AAAAADb3f8E=")</f>
        <v>#VALUE!</v>
      </c>
      <c r="GM15" t="e">
        <f>AND('Current Index'!D379,"AAAAADb3f8I=")</f>
        <v>#VALUE!</v>
      </c>
      <c r="GN15" t="e">
        <f>AND('Current Index'!E379,"AAAAADb3f8M=")</f>
        <v>#VALUE!</v>
      </c>
      <c r="GO15" t="e">
        <f>AND('Current Index'!F379,"AAAAADb3f8Q=")</f>
        <v>#VALUE!</v>
      </c>
      <c r="GP15" t="e">
        <f>AND('Current Index'!G379,"AAAAADb3f8U=")</f>
        <v>#VALUE!</v>
      </c>
      <c r="GQ15" t="e">
        <f>AND('Current Index'!H379,"AAAAADb3f8Y=")</f>
        <v>#VALUE!</v>
      </c>
      <c r="GR15" t="e">
        <f>AND('Current Index'!I379,"AAAAADb3f8c=")</f>
        <v>#VALUE!</v>
      </c>
      <c r="GS15">
        <f>IF('Current Index'!380:380,"AAAAADb3f8g=",0)</f>
        <v>0</v>
      </c>
      <c r="GT15" t="e">
        <f>AND('Current Index'!A380,"AAAAADb3f8k=")</f>
        <v>#VALUE!</v>
      </c>
      <c r="GU15" t="e">
        <f>AND('Current Index'!#REF!,"AAAAADb3f8o=")</f>
        <v>#REF!</v>
      </c>
      <c r="GV15" t="e">
        <f>AND('Current Index'!B380,"AAAAADb3f8s=")</f>
        <v>#VALUE!</v>
      </c>
      <c r="GW15" t="e">
        <f>AND('Current Index'!C380,"AAAAADb3f8w=")</f>
        <v>#VALUE!</v>
      </c>
      <c r="GX15" t="e">
        <f>AND('Current Index'!D380,"AAAAADb3f80=")</f>
        <v>#VALUE!</v>
      </c>
      <c r="GY15" t="e">
        <f>AND('Current Index'!E380,"AAAAADb3f84=")</f>
        <v>#VALUE!</v>
      </c>
      <c r="GZ15" t="e">
        <f>AND('Current Index'!F380,"AAAAADb3f88=")</f>
        <v>#VALUE!</v>
      </c>
      <c r="HA15" t="e">
        <f>AND('Current Index'!G380,"AAAAADb3f9A=")</f>
        <v>#VALUE!</v>
      </c>
      <c r="HB15" t="e">
        <f>AND('Current Index'!H380,"AAAAADb3f9E=")</f>
        <v>#VALUE!</v>
      </c>
      <c r="HC15" t="e">
        <f>AND('Current Index'!I380,"AAAAADb3f9I=")</f>
        <v>#VALUE!</v>
      </c>
      <c r="HD15">
        <f>IF('Current Index'!381:381,"AAAAADb3f9M=",0)</f>
        <v>0</v>
      </c>
      <c r="HE15" t="e">
        <f>AND('Current Index'!A381,"AAAAADb3f9Q=")</f>
        <v>#VALUE!</v>
      </c>
      <c r="HF15" t="e">
        <f>AND('Current Index'!#REF!,"AAAAADb3f9U=")</f>
        <v>#REF!</v>
      </c>
      <c r="HG15" t="e">
        <f>AND('Current Index'!B381,"AAAAADb3f9Y=")</f>
        <v>#VALUE!</v>
      </c>
      <c r="HH15" t="e">
        <f>AND('Current Index'!C381,"AAAAADb3f9c=")</f>
        <v>#VALUE!</v>
      </c>
      <c r="HI15" t="e">
        <f>AND('Current Index'!D381,"AAAAADb3f9g=")</f>
        <v>#VALUE!</v>
      </c>
      <c r="HJ15" t="e">
        <f>AND('Current Index'!E381,"AAAAADb3f9k=")</f>
        <v>#VALUE!</v>
      </c>
      <c r="HK15" t="e">
        <f>AND('Current Index'!F381,"AAAAADb3f9o=")</f>
        <v>#VALUE!</v>
      </c>
      <c r="HL15" t="e">
        <f>AND('Current Index'!G381,"AAAAADb3f9s=")</f>
        <v>#VALUE!</v>
      </c>
      <c r="HM15" t="e">
        <f>AND('Current Index'!H381,"AAAAADb3f9w=")</f>
        <v>#VALUE!</v>
      </c>
      <c r="HN15" t="e">
        <f>AND('Current Index'!I381,"AAAAADb3f90=")</f>
        <v>#VALUE!</v>
      </c>
      <c r="HO15">
        <f>IF('Current Index'!382:382,"AAAAADb3f94=",0)</f>
        <v>0</v>
      </c>
      <c r="HP15" t="e">
        <f>AND('Current Index'!A382,"AAAAADb3f98=")</f>
        <v>#VALUE!</v>
      </c>
      <c r="HQ15" t="e">
        <f>AND('Current Index'!#REF!,"AAAAADb3f+A=")</f>
        <v>#REF!</v>
      </c>
      <c r="HR15" t="e">
        <f>AND('Current Index'!B382,"AAAAADb3f+E=")</f>
        <v>#VALUE!</v>
      </c>
      <c r="HS15" t="e">
        <f>AND('Current Index'!C382,"AAAAADb3f+I=")</f>
        <v>#VALUE!</v>
      </c>
      <c r="HT15" t="e">
        <f>AND('Current Index'!D382,"AAAAADb3f+M=")</f>
        <v>#VALUE!</v>
      </c>
      <c r="HU15" t="e">
        <f>AND('Current Index'!E382,"AAAAADb3f+Q=")</f>
        <v>#VALUE!</v>
      </c>
      <c r="HV15" t="e">
        <f>AND('Current Index'!F382,"AAAAADb3f+U=")</f>
        <v>#VALUE!</v>
      </c>
      <c r="HW15" t="e">
        <f>AND('Current Index'!G382,"AAAAADb3f+Y=")</f>
        <v>#VALUE!</v>
      </c>
      <c r="HX15" t="e">
        <f>AND('Current Index'!H382,"AAAAADb3f+c=")</f>
        <v>#VALUE!</v>
      </c>
      <c r="HY15" t="e">
        <f>AND('Current Index'!I382,"AAAAADb3f+g=")</f>
        <v>#VALUE!</v>
      </c>
      <c r="HZ15" t="e">
        <f>IF('Current Index'!#REF!,"AAAAADb3f+k=",0)</f>
        <v>#REF!</v>
      </c>
      <c r="IA15" t="e">
        <f>AND('Current Index'!#REF!,"AAAAADb3f+o=")</f>
        <v>#REF!</v>
      </c>
      <c r="IB15" t="e">
        <f>AND('Current Index'!#REF!,"AAAAADb3f+s=")</f>
        <v>#REF!</v>
      </c>
      <c r="IC15" t="e">
        <f>AND('Current Index'!#REF!,"AAAAADb3f+w=")</f>
        <v>#REF!</v>
      </c>
      <c r="ID15" t="e">
        <f>AND('Current Index'!#REF!,"AAAAADb3f+0=")</f>
        <v>#REF!</v>
      </c>
      <c r="IE15" t="e">
        <f>AND('Current Index'!#REF!,"AAAAADb3f+4=")</f>
        <v>#REF!</v>
      </c>
      <c r="IF15" t="e">
        <f>AND('Current Index'!#REF!,"AAAAADb3f+8=")</f>
        <v>#REF!</v>
      </c>
      <c r="IG15" t="e">
        <f>AND('Current Index'!#REF!,"AAAAADb3f/A=")</f>
        <v>#REF!</v>
      </c>
      <c r="IH15" t="e">
        <f>AND('Current Index'!#REF!,"AAAAADb3f/E=")</f>
        <v>#REF!</v>
      </c>
      <c r="II15" t="e">
        <f>AND('Current Index'!#REF!,"AAAAADb3f/I=")</f>
        <v>#REF!</v>
      </c>
      <c r="IJ15" t="e">
        <f>AND('Current Index'!#REF!,"AAAAADb3f/M=")</f>
        <v>#REF!</v>
      </c>
      <c r="IK15" t="e">
        <f>IF('Current Index'!#REF!,"AAAAADb3f/Q=",0)</f>
        <v>#REF!</v>
      </c>
      <c r="IL15" t="e">
        <f>AND('Current Index'!#REF!,"AAAAADb3f/U=")</f>
        <v>#REF!</v>
      </c>
      <c r="IM15" t="e">
        <f>AND('Current Index'!#REF!,"AAAAADb3f/Y=")</f>
        <v>#REF!</v>
      </c>
      <c r="IN15" t="e">
        <f>AND('Current Index'!#REF!,"AAAAADb3f/c=")</f>
        <v>#REF!</v>
      </c>
      <c r="IO15" t="e">
        <f>AND('Current Index'!#REF!,"AAAAADb3f/g=")</f>
        <v>#REF!</v>
      </c>
      <c r="IP15" t="e">
        <f>AND('Current Index'!#REF!,"AAAAADb3f/k=")</f>
        <v>#REF!</v>
      </c>
      <c r="IQ15" t="e">
        <f>AND('Current Index'!#REF!,"AAAAADb3f/o=")</f>
        <v>#REF!</v>
      </c>
      <c r="IR15" t="e">
        <f>AND('Current Index'!#REF!,"AAAAADb3f/s=")</f>
        <v>#REF!</v>
      </c>
      <c r="IS15" t="e">
        <f>AND('Current Index'!#REF!,"AAAAADb3f/w=")</f>
        <v>#REF!</v>
      </c>
      <c r="IT15" t="e">
        <f>AND('Current Index'!#REF!,"AAAAADb3f/0=")</f>
        <v>#REF!</v>
      </c>
      <c r="IU15" t="e">
        <f>AND('Current Index'!#REF!,"AAAAADb3f/4=")</f>
        <v>#REF!</v>
      </c>
      <c r="IV15" t="e">
        <f>IF('Current Index'!#REF!,"AAAAADb3f/8=",0)</f>
        <v>#REF!</v>
      </c>
    </row>
    <row r="16" spans="1:256" x14ac:dyDescent="0.25">
      <c r="A16" t="e">
        <f>AND('Current Index'!#REF!,"AAAAAD939wA=")</f>
        <v>#REF!</v>
      </c>
      <c r="B16" t="e">
        <f>AND('Current Index'!#REF!,"AAAAAD939wE=")</f>
        <v>#REF!</v>
      </c>
      <c r="C16" t="e">
        <f>AND('Current Index'!#REF!,"AAAAAD939wI=")</f>
        <v>#REF!</v>
      </c>
      <c r="D16" t="e">
        <f>AND('Current Index'!#REF!,"AAAAAD939wM=")</f>
        <v>#REF!</v>
      </c>
      <c r="E16" t="e">
        <f>AND('Current Index'!#REF!,"AAAAAD939wQ=")</f>
        <v>#REF!</v>
      </c>
      <c r="F16" t="e">
        <f>AND('Current Index'!#REF!,"AAAAAD939wU=")</f>
        <v>#REF!</v>
      </c>
      <c r="G16" t="e">
        <f>AND('Current Index'!#REF!,"AAAAAD939wY=")</f>
        <v>#REF!</v>
      </c>
      <c r="H16" t="e">
        <f>AND('Current Index'!#REF!,"AAAAAD939wc=")</f>
        <v>#REF!</v>
      </c>
      <c r="I16" t="e">
        <f>AND('Current Index'!#REF!,"AAAAAD939wg=")</f>
        <v>#REF!</v>
      </c>
      <c r="J16" t="e">
        <f>AND('Current Index'!#REF!,"AAAAAD939wk=")</f>
        <v>#REF!</v>
      </c>
      <c r="K16">
        <f>IF('Current Index'!383:383,"AAAAAD939wo=",0)</f>
        <v>0</v>
      </c>
      <c r="L16" t="e">
        <f>AND('Current Index'!A383,"AAAAAD939ws=")</f>
        <v>#VALUE!</v>
      </c>
      <c r="M16" t="e">
        <f>AND('Current Index'!#REF!,"AAAAAD939ww=")</f>
        <v>#REF!</v>
      </c>
      <c r="N16" t="e">
        <f>AND('Current Index'!B383,"AAAAAD939w0=")</f>
        <v>#VALUE!</v>
      </c>
      <c r="O16" t="e">
        <f>AND('Current Index'!C383,"AAAAAD939w4=")</f>
        <v>#VALUE!</v>
      </c>
      <c r="P16" t="e">
        <f>AND('Current Index'!D383,"AAAAAD939w8=")</f>
        <v>#VALUE!</v>
      </c>
      <c r="Q16" t="e">
        <f>AND('Current Index'!E383,"AAAAAD939xA=")</f>
        <v>#VALUE!</v>
      </c>
      <c r="R16" t="e">
        <f>AND('Current Index'!F383,"AAAAAD939xE=")</f>
        <v>#VALUE!</v>
      </c>
      <c r="S16" t="e">
        <f>AND('Current Index'!G383,"AAAAAD939xI=")</f>
        <v>#VALUE!</v>
      </c>
      <c r="T16" t="e">
        <f>AND('Current Index'!H383,"AAAAAD939xM=")</f>
        <v>#VALUE!</v>
      </c>
      <c r="U16" t="e">
        <f>AND('Current Index'!I383,"AAAAAD939xQ=")</f>
        <v>#VALUE!</v>
      </c>
      <c r="V16">
        <f>IF('Current Index'!384:384,"AAAAAD939xU=",0)</f>
        <v>0</v>
      </c>
      <c r="W16" t="e">
        <f>AND('Current Index'!A384,"AAAAAD939xY=")</f>
        <v>#VALUE!</v>
      </c>
      <c r="X16" t="e">
        <f>AND('Current Index'!#REF!,"AAAAAD939xc=")</f>
        <v>#REF!</v>
      </c>
      <c r="Y16" t="e">
        <f>AND('Current Index'!B384,"AAAAAD939xg=")</f>
        <v>#VALUE!</v>
      </c>
      <c r="Z16" t="e">
        <f>AND('Current Index'!C384,"AAAAAD939xk=")</f>
        <v>#VALUE!</v>
      </c>
      <c r="AA16" t="e">
        <f>AND('Current Index'!D384,"AAAAAD939xo=")</f>
        <v>#VALUE!</v>
      </c>
      <c r="AB16" t="e">
        <f>AND('Current Index'!E384,"AAAAAD939xs=")</f>
        <v>#VALUE!</v>
      </c>
      <c r="AC16" t="e">
        <f>AND('Current Index'!F384,"AAAAAD939xw=")</f>
        <v>#VALUE!</v>
      </c>
      <c r="AD16" t="e">
        <f>AND('Current Index'!G384,"AAAAAD939x0=")</f>
        <v>#VALUE!</v>
      </c>
      <c r="AE16" t="e">
        <f>AND('Current Index'!H384,"AAAAAD939x4=")</f>
        <v>#VALUE!</v>
      </c>
      <c r="AF16" t="e">
        <f>AND('Current Index'!I384,"AAAAAD939x8=")</f>
        <v>#VALUE!</v>
      </c>
      <c r="AG16">
        <f>IF('Current Index'!385:385,"AAAAAD939yA=",0)</f>
        <v>0</v>
      </c>
      <c r="AH16" t="e">
        <f>AND('Current Index'!A385,"AAAAAD939yE=")</f>
        <v>#VALUE!</v>
      </c>
      <c r="AI16" t="e">
        <f>AND('Current Index'!#REF!,"AAAAAD939yI=")</f>
        <v>#REF!</v>
      </c>
      <c r="AJ16" t="e">
        <f>AND('Current Index'!B385,"AAAAAD939yM=")</f>
        <v>#VALUE!</v>
      </c>
      <c r="AK16" t="e">
        <f>AND('Current Index'!C385,"AAAAAD939yQ=")</f>
        <v>#VALUE!</v>
      </c>
      <c r="AL16" t="e">
        <f>AND('Current Index'!D385,"AAAAAD939yU=")</f>
        <v>#VALUE!</v>
      </c>
      <c r="AM16" t="e">
        <f>AND('Current Index'!E385,"AAAAAD939yY=")</f>
        <v>#VALUE!</v>
      </c>
      <c r="AN16" t="e">
        <f>AND('Current Index'!F385,"AAAAAD939yc=")</f>
        <v>#VALUE!</v>
      </c>
      <c r="AO16" t="e">
        <f>AND('Current Index'!G385,"AAAAAD939yg=")</f>
        <v>#VALUE!</v>
      </c>
      <c r="AP16" t="e">
        <f>AND('Current Index'!H385,"AAAAAD939yk=")</f>
        <v>#VALUE!</v>
      </c>
      <c r="AQ16" t="e">
        <f>AND('Current Index'!I385,"AAAAAD939yo=")</f>
        <v>#VALUE!</v>
      </c>
      <c r="AR16">
        <f>IF('Current Index'!386:386,"AAAAAD939ys=",0)</f>
        <v>0</v>
      </c>
      <c r="AS16" t="e">
        <f>AND('Current Index'!A386,"AAAAAD939yw=")</f>
        <v>#VALUE!</v>
      </c>
      <c r="AT16" t="e">
        <f>AND('Current Index'!#REF!,"AAAAAD939y0=")</f>
        <v>#REF!</v>
      </c>
      <c r="AU16" t="e">
        <f>AND('Current Index'!B386,"AAAAAD939y4=")</f>
        <v>#VALUE!</v>
      </c>
      <c r="AV16" t="e">
        <f>AND('Current Index'!C386,"AAAAAD939y8=")</f>
        <v>#VALUE!</v>
      </c>
      <c r="AW16" t="e">
        <f>AND('Current Index'!D386,"AAAAAD939zA=")</f>
        <v>#VALUE!</v>
      </c>
      <c r="AX16" t="e">
        <f>AND('Current Index'!E386,"AAAAAD939zE=")</f>
        <v>#VALUE!</v>
      </c>
      <c r="AY16" t="e">
        <f>AND('Current Index'!F386,"AAAAAD939zI=")</f>
        <v>#VALUE!</v>
      </c>
      <c r="AZ16" t="e">
        <f>AND('Current Index'!G386,"AAAAAD939zM=")</f>
        <v>#VALUE!</v>
      </c>
      <c r="BA16" t="e">
        <f>AND('Current Index'!H386,"AAAAAD939zQ=")</f>
        <v>#VALUE!</v>
      </c>
      <c r="BB16" t="e">
        <f>AND('Current Index'!I386,"AAAAAD939zU=")</f>
        <v>#VALUE!</v>
      </c>
      <c r="BC16">
        <f>IF('Current Index'!387:387,"AAAAAD939zY=",0)</f>
        <v>0</v>
      </c>
      <c r="BD16" t="e">
        <f>AND('Current Index'!A387,"AAAAAD939zc=")</f>
        <v>#VALUE!</v>
      </c>
      <c r="BE16" t="e">
        <f>AND('Current Index'!#REF!,"AAAAAD939zg=")</f>
        <v>#REF!</v>
      </c>
      <c r="BF16" t="e">
        <f>AND('Current Index'!B387,"AAAAAD939zk=")</f>
        <v>#VALUE!</v>
      </c>
      <c r="BG16" t="e">
        <f>AND('Current Index'!C387,"AAAAAD939zo=")</f>
        <v>#VALUE!</v>
      </c>
      <c r="BH16" t="e">
        <f>AND('Current Index'!D387,"AAAAAD939zs=")</f>
        <v>#VALUE!</v>
      </c>
      <c r="BI16" t="e">
        <f>AND('Current Index'!E387,"AAAAAD939zw=")</f>
        <v>#VALUE!</v>
      </c>
      <c r="BJ16" t="e">
        <f>AND('Current Index'!F387,"AAAAAD939z0=")</f>
        <v>#VALUE!</v>
      </c>
      <c r="BK16" t="e">
        <f>AND('Current Index'!G387,"AAAAAD939z4=")</f>
        <v>#VALUE!</v>
      </c>
      <c r="BL16" t="e">
        <f>AND('Current Index'!H387,"AAAAAD939z8=")</f>
        <v>#VALUE!</v>
      </c>
      <c r="BM16" t="e">
        <f>AND('Current Index'!I387,"AAAAAD9390A=")</f>
        <v>#VALUE!</v>
      </c>
      <c r="BN16">
        <f>IF('Current Index'!388:388,"AAAAAD9390E=",0)</f>
        <v>0</v>
      </c>
      <c r="BO16" t="e">
        <f>AND('Current Index'!A388,"AAAAAD9390I=")</f>
        <v>#VALUE!</v>
      </c>
      <c r="BP16" t="e">
        <f>AND('Current Index'!#REF!,"AAAAAD9390M=")</f>
        <v>#REF!</v>
      </c>
      <c r="BQ16" t="e">
        <f>AND('Current Index'!B388,"AAAAAD9390Q=")</f>
        <v>#VALUE!</v>
      </c>
      <c r="BR16" t="e">
        <f>AND('Current Index'!C388,"AAAAAD9390U=")</f>
        <v>#VALUE!</v>
      </c>
      <c r="BS16" t="e">
        <f>AND('Current Index'!D388,"AAAAAD9390Y=")</f>
        <v>#VALUE!</v>
      </c>
      <c r="BT16" t="e">
        <f>AND('Current Index'!E388,"AAAAAD9390c=")</f>
        <v>#VALUE!</v>
      </c>
      <c r="BU16" t="e">
        <f>AND('Current Index'!F388,"AAAAAD9390g=")</f>
        <v>#VALUE!</v>
      </c>
      <c r="BV16" t="e">
        <f>AND('Current Index'!G388,"AAAAAD9390k=")</f>
        <v>#VALUE!</v>
      </c>
      <c r="BW16" t="e">
        <f>AND('Current Index'!H388,"AAAAAD9390o=")</f>
        <v>#VALUE!</v>
      </c>
      <c r="BX16" t="e">
        <f>AND('Current Index'!I388,"AAAAAD9390s=")</f>
        <v>#VALUE!</v>
      </c>
      <c r="BY16">
        <f>IF('Current Index'!395:395,"AAAAAD9390w=",0)</f>
        <v>0</v>
      </c>
      <c r="BZ16" t="e">
        <f>AND('Current Index'!A395,"AAAAAD93900=")</f>
        <v>#VALUE!</v>
      </c>
      <c r="CA16" t="e">
        <f>AND('Current Index'!#REF!,"AAAAAD93904=")</f>
        <v>#REF!</v>
      </c>
      <c r="CB16" t="e">
        <f>AND('Current Index'!B395,"AAAAAD93908=")</f>
        <v>#VALUE!</v>
      </c>
      <c r="CC16" t="e">
        <f>AND('Current Index'!C395,"AAAAAD9391A=")</f>
        <v>#VALUE!</v>
      </c>
      <c r="CD16" t="e">
        <f>AND('Current Index'!D395,"AAAAAD9391E=")</f>
        <v>#VALUE!</v>
      </c>
      <c r="CE16" t="e">
        <f>AND('Current Index'!E395,"AAAAAD9391I=")</f>
        <v>#VALUE!</v>
      </c>
      <c r="CF16" t="e">
        <f>AND('Current Index'!F395,"AAAAAD9391M=")</f>
        <v>#VALUE!</v>
      </c>
      <c r="CG16" t="e">
        <f>AND('Current Index'!G395,"AAAAAD9391Q=")</f>
        <v>#VALUE!</v>
      </c>
      <c r="CH16" t="e">
        <f>AND('Current Index'!H395,"AAAAAD9391U=")</f>
        <v>#VALUE!</v>
      </c>
      <c r="CI16" t="e">
        <f>AND('Current Index'!I395,"AAAAAD9391Y=")</f>
        <v>#VALUE!</v>
      </c>
      <c r="CJ16">
        <f>IF('Current Index'!396:396,"AAAAAD9391c=",0)</f>
        <v>0</v>
      </c>
      <c r="CK16" t="e">
        <f>AND('Current Index'!A396,"AAAAAD9391g=")</f>
        <v>#VALUE!</v>
      </c>
      <c r="CL16" t="e">
        <f>AND('Current Index'!#REF!,"AAAAAD9391k=")</f>
        <v>#REF!</v>
      </c>
      <c r="CM16" t="e">
        <f>AND('Current Index'!B396,"AAAAAD9391o=")</f>
        <v>#VALUE!</v>
      </c>
      <c r="CN16" t="e">
        <f>AND('Current Index'!C396,"AAAAAD9391s=")</f>
        <v>#VALUE!</v>
      </c>
      <c r="CO16" t="e">
        <f>AND('Current Index'!D396,"AAAAAD9391w=")</f>
        <v>#VALUE!</v>
      </c>
      <c r="CP16" t="e">
        <f>AND('Current Index'!E396,"AAAAAD93910=")</f>
        <v>#VALUE!</v>
      </c>
      <c r="CQ16" t="e">
        <f>AND('Current Index'!F396,"AAAAAD93914=")</f>
        <v>#VALUE!</v>
      </c>
      <c r="CR16" t="e">
        <f>AND('Current Index'!G396,"AAAAAD93918=")</f>
        <v>#VALUE!</v>
      </c>
      <c r="CS16" t="e">
        <f>AND('Current Index'!H396,"AAAAAD9392A=")</f>
        <v>#VALUE!</v>
      </c>
      <c r="CT16" t="e">
        <f>AND('Current Index'!I396,"AAAAAD9392E=")</f>
        <v>#VALUE!</v>
      </c>
      <c r="CU16">
        <f>IF('Current Index'!397:397,"AAAAAD9392I=",0)</f>
        <v>0</v>
      </c>
      <c r="CV16" t="e">
        <f>AND('Current Index'!A397,"AAAAAD9392M=")</f>
        <v>#VALUE!</v>
      </c>
      <c r="CW16" t="e">
        <f>AND('Current Index'!#REF!,"AAAAAD9392Q=")</f>
        <v>#REF!</v>
      </c>
      <c r="CX16" t="e">
        <f>AND('Current Index'!B397,"AAAAAD9392U=")</f>
        <v>#VALUE!</v>
      </c>
      <c r="CY16" t="e">
        <f>AND('Current Index'!C397,"AAAAAD9392Y=")</f>
        <v>#VALUE!</v>
      </c>
      <c r="CZ16" t="e">
        <f>AND('Current Index'!D397,"AAAAAD9392c=")</f>
        <v>#VALUE!</v>
      </c>
      <c r="DA16" t="e">
        <f>AND('Current Index'!E397,"AAAAAD9392g=")</f>
        <v>#VALUE!</v>
      </c>
      <c r="DB16" t="e">
        <f>AND('Current Index'!F397,"AAAAAD9392k=")</f>
        <v>#VALUE!</v>
      </c>
      <c r="DC16" t="e">
        <f>AND('Current Index'!G397,"AAAAAD9392o=")</f>
        <v>#VALUE!</v>
      </c>
      <c r="DD16" t="e">
        <f>AND('Current Index'!H397,"AAAAAD9392s=")</f>
        <v>#VALUE!</v>
      </c>
      <c r="DE16" t="e">
        <f>AND('Current Index'!I397,"AAAAAD9392w=")</f>
        <v>#VALUE!</v>
      </c>
      <c r="DF16">
        <f>IF('Current Index'!398:398,"AAAAAD93920=",0)</f>
        <v>0</v>
      </c>
      <c r="DG16" t="e">
        <f>AND('Current Index'!A398,"AAAAAD93924=")</f>
        <v>#VALUE!</v>
      </c>
      <c r="DH16" t="e">
        <f>AND('Current Index'!#REF!,"AAAAAD93928=")</f>
        <v>#REF!</v>
      </c>
      <c r="DI16" t="e">
        <f>AND('Current Index'!B398,"AAAAAD9393A=")</f>
        <v>#VALUE!</v>
      </c>
      <c r="DJ16" t="e">
        <f>AND('Current Index'!C398,"AAAAAD9393E=")</f>
        <v>#VALUE!</v>
      </c>
      <c r="DK16" t="e">
        <f>AND('Current Index'!D398,"AAAAAD9393I=")</f>
        <v>#VALUE!</v>
      </c>
      <c r="DL16" t="e">
        <f>AND('Current Index'!E398,"AAAAAD9393M=")</f>
        <v>#VALUE!</v>
      </c>
      <c r="DM16" t="e">
        <f>AND('Current Index'!F398,"AAAAAD9393Q=")</f>
        <v>#VALUE!</v>
      </c>
      <c r="DN16" t="e">
        <f>AND('Current Index'!G398,"AAAAAD9393U=")</f>
        <v>#VALUE!</v>
      </c>
      <c r="DO16" t="e">
        <f>AND('Current Index'!H398,"AAAAAD9393Y=")</f>
        <v>#VALUE!</v>
      </c>
      <c r="DP16" t="e">
        <f>AND('Current Index'!I398,"AAAAAD9393c=")</f>
        <v>#VALUE!</v>
      </c>
      <c r="DQ16">
        <f>IF('Current Index'!399:399,"AAAAAD9393g=",0)</f>
        <v>0</v>
      </c>
      <c r="DR16" t="e">
        <f>AND('Current Index'!A399,"AAAAAD9393k=")</f>
        <v>#VALUE!</v>
      </c>
      <c r="DS16" t="e">
        <f>AND('Current Index'!#REF!,"AAAAAD9393o=")</f>
        <v>#REF!</v>
      </c>
      <c r="DT16" t="e">
        <f>AND('Current Index'!B399,"AAAAAD9393s=")</f>
        <v>#VALUE!</v>
      </c>
      <c r="DU16" t="e">
        <f>AND('Current Index'!C399,"AAAAAD9393w=")</f>
        <v>#VALUE!</v>
      </c>
      <c r="DV16" t="e">
        <f>AND('Current Index'!D399,"AAAAAD93930=")</f>
        <v>#VALUE!</v>
      </c>
      <c r="DW16" t="e">
        <f>AND('Current Index'!E399,"AAAAAD93934=")</f>
        <v>#VALUE!</v>
      </c>
      <c r="DX16" t="e">
        <f>AND('Current Index'!F399,"AAAAAD93938=")</f>
        <v>#VALUE!</v>
      </c>
      <c r="DY16" t="e">
        <f>AND('Current Index'!G399,"AAAAAD9394A=")</f>
        <v>#VALUE!</v>
      </c>
      <c r="DZ16" t="e">
        <f>AND('Current Index'!H399,"AAAAAD9394E=")</f>
        <v>#VALUE!</v>
      </c>
      <c r="EA16" t="e">
        <f>AND('Current Index'!I399,"AAAAAD9394I=")</f>
        <v>#VALUE!</v>
      </c>
      <c r="EB16">
        <f>IF('Current Index'!400:400,"AAAAAD9394M=",0)</f>
        <v>0</v>
      </c>
      <c r="EC16" t="e">
        <f>AND('Current Index'!A400,"AAAAAD9394Q=")</f>
        <v>#VALUE!</v>
      </c>
      <c r="ED16" t="e">
        <f>AND('Current Index'!#REF!,"AAAAAD9394U=")</f>
        <v>#REF!</v>
      </c>
      <c r="EE16" t="e">
        <f>AND('Current Index'!B400,"AAAAAD9394Y=")</f>
        <v>#VALUE!</v>
      </c>
      <c r="EF16" t="e">
        <f>AND('Current Index'!C400,"AAAAAD9394c=")</f>
        <v>#VALUE!</v>
      </c>
      <c r="EG16" t="e">
        <f>AND('Current Index'!D400,"AAAAAD9394g=")</f>
        <v>#VALUE!</v>
      </c>
      <c r="EH16" t="e">
        <f>AND('Current Index'!E400,"AAAAAD9394k=")</f>
        <v>#VALUE!</v>
      </c>
      <c r="EI16" t="e">
        <f>AND('Current Index'!F400,"AAAAAD9394o=")</f>
        <v>#VALUE!</v>
      </c>
      <c r="EJ16" t="e">
        <f>AND('Current Index'!G400,"AAAAAD9394s=")</f>
        <v>#VALUE!</v>
      </c>
      <c r="EK16" t="e">
        <f>AND('Current Index'!H400,"AAAAAD9394w=")</f>
        <v>#VALUE!</v>
      </c>
      <c r="EL16" t="e">
        <f>AND('Current Index'!I400,"AAAAAD93940=")</f>
        <v>#VALUE!</v>
      </c>
      <c r="EM16">
        <f>IF('Current Index'!403:403,"AAAAAD93944=",0)</f>
        <v>0</v>
      </c>
      <c r="EN16" t="e">
        <f>AND('Current Index'!A403,"AAAAAD93948=")</f>
        <v>#VALUE!</v>
      </c>
      <c r="EO16" t="e">
        <f>AND('Current Index'!#REF!,"AAAAAD9395A=")</f>
        <v>#REF!</v>
      </c>
      <c r="EP16" t="e">
        <f>AND('Current Index'!B403,"AAAAAD9395E=")</f>
        <v>#VALUE!</v>
      </c>
      <c r="EQ16" t="e">
        <f>AND('Current Index'!C403,"AAAAAD9395I=")</f>
        <v>#VALUE!</v>
      </c>
      <c r="ER16" t="e">
        <f>AND('Current Index'!D403,"AAAAAD9395M=")</f>
        <v>#VALUE!</v>
      </c>
      <c r="ES16" t="e">
        <f>AND('Current Index'!E403,"AAAAAD9395Q=")</f>
        <v>#VALUE!</v>
      </c>
      <c r="ET16" t="e">
        <f>AND('Current Index'!F403,"AAAAAD9395U=")</f>
        <v>#VALUE!</v>
      </c>
      <c r="EU16" t="e">
        <f>AND('Current Index'!G403,"AAAAAD9395Y=")</f>
        <v>#VALUE!</v>
      </c>
      <c r="EV16" t="e">
        <f>AND('Current Index'!H403,"AAAAAD9395c=")</f>
        <v>#VALUE!</v>
      </c>
      <c r="EW16" t="e">
        <f>AND('Current Index'!I403,"AAAAAD9395g=")</f>
        <v>#VALUE!</v>
      </c>
      <c r="EX16">
        <f>IF('Current Index'!404:404,"AAAAAD9395k=",0)</f>
        <v>0</v>
      </c>
      <c r="EY16" t="e">
        <f>AND('Current Index'!A404,"AAAAAD9395o=")</f>
        <v>#VALUE!</v>
      </c>
      <c r="EZ16" t="e">
        <f>AND('Current Index'!#REF!,"AAAAAD9395s=")</f>
        <v>#REF!</v>
      </c>
      <c r="FA16" t="e">
        <f>AND('Current Index'!B404,"AAAAAD9395w=")</f>
        <v>#VALUE!</v>
      </c>
      <c r="FB16" t="e">
        <f>AND('Current Index'!C404,"AAAAAD93950=")</f>
        <v>#VALUE!</v>
      </c>
      <c r="FC16" t="e">
        <f>AND('Current Index'!D404,"AAAAAD93954=")</f>
        <v>#VALUE!</v>
      </c>
      <c r="FD16" t="e">
        <f>AND('Current Index'!E404,"AAAAAD93958=")</f>
        <v>#VALUE!</v>
      </c>
      <c r="FE16" t="e">
        <f>AND('Current Index'!F404,"AAAAAD9396A=")</f>
        <v>#VALUE!</v>
      </c>
      <c r="FF16" t="e">
        <f>AND('Current Index'!G404,"AAAAAD9396E=")</f>
        <v>#VALUE!</v>
      </c>
      <c r="FG16" t="e">
        <f>AND('Current Index'!H404,"AAAAAD9396I=")</f>
        <v>#VALUE!</v>
      </c>
      <c r="FH16" t="e">
        <f>AND('Current Index'!I404,"AAAAAD9396M=")</f>
        <v>#VALUE!</v>
      </c>
      <c r="FI16">
        <f>IF('Current Index'!405:405,"AAAAAD9396Q=",0)</f>
        <v>0</v>
      </c>
      <c r="FJ16" t="e">
        <f>AND('Current Index'!A405,"AAAAAD9396U=")</f>
        <v>#VALUE!</v>
      </c>
      <c r="FK16" t="e">
        <f>AND('Current Index'!#REF!,"AAAAAD9396Y=")</f>
        <v>#REF!</v>
      </c>
      <c r="FL16" t="e">
        <f>AND('Current Index'!B405,"AAAAAD9396c=")</f>
        <v>#VALUE!</v>
      </c>
      <c r="FM16" t="e">
        <f>AND('Current Index'!C405,"AAAAAD9396g=")</f>
        <v>#VALUE!</v>
      </c>
      <c r="FN16" t="e">
        <f>AND('Current Index'!D405,"AAAAAD9396k=")</f>
        <v>#VALUE!</v>
      </c>
      <c r="FO16" t="e">
        <f>AND('Current Index'!E405,"AAAAAD9396o=")</f>
        <v>#VALUE!</v>
      </c>
      <c r="FP16" t="e">
        <f>AND('Current Index'!F405,"AAAAAD9396s=")</f>
        <v>#VALUE!</v>
      </c>
      <c r="FQ16" t="e">
        <f>AND('Current Index'!G405,"AAAAAD9396w=")</f>
        <v>#VALUE!</v>
      </c>
      <c r="FR16" t="e">
        <f>AND('Current Index'!H405,"AAAAAD93960=")</f>
        <v>#VALUE!</v>
      </c>
      <c r="FS16" t="e">
        <f>AND('Current Index'!I405,"AAAAAD93964=")</f>
        <v>#VALUE!</v>
      </c>
      <c r="FT16">
        <f>IF('Current Index'!406:406,"AAAAAD93968=",0)</f>
        <v>0</v>
      </c>
      <c r="FU16" t="e">
        <f>AND('Current Index'!A406,"AAAAAD9397A=")</f>
        <v>#VALUE!</v>
      </c>
      <c r="FV16" t="e">
        <f>AND('Current Index'!#REF!,"AAAAAD9397E=")</f>
        <v>#REF!</v>
      </c>
      <c r="FW16" t="e">
        <f>AND('Current Index'!B406,"AAAAAD9397I=")</f>
        <v>#VALUE!</v>
      </c>
      <c r="FX16" t="e">
        <f>AND('Current Index'!C406,"AAAAAD9397M=")</f>
        <v>#VALUE!</v>
      </c>
      <c r="FY16" t="e">
        <f>AND('Current Index'!D406,"AAAAAD9397Q=")</f>
        <v>#VALUE!</v>
      </c>
      <c r="FZ16" t="e">
        <f>AND('Current Index'!E406,"AAAAAD9397U=")</f>
        <v>#VALUE!</v>
      </c>
      <c r="GA16" t="e">
        <f>AND('Current Index'!F406,"AAAAAD9397Y=")</f>
        <v>#VALUE!</v>
      </c>
      <c r="GB16" t="e">
        <f>AND('Current Index'!G406,"AAAAAD9397c=")</f>
        <v>#VALUE!</v>
      </c>
      <c r="GC16" t="e">
        <f>AND('Current Index'!H406,"AAAAAD9397g=")</f>
        <v>#VALUE!</v>
      </c>
      <c r="GD16" t="e">
        <f>AND('Current Index'!I406,"AAAAAD9397k=")</f>
        <v>#VALUE!</v>
      </c>
      <c r="GE16">
        <f>IF('Current Index'!407:407,"AAAAAD9397o=",0)</f>
        <v>0</v>
      </c>
      <c r="GF16" t="e">
        <f>AND('Current Index'!A407,"AAAAAD9397s=")</f>
        <v>#VALUE!</v>
      </c>
      <c r="GG16" t="e">
        <f>AND('Current Index'!#REF!,"AAAAAD9397w=")</f>
        <v>#REF!</v>
      </c>
      <c r="GH16" t="e">
        <f>AND('Current Index'!B407,"AAAAAD93970=")</f>
        <v>#VALUE!</v>
      </c>
      <c r="GI16" t="e">
        <f>AND('Current Index'!C407,"AAAAAD93974=")</f>
        <v>#VALUE!</v>
      </c>
      <c r="GJ16" t="e">
        <f>AND('Current Index'!D407,"AAAAAD93978=")</f>
        <v>#VALUE!</v>
      </c>
      <c r="GK16" t="e">
        <f>AND('Current Index'!E407,"AAAAAD9398A=")</f>
        <v>#VALUE!</v>
      </c>
      <c r="GL16" t="e">
        <f>AND('Current Index'!F407,"AAAAAD9398E=")</f>
        <v>#VALUE!</v>
      </c>
      <c r="GM16" t="e">
        <f>AND('Current Index'!G407,"AAAAAD9398I=")</f>
        <v>#VALUE!</v>
      </c>
      <c r="GN16" t="e">
        <f>AND('Current Index'!H407,"AAAAAD9398M=")</f>
        <v>#VALUE!</v>
      </c>
      <c r="GO16" t="e">
        <f>AND('Current Index'!I407,"AAAAAD9398Q=")</f>
        <v>#VALUE!</v>
      </c>
      <c r="GP16">
        <f>IF('Current Index'!408:408,"AAAAAD9398U=",0)</f>
        <v>0</v>
      </c>
      <c r="GQ16" t="e">
        <f>AND('Current Index'!A408,"AAAAAD9398Y=")</f>
        <v>#VALUE!</v>
      </c>
      <c r="GR16" t="e">
        <f>AND('Current Index'!#REF!,"AAAAAD9398c=")</f>
        <v>#REF!</v>
      </c>
      <c r="GS16" t="e">
        <f>AND('Current Index'!B408,"AAAAAD9398g=")</f>
        <v>#VALUE!</v>
      </c>
      <c r="GT16" t="e">
        <f>AND('Current Index'!C408,"AAAAAD9398k=")</f>
        <v>#VALUE!</v>
      </c>
      <c r="GU16" t="e">
        <f>AND('Current Index'!D408,"AAAAAD9398o=")</f>
        <v>#VALUE!</v>
      </c>
      <c r="GV16" t="e">
        <f>AND('Current Index'!E408,"AAAAAD9398s=")</f>
        <v>#VALUE!</v>
      </c>
      <c r="GW16" t="e">
        <f>AND('Current Index'!F408,"AAAAAD9398w=")</f>
        <v>#VALUE!</v>
      </c>
      <c r="GX16" t="e">
        <f>AND('Current Index'!G408,"AAAAAD93980=")</f>
        <v>#VALUE!</v>
      </c>
      <c r="GY16" t="e">
        <f>AND('Current Index'!H408,"AAAAAD93984=")</f>
        <v>#VALUE!</v>
      </c>
      <c r="GZ16" t="e">
        <f>AND('Current Index'!I408,"AAAAAD93988=")</f>
        <v>#VALUE!</v>
      </c>
      <c r="HA16">
        <f>IF('Current Index'!409:409,"AAAAAD9399A=",0)</f>
        <v>0</v>
      </c>
      <c r="HB16" t="e">
        <f>AND('Current Index'!A409,"AAAAAD9399E=")</f>
        <v>#VALUE!</v>
      </c>
      <c r="HC16" t="e">
        <f>AND('Current Index'!#REF!,"AAAAAD9399I=")</f>
        <v>#REF!</v>
      </c>
      <c r="HD16" t="e">
        <f>AND('Current Index'!B409,"AAAAAD9399M=")</f>
        <v>#VALUE!</v>
      </c>
      <c r="HE16" t="e">
        <f>AND('Current Index'!C409,"AAAAAD9399Q=")</f>
        <v>#VALUE!</v>
      </c>
      <c r="HF16" t="e">
        <f>AND('Current Index'!D409,"AAAAAD9399U=")</f>
        <v>#VALUE!</v>
      </c>
      <c r="HG16" t="e">
        <f>AND('Current Index'!E409,"AAAAAD9399Y=")</f>
        <v>#VALUE!</v>
      </c>
      <c r="HH16" t="e">
        <f>AND('Current Index'!F409,"AAAAAD9399c=")</f>
        <v>#VALUE!</v>
      </c>
      <c r="HI16" t="e">
        <f>AND('Current Index'!G409,"AAAAAD9399g=")</f>
        <v>#VALUE!</v>
      </c>
      <c r="HJ16" t="e">
        <f>AND('Current Index'!H409,"AAAAAD9399k=")</f>
        <v>#VALUE!</v>
      </c>
      <c r="HK16" t="e">
        <f>AND('Current Index'!I409,"AAAAAD9399o=")</f>
        <v>#VALUE!</v>
      </c>
      <c r="HL16">
        <f>IF('Current Index'!411:411,"AAAAAD9399s=",0)</f>
        <v>0</v>
      </c>
      <c r="HM16" t="e">
        <f>AND('Current Index'!A411,"AAAAAD9399w=")</f>
        <v>#VALUE!</v>
      </c>
      <c r="HN16" t="e">
        <f>AND('Current Index'!#REF!,"AAAAAD93990=")</f>
        <v>#REF!</v>
      </c>
      <c r="HO16" t="e">
        <f>AND('Current Index'!B411,"AAAAAD93994=")</f>
        <v>#VALUE!</v>
      </c>
      <c r="HP16" t="e">
        <f>AND('Current Index'!C411,"AAAAAD93998=")</f>
        <v>#VALUE!</v>
      </c>
      <c r="HQ16" t="e">
        <f>AND('Current Index'!D411,"AAAAAD939+A=")</f>
        <v>#VALUE!</v>
      </c>
      <c r="HR16" t="e">
        <f>AND('Current Index'!E411,"AAAAAD939+E=")</f>
        <v>#VALUE!</v>
      </c>
      <c r="HS16" t="e">
        <f>AND('Current Index'!F411,"AAAAAD939+I=")</f>
        <v>#VALUE!</v>
      </c>
      <c r="HT16" t="e">
        <f>AND('Current Index'!G411,"AAAAAD939+M=")</f>
        <v>#VALUE!</v>
      </c>
      <c r="HU16" t="e">
        <f>AND('Current Index'!H411,"AAAAAD939+Q=")</f>
        <v>#VALUE!</v>
      </c>
      <c r="HV16" t="e">
        <f>AND('Current Index'!I411,"AAAAAD939+U=")</f>
        <v>#VALUE!</v>
      </c>
      <c r="HW16">
        <f>IF('Current Index'!412:412,"AAAAAD939+Y=",0)</f>
        <v>0</v>
      </c>
      <c r="HX16" t="e">
        <f>AND('Current Index'!A412,"AAAAAD939+c=")</f>
        <v>#VALUE!</v>
      </c>
      <c r="HY16" t="e">
        <f>AND('Current Index'!#REF!,"AAAAAD939+g=")</f>
        <v>#REF!</v>
      </c>
      <c r="HZ16" t="e">
        <f>AND('Current Index'!B412,"AAAAAD939+k=")</f>
        <v>#VALUE!</v>
      </c>
      <c r="IA16" t="e">
        <f>AND('Current Index'!C412,"AAAAAD939+o=")</f>
        <v>#VALUE!</v>
      </c>
      <c r="IB16" t="e">
        <f>AND('Current Index'!D412,"AAAAAD939+s=")</f>
        <v>#VALUE!</v>
      </c>
      <c r="IC16" t="e">
        <f>AND('Current Index'!E412,"AAAAAD939+w=")</f>
        <v>#VALUE!</v>
      </c>
      <c r="ID16" t="e">
        <f>AND('Current Index'!F412,"AAAAAD939+0=")</f>
        <v>#VALUE!</v>
      </c>
      <c r="IE16" t="e">
        <f>AND('Current Index'!G412,"AAAAAD939+4=")</f>
        <v>#VALUE!</v>
      </c>
      <c r="IF16" t="e">
        <f>AND('Current Index'!H412,"AAAAAD939+8=")</f>
        <v>#VALUE!</v>
      </c>
      <c r="IG16" t="e">
        <f>AND('Current Index'!I412,"AAAAAD939/A=")</f>
        <v>#VALUE!</v>
      </c>
      <c r="IH16">
        <f>IF('Current Index'!413:413,"AAAAAD939/E=",0)</f>
        <v>0</v>
      </c>
      <c r="II16" t="e">
        <f>AND('Current Index'!A413,"AAAAAD939/I=")</f>
        <v>#VALUE!</v>
      </c>
      <c r="IJ16" t="e">
        <f>AND('Current Index'!#REF!,"AAAAAD939/M=")</f>
        <v>#REF!</v>
      </c>
      <c r="IK16" t="e">
        <f>AND('Current Index'!B413,"AAAAAD939/Q=")</f>
        <v>#VALUE!</v>
      </c>
      <c r="IL16" t="e">
        <f>AND('Current Index'!C413,"AAAAAD939/U=")</f>
        <v>#VALUE!</v>
      </c>
      <c r="IM16" t="e">
        <f>AND('Current Index'!D413,"AAAAAD939/Y=")</f>
        <v>#VALUE!</v>
      </c>
      <c r="IN16" t="e">
        <f>AND('Current Index'!E413,"AAAAAD939/c=")</f>
        <v>#VALUE!</v>
      </c>
      <c r="IO16" t="e">
        <f>AND('Current Index'!F413,"AAAAAD939/g=")</f>
        <v>#VALUE!</v>
      </c>
      <c r="IP16" t="e">
        <f>AND('Current Index'!G413,"AAAAAD939/k=")</f>
        <v>#VALUE!</v>
      </c>
      <c r="IQ16" t="e">
        <f>AND('Current Index'!H413,"AAAAAD939/o=")</f>
        <v>#VALUE!</v>
      </c>
      <c r="IR16" t="e">
        <f>AND('Current Index'!I413,"AAAAAD939/s=")</f>
        <v>#VALUE!</v>
      </c>
      <c r="IS16">
        <f>IF('Current Index'!414:414,"AAAAAD939/w=",0)</f>
        <v>0</v>
      </c>
      <c r="IT16" t="e">
        <f>AND('Current Index'!A414,"AAAAAD939/0=")</f>
        <v>#VALUE!</v>
      </c>
      <c r="IU16" t="e">
        <f>AND('Current Index'!#REF!,"AAAAAD939/4=")</f>
        <v>#REF!</v>
      </c>
      <c r="IV16" t="e">
        <f>AND('Current Index'!B414,"AAAAAD939/8=")</f>
        <v>#VALUE!</v>
      </c>
    </row>
    <row r="17" spans="1:256" x14ac:dyDescent="0.25">
      <c r="A17" t="e">
        <f>AND('Current Index'!C414,"AAAAAFi3OQA=")</f>
        <v>#VALUE!</v>
      </c>
      <c r="B17" t="e">
        <f>AND('Current Index'!D414,"AAAAAFi3OQE=")</f>
        <v>#VALUE!</v>
      </c>
      <c r="C17" t="e">
        <f>AND('Current Index'!E414,"AAAAAFi3OQI=")</f>
        <v>#VALUE!</v>
      </c>
      <c r="D17" t="e">
        <f>AND('Current Index'!F414,"AAAAAFi3OQM=")</f>
        <v>#VALUE!</v>
      </c>
      <c r="E17" t="e">
        <f>AND('Current Index'!G414,"AAAAAFi3OQQ=")</f>
        <v>#VALUE!</v>
      </c>
      <c r="F17" t="e">
        <f>AND('Current Index'!H414,"AAAAAFi3OQU=")</f>
        <v>#VALUE!</v>
      </c>
      <c r="G17" t="e">
        <f>AND('Current Index'!I414,"AAAAAFi3OQY=")</f>
        <v>#VALUE!</v>
      </c>
      <c r="H17" t="e">
        <f>IF('Current Index'!415:415,"AAAAAFi3OQc=",0)</f>
        <v>#VALUE!</v>
      </c>
      <c r="I17" t="e">
        <f>AND('Current Index'!A415,"AAAAAFi3OQg=")</f>
        <v>#VALUE!</v>
      </c>
      <c r="J17" t="e">
        <f>AND('Current Index'!#REF!,"AAAAAFi3OQk=")</f>
        <v>#REF!</v>
      </c>
      <c r="K17" t="e">
        <f>AND('Current Index'!B415,"AAAAAFi3OQo=")</f>
        <v>#VALUE!</v>
      </c>
      <c r="L17" t="e">
        <f>AND('Current Index'!C415,"AAAAAFi3OQs=")</f>
        <v>#VALUE!</v>
      </c>
      <c r="M17" t="e">
        <f>AND('Current Index'!D415,"AAAAAFi3OQw=")</f>
        <v>#VALUE!</v>
      </c>
      <c r="N17" t="e">
        <f>AND('Current Index'!E415,"AAAAAFi3OQ0=")</f>
        <v>#VALUE!</v>
      </c>
      <c r="O17" t="e">
        <f>AND('Current Index'!F415,"AAAAAFi3OQ4=")</f>
        <v>#VALUE!</v>
      </c>
      <c r="P17" t="e">
        <f>AND('Current Index'!G415,"AAAAAFi3OQ8=")</f>
        <v>#VALUE!</v>
      </c>
      <c r="Q17" t="e">
        <f>AND('Current Index'!H415,"AAAAAFi3ORA=")</f>
        <v>#VALUE!</v>
      </c>
      <c r="R17" t="e">
        <f>AND('Current Index'!I415,"AAAAAFi3ORE=")</f>
        <v>#VALUE!</v>
      </c>
      <c r="S17">
        <f>IF('Current Index'!416:416,"AAAAAFi3ORI=",0)</f>
        <v>0</v>
      </c>
      <c r="T17" t="e">
        <f>AND('Current Index'!A416,"AAAAAFi3ORM=")</f>
        <v>#VALUE!</v>
      </c>
      <c r="U17" t="e">
        <f>AND('Current Index'!#REF!,"AAAAAFi3ORQ=")</f>
        <v>#REF!</v>
      </c>
      <c r="V17" t="e">
        <f>AND('Current Index'!B416,"AAAAAFi3ORU=")</f>
        <v>#VALUE!</v>
      </c>
      <c r="W17" t="e">
        <f>AND('Current Index'!C416,"AAAAAFi3ORY=")</f>
        <v>#VALUE!</v>
      </c>
      <c r="X17" t="e">
        <f>AND('Current Index'!D416,"AAAAAFi3ORc=")</f>
        <v>#VALUE!</v>
      </c>
      <c r="Y17" t="e">
        <f>AND('Current Index'!E416,"AAAAAFi3ORg=")</f>
        <v>#VALUE!</v>
      </c>
      <c r="Z17" t="e">
        <f>AND('Current Index'!F416,"AAAAAFi3ORk=")</f>
        <v>#VALUE!</v>
      </c>
      <c r="AA17" t="e">
        <f>AND('Current Index'!G416,"AAAAAFi3ORo=")</f>
        <v>#VALUE!</v>
      </c>
      <c r="AB17" t="e">
        <f>AND('Current Index'!H416,"AAAAAFi3ORs=")</f>
        <v>#VALUE!</v>
      </c>
      <c r="AC17" t="e">
        <f>AND('Current Index'!I416,"AAAAAFi3ORw=")</f>
        <v>#VALUE!</v>
      </c>
      <c r="AD17">
        <f>IF('Current Index'!418:418,"AAAAAFi3OR0=",0)</f>
        <v>0</v>
      </c>
      <c r="AE17" t="e">
        <f>AND('Current Index'!A418,"AAAAAFi3OR4=")</f>
        <v>#VALUE!</v>
      </c>
      <c r="AF17" t="e">
        <f>AND('Current Index'!#REF!,"AAAAAFi3OR8=")</f>
        <v>#REF!</v>
      </c>
      <c r="AG17" t="e">
        <f>AND('Current Index'!B418,"AAAAAFi3OSA=")</f>
        <v>#VALUE!</v>
      </c>
      <c r="AH17" t="e">
        <f>AND('Current Index'!C418,"AAAAAFi3OSE=")</f>
        <v>#VALUE!</v>
      </c>
      <c r="AI17" t="e">
        <f>AND('Current Index'!D418,"AAAAAFi3OSI=")</f>
        <v>#VALUE!</v>
      </c>
      <c r="AJ17" t="e">
        <f>AND('Current Index'!E418,"AAAAAFi3OSM=")</f>
        <v>#VALUE!</v>
      </c>
      <c r="AK17" t="e">
        <f>AND('Current Index'!F418,"AAAAAFi3OSQ=")</f>
        <v>#VALUE!</v>
      </c>
      <c r="AL17" t="e">
        <f>AND('Current Index'!G418,"AAAAAFi3OSU=")</f>
        <v>#VALUE!</v>
      </c>
      <c r="AM17" t="e">
        <f>AND('Current Index'!H418,"AAAAAFi3OSY=")</f>
        <v>#VALUE!</v>
      </c>
      <c r="AN17" t="e">
        <f>AND('Current Index'!I418,"AAAAAFi3OSc=")</f>
        <v>#VALUE!</v>
      </c>
      <c r="AO17">
        <f>IF('Current Index'!419:419,"AAAAAFi3OSg=",0)</f>
        <v>0</v>
      </c>
      <c r="AP17" t="e">
        <f>AND('Current Index'!A419,"AAAAAFi3OSk=")</f>
        <v>#VALUE!</v>
      </c>
      <c r="AQ17" t="e">
        <f>AND('Current Index'!#REF!,"AAAAAFi3OSo=")</f>
        <v>#REF!</v>
      </c>
      <c r="AR17" t="e">
        <f>AND('Current Index'!B419,"AAAAAFi3OSs=")</f>
        <v>#VALUE!</v>
      </c>
      <c r="AS17" t="e">
        <f>AND('Current Index'!C419,"AAAAAFi3OSw=")</f>
        <v>#VALUE!</v>
      </c>
      <c r="AT17" t="e">
        <f>AND('Current Index'!D419,"AAAAAFi3OS0=")</f>
        <v>#VALUE!</v>
      </c>
      <c r="AU17" t="e">
        <f>AND('Current Index'!E419,"AAAAAFi3OS4=")</f>
        <v>#VALUE!</v>
      </c>
      <c r="AV17" t="e">
        <f>AND('Current Index'!F419,"AAAAAFi3OS8=")</f>
        <v>#VALUE!</v>
      </c>
      <c r="AW17" t="e">
        <f>AND('Current Index'!G419,"AAAAAFi3OTA=")</f>
        <v>#VALUE!</v>
      </c>
      <c r="AX17" t="e">
        <f>AND('Current Index'!H419,"AAAAAFi3OTE=")</f>
        <v>#VALUE!</v>
      </c>
      <c r="AY17" t="e">
        <f>AND('Current Index'!I419,"AAAAAFi3OTI=")</f>
        <v>#VALUE!</v>
      </c>
      <c r="AZ17" t="e">
        <f>IF('Current Index'!#REF!,"AAAAAFi3OTM=",0)</f>
        <v>#REF!</v>
      </c>
      <c r="BA17" t="e">
        <f>AND('Current Index'!#REF!,"AAAAAFi3OTQ=")</f>
        <v>#REF!</v>
      </c>
      <c r="BB17" t="e">
        <f>AND('Current Index'!#REF!,"AAAAAFi3OTU=")</f>
        <v>#REF!</v>
      </c>
      <c r="BC17" t="e">
        <f>AND('Current Index'!#REF!,"AAAAAFi3OTY=")</f>
        <v>#REF!</v>
      </c>
      <c r="BD17" t="e">
        <f>AND('Current Index'!#REF!,"AAAAAFi3OTc=")</f>
        <v>#REF!</v>
      </c>
      <c r="BE17" t="e">
        <f>AND('Current Index'!#REF!,"AAAAAFi3OTg=")</f>
        <v>#REF!</v>
      </c>
      <c r="BF17" t="e">
        <f>AND('Current Index'!#REF!,"AAAAAFi3OTk=")</f>
        <v>#REF!</v>
      </c>
      <c r="BG17" t="e">
        <f>AND('Current Index'!#REF!,"AAAAAFi3OTo=")</f>
        <v>#REF!</v>
      </c>
      <c r="BH17" t="e">
        <f>AND('Current Index'!#REF!,"AAAAAFi3OTs=")</f>
        <v>#REF!</v>
      </c>
      <c r="BI17" t="e">
        <f>AND('Current Index'!#REF!,"AAAAAFi3OTw=")</f>
        <v>#REF!</v>
      </c>
      <c r="BJ17" t="e">
        <f>AND('Current Index'!#REF!,"AAAAAFi3OT0=")</f>
        <v>#REF!</v>
      </c>
      <c r="BK17">
        <f>IF('Current Index'!420:420,"AAAAAFi3OT4=",0)</f>
        <v>0</v>
      </c>
      <c r="BL17" t="e">
        <f>AND('Current Index'!A420,"AAAAAFi3OT8=")</f>
        <v>#VALUE!</v>
      </c>
      <c r="BM17" t="e">
        <f>AND('Current Index'!#REF!,"AAAAAFi3OUA=")</f>
        <v>#REF!</v>
      </c>
      <c r="BN17" t="e">
        <f>AND('Current Index'!B420,"AAAAAFi3OUE=")</f>
        <v>#VALUE!</v>
      </c>
      <c r="BO17" t="e">
        <f>AND('Current Index'!C420,"AAAAAFi3OUI=")</f>
        <v>#VALUE!</v>
      </c>
      <c r="BP17" t="e">
        <f>AND('Current Index'!D420,"AAAAAFi3OUM=")</f>
        <v>#VALUE!</v>
      </c>
      <c r="BQ17" t="e">
        <f>AND('Current Index'!E420,"AAAAAFi3OUQ=")</f>
        <v>#VALUE!</v>
      </c>
      <c r="BR17" t="e">
        <f>AND('Current Index'!F420,"AAAAAFi3OUU=")</f>
        <v>#VALUE!</v>
      </c>
      <c r="BS17" t="e">
        <f>AND('Current Index'!G420,"AAAAAFi3OUY=")</f>
        <v>#VALUE!</v>
      </c>
      <c r="BT17" t="e">
        <f>AND('Current Index'!H420,"AAAAAFi3OUc=")</f>
        <v>#VALUE!</v>
      </c>
      <c r="BU17" t="e">
        <f>AND('Current Index'!I420,"AAAAAFi3OUg=")</f>
        <v>#VALUE!</v>
      </c>
      <c r="BV17">
        <f>IF('Current Index'!421:421,"AAAAAFi3OUk=",0)</f>
        <v>0</v>
      </c>
      <c r="BW17" t="e">
        <f>AND('Current Index'!A421,"AAAAAFi3OUo=")</f>
        <v>#VALUE!</v>
      </c>
      <c r="BX17" t="e">
        <f>AND('Current Index'!#REF!,"AAAAAFi3OUs=")</f>
        <v>#REF!</v>
      </c>
      <c r="BY17" t="e">
        <f>AND('Current Index'!B421,"AAAAAFi3OUw=")</f>
        <v>#VALUE!</v>
      </c>
      <c r="BZ17" t="e">
        <f>AND('Current Index'!C421,"AAAAAFi3OU0=")</f>
        <v>#VALUE!</v>
      </c>
      <c r="CA17" t="e">
        <f>AND('Current Index'!D421,"AAAAAFi3OU4=")</f>
        <v>#VALUE!</v>
      </c>
      <c r="CB17" t="e">
        <f>AND('Current Index'!E421,"AAAAAFi3OU8=")</f>
        <v>#VALUE!</v>
      </c>
      <c r="CC17" t="e">
        <f>AND('Current Index'!F421,"AAAAAFi3OVA=")</f>
        <v>#VALUE!</v>
      </c>
      <c r="CD17" t="e">
        <f>AND('Current Index'!G421,"AAAAAFi3OVE=")</f>
        <v>#VALUE!</v>
      </c>
      <c r="CE17" t="e">
        <f>AND('Current Index'!H421,"AAAAAFi3OVI=")</f>
        <v>#VALUE!</v>
      </c>
      <c r="CF17" t="e">
        <f>AND('Current Index'!I421,"AAAAAFi3OVM=")</f>
        <v>#VALUE!</v>
      </c>
      <c r="CG17">
        <f>IF('Current Index'!422:422,"AAAAAFi3OVQ=",0)</f>
        <v>0</v>
      </c>
      <c r="CH17" t="e">
        <f>AND('Current Index'!A422,"AAAAAFi3OVU=")</f>
        <v>#VALUE!</v>
      </c>
      <c r="CI17" t="e">
        <f>AND('Current Index'!#REF!,"AAAAAFi3OVY=")</f>
        <v>#REF!</v>
      </c>
      <c r="CJ17" t="e">
        <f>AND('Current Index'!B422,"AAAAAFi3OVc=")</f>
        <v>#VALUE!</v>
      </c>
      <c r="CK17" t="e">
        <f>AND('Current Index'!C422,"AAAAAFi3OVg=")</f>
        <v>#VALUE!</v>
      </c>
      <c r="CL17" t="e">
        <f>AND('Current Index'!D422,"AAAAAFi3OVk=")</f>
        <v>#VALUE!</v>
      </c>
      <c r="CM17" t="e">
        <f>AND('Current Index'!E422,"AAAAAFi3OVo=")</f>
        <v>#VALUE!</v>
      </c>
      <c r="CN17" t="e">
        <f>AND('Current Index'!F422,"AAAAAFi3OVs=")</f>
        <v>#VALUE!</v>
      </c>
      <c r="CO17" t="e">
        <f>AND('Current Index'!G422,"AAAAAFi3OVw=")</f>
        <v>#VALUE!</v>
      </c>
      <c r="CP17" t="e">
        <f>AND('Current Index'!H422,"AAAAAFi3OV0=")</f>
        <v>#VALUE!</v>
      </c>
      <c r="CQ17" t="e">
        <f>AND('Current Index'!I422,"AAAAAFi3OV4=")</f>
        <v>#VALUE!</v>
      </c>
      <c r="CR17">
        <f>IF('Current Index'!423:423,"AAAAAFi3OV8=",0)</f>
        <v>0</v>
      </c>
      <c r="CS17" t="e">
        <f>AND('Current Index'!A423,"AAAAAFi3OWA=")</f>
        <v>#VALUE!</v>
      </c>
      <c r="CT17" t="e">
        <f>AND('Current Index'!#REF!,"AAAAAFi3OWE=")</f>
        <v>#REF!</v>
      </c>
      <c r="CU17" t="e">
        <f>AND('Current Index'!B423,"AAAAAFi3OWI=")</f>
        <v>#VALUE!</v>
      </c>
      <c r="CV17" t="e">
        <f>AND('Current Index'!C423,"AAAAAFi3OWM=")</f>
        <v>#VALUE!</v>
      </c>
      <c r="CW17" t="e">
        <f>AND('Current Index'!D423,"AAAAAFi3OWQ=")</f>
        <v>#VALUE!</v>
      </c>
      <c r="CX17" t="e">
        <f>AND('Current Index'!E423,"AAAAAFi3OWU=")</f>
        <v>#VALUE!</v>
      </c>
      <c r="CY17" t="e">
        <f>AND('Current Index'!F423,"AAAAAFi3OWY=")</f>
        <v>#VALUE!</v>
      </c>
      <c r="CZ17" t="e">
        <f>AND('Current Index'!G423,"AAAAAFi3OWc=")</f>
        <v>#VALUE!</v>
      </c>
      <c r="DA17" t="e">
        <f>AND('Current Index'!H423,"AAAAAFi3OWg=")</f>
        <v>#VALUE!</v>
      </c>
      <c r="DB17" t="e">
        <f>AND('Current Index'!I423,"AAAAAFi3OWk=")</f>
        <v>#VALUE!</v>
      </c>
      <c r="DC17">
        <f>IF('Current Index'!424:424,"AAAAAFi3OWo=",0)</f>
        <v>0</v>
      </c>
      <c r="DD17" t="e">
        <f>AND('Current Index'!A424,"AAAAAFi3OWs=")</f>
        <v>#VALUE!</v>
      </c>
      <c r="DE17" t="e">
        <f>AND('Current Index'!#REF!,"AAAAAFi3OWw=")</f>
        <v>#REF!</v>
      </c>
      <c r="DF17" t="e">
        <f>AND('Current Index'!B424,"AAAAAFi3OW0=")</f>
        <v>#VALUE!</v>
      </c>
      <c r="DG17" t="e">
        <f>AND('Current Index'!C424,"AAAAAFi3OW4=")</f>
        <v>#VALUE!</v>
      </c>
      <c r="DH17" t="e">
        <f>AND('Current Index'!D424,"AAAAAFi3OW8=")</f>
        <v>#VALUE!</v>
      </c>
      <c r="DI17" t="e">
        <f>AND('Current Index'!E424,"AAAAAFi3OXA=")</f>
        <v>#VALUE!</v>
      </c>
      <c r="DJ17" t="e">
        <f>AND('Current Index'!F424,"AAAAAFi3OXE=")</f>
        <v>#VALUE!</v>
      </c>
      <c r="DK17" t="e">
        <f>AND('Current Index'!G424,"AAAAAFi3OXI=")</f>
        <v>#VALUE!</v>
      </c>
      <c r="DL17" t="e">
        <f>AND('Current Index'!H424,"AAAAAFi3OXM=")</f>
        <v>#VALUE!</v>
      </c>
      <c r="DM17" t="e">
        <f>AND('Current Index'!I424,"AAAAAFi3OXQ=")</f>
        <v>#VALUE!</v>
      </c>
      <c r="DN17">
        <f>IF('Current Index'!425:425,"AAAAAFi3OXU=",0)</f>
        <v>0</v>
      </c>
      <c r="DO17" t="e">
        <f>AND('Current Index'!A425,"AAAAAFi3OXY=")</f>
        <v>#VALUE!</v>
      </c>
      <c r="DP17" t="e">
        <f>AND('Current Index'!#REF!,"AAAAAFi3OXc=")</f>
        <v>#REF!</v>
      </c>
      <c r="DQ17" t="e">
        <f>AND('Current Index'!B425,"AAAAAFi3OXg=")</f>
        <v>#VALUE!</v>
      </c>
      <c r="DR17" t="e">
        <f>AND('Current Index'!C425,"AAAAAFi3OXk=")</f>
        <v>#VALUE!</v>
      </c>
      <c r="DS17" t="e">
        <f>AND('Current Index'!D425,"AAAAAFi3OXo=")</f>
        <v>#VALUE!</v>
      </c>
      <c r="DT17" t="e">
        <f>AND('Current Index'!E425,"AAAAAFi3OXs=")</f>
        <v>#VALUE!</v>
      </c>
      <c r="DU17" t="e">
        <f>AND('Current Index'!F425,"AAAAAFi3OXw=")</f>
        <v>#VALUE!</v>
      </c>
      <c r="DV17" t="e">
        <f>AND('Current Index'!G425,"AAAAAFi3OX0=")</f>
        <v>#VALUE!</v>
      </c>
      <c r="DW17" t="e">
        <f>AND('Current Index'!H425,"AAAAAFi3OX4=")</f>
        <v>#VALUE!</v>
      </c>
      <c r="DX17" t="e">
        <f>AND('Current Index'!I425,"AAAAAFi3OX8=")</f>
        <v>#VALUE!</v>
      </c>
      <c r="DY17">
        <f>IF('Current Index'!426:426,"AAAAAFi3OYA=",0)</f>
        <v>0</v>
      </c>
      <c r="DZ17" t="e">
        <f>AND('Current Index'!A426,"AAAAAFi3OYE=")</f>
        <v>#VALUE!</v>
      </c>
      <c r="EA17" t="e">
        <f>AND('Current Index'!#REF!,"AAAAAFi3OYI=")</f>
        <v>#REF!</v>
      </c>
      <c r="EB17" t="e">
        <f>AND('Current Index'!B426,"AAAAAFi3OYM=")</f>
        <v>#VALUE!</v>
      </c>
      <c r="EC17" t="e">
        <f>AND('Current Index'!C426,"AAAAAFi3OYQ=")</f>
        <v>#VALUE!</v>
      </c>
      <c r="ED17" t="e">
        <f>AND('Current Index'!D426,"AAAAAFi3OYU=")</f>
        <v>#VALUE!</v>
      </c>
      <c r="EE17" t="e">
        <f>AND('Current Index'!E426,"AAAAAFi3OYY=")</f>
        <v>#VALUE!</v>
      </c>
      <c r="EF17" t="e">
        <f>AND('Current Index'!F426,"AAAAAFi3OYc=")</f>
        <v>#VALUE!</v>
      </c>
      <c r="EG17" t="e">
        <f>AND('Current Index'!G426,"AAAAAFi3OYg=")</f>
        <v>#VALUE!</v>
      </c>
      <c r="EH17" t="e">
        <f>AND('Current Index'!H426,"AAAAAFi3OYk=")</f>
        <v>#VALUE!</v>
      </c>
      <c r="EI17" t="e">
        <f>AND('Current Index'!I426,"AAAAAFi3OYo=")</f>
        <v>#VALUE!</v>
      </c>
      <c r="EJ17">
        <f>IF('Current Index'!427:427,"AAAAAFi3OYs=",0)</f>
        <v>0</v>
      </c>
      <c r="EK17" t="e">
        <f>AND('Current Index'!A427,"AAAAAFi3OYw=")</f>
        <v>#VALUE!</v>
      </c>
      <c r="EL17" t="e">
        <f>AND('Current Index'!#REF!,"AAAAAFi3OY0=")</f>
        <v>#REF!</v>
      </c>
      <c r="EM17" t="e">
        <f>AND('Current Index'!B427,"AAAAAFi3OY4=")</f>
        <v>#VALUE!</v>
      </c>
      <c r="EN17" t="e">
        <f>AND('Current Index'!C427,"AAAAAFi3OY8=")</f>
        <v>#VALUE!</v>
      </c>
      <c r="EO17" t="e">
        <f>AND('Current Index'!D427,"AAAAAFi3OZA=")</f>
        <v>#VALUE!</v>
      </c>
      <c r="EP17" t="e">
        <f>AND('Current Index'!E427,"AAAAAFi3OZE=")</f>
        <v>#VALUE!</v>
      </c>
      <c r="EQ17" t="e">
        <f>AND('Current Index'!F427,"AAAAAFi3OZI=")</f>
        <v>#VALUE!</v>
      </c>
      <c r="ER17" t="e">
        <f>AND('Current Index'!G427,"AAAAAFi3OZM=")</f>
        <v>#VALUE!</v>
      </c>
      <c r="ES17" t="e">
        <f>AND('Current Index'!H427,"AAAAAFi3OZQ=")</f>
        <v>#VALUE!</v>
      </c>
      <c r="ET17" t="e">
        <f>AND('Current Index'!I427,"AAAAAFi3OZU=")</f>
        <v>#VALUE!</v>
      </c>
      <c r="EU17" t="e">
        <f>IF('Current Index'!#REF!,"AAAAAFi3OZY=",0)</f>
        <v>#REF!</v>
      </c>
      <c r="EV17" t="e">
        <f>AND('Current Index'!#REF!,"AAAAAFi3OZc=")</f>
        <v>#REF!</v>
      </c>
      <c r="EW17" t="e">
        <f>AND('Current Index'!#REF!,"AAAAAFi3OZg=")</f>
        <v>#REF!</v>
      </c>
      <c r="EX17" t="e">
        <f>AND('Current Index'!#REF!,"AAAAAFi3OZk=")</f>
        <v>#REF!</v>
      </c>
      <c r="EY17" t="e">
        <f>AND('Current Index'!#REF!,"AAAAAFi3OZo=")</f>
        <v>#REF!</v>
      </c>
      <c r="EZ17" t="e">
        <f>AND('Current Index'!#REF!,"AAAAAFi3OZs=")</f>
        <v>#REF!</v>
      </c>
      <c r="FA17" t="e">
        <f>AND('Current Index'!#REF!,"AAAAAFi3OZw=")</f>
        <v>#REF!</v>
      </c>
      <c r="FB17" t="e">
        <f>AND('Current Index'!#REF!,"AAAAAFi3OZ0=")</f>
        <v>#REF!</v>
      </c>
      <c r="FC17" t="e">
        <f>AND('Current Index'!#REF!,"AAAAAFi3OZ4=")</f>
        <v>#REF!</v>
      </c>
      <c r="FD17" t="e">
        <f>AND('Current Index'!#REF!,"AAAAAFi3OZ8=")</f>
        <v>#REF!</v>
      </c>
      <c r="FE17" t="e">
        <f>AND('Current Index'!#REF!,"AAAAAFi3OaA=")</f>
        <v>#REF!</v>
      </c>
      <c r="FF17">
        <f>IF('Current Index'!428:428,"AAAAAFi3OaE=",0)</f>
        <v>0</v>
      </c>
      <c r="FG17" t="e">
        <f>AND('Current Index'!A428,"AAAAAFi3OaI=")</f>
        <v>#VALUE!</v>
      </c>
      <c r="FH17" t="e">
        <f>AND('Current Index'!#REF!,"AAAAAFi3OaM=")</f>
        <v>#REF!</v>
      </c>
      <c r="FI17" t="e">
        <f>AND('Current Index'!B428,"AAAAAFi3OaQ=")</f>
        <v>#VALUE!</v>
      </c>
      <c r="FJ17" t="e">
        <f>AND('Current Index'!C428,"AAAAAFi3OaU=")</f>
        <v>#VALUE!</v>
      </c>
      <c r="FK17" t="e">
        <f>AND('Current Index'!D428,"AAAAAFi3OaY=")</f>
        <v>#VALUE!</v>
      </c>
      <c r="FL17" t="e">
        <f>AND('Current Index'!E428,"AAAAAFi3Oac=")</f>
        <v>#VALUE!</v>
      </c>
      <c r="FM17" t="e">
        <f>AND('Current Index'!F428,"AAAAAFi3Oag=")</f>
        <v>#VALUE!</v>
      </c>
      <c r="FN17" t="e">
        <f>AND('Current Index'!G428,"AAAAAFi3Oak=")</f>
        <v>#VALUE!</v>
      </c>
      <c r="FO17" t="e">
        <f>AND('Current Index'!H428,"AAAAAFi3Oao=")</f>
        <v>#VALUE!</v>
      </c>
      <c r="FP17" t="e">
        <f>AND('Current Index'!I428,"AAAAAFi3Oas=")</f>
        <v>#VALUE!</v>
      </c>
      <c r="FQ17">
        <f>IF('Current Index'!439:439,"AAAAAFi3Oaw=",0)</f>
        <v>0</v>
      </c>
      <c r="FR17" t="e">
        <f>AND('Current Index'!A439,"AAAAAFi3Oa0=")</f>
        <v>#VALUE!</v>
      </c>
      <c r="FS17" t="e">
        <f>AND('Current Index'!#REF!,"AAAAAFi3Oa4=")</f>
        <v>#REF!</v>
      </c>
      <c r="FT17" t="e">
        <f>AND('Current Index'!B439,"AAAAAFi3Oa8=")</f>
        <v>#VALUE!</v>
      </c>
      <c r="FU17" t="e">
        <f>AND('Current Index'!C439,"AAAAAFi3ObA=")</f>
        <v>#VALUE!</v>
      </c>
      <c r="FV17" t="e">
        <f>AND('Current Index'!D439,"AAAAAFi3ObE=")</f>
        <v>#VALUE!</v>
      </c>
      <c r="FW17" t="e">
        <f>AND('Current Index'!E439,"AAAAAFi3ObI=")</f>
        <v>#VALUE!</v>
      </c>
      <c r="FX17" t="e">
        <f>AND('Current Index'!F439,"AAAAAFi3ObM=")</f>
        <v>#VALUE!</v>
      </c>
      <c r="FY17" t="e">
        <f>AND('Current Index'!G439,"AAAAAFi3ObQ=")</f>
        <v>#VALUE!</v>
      </c>
      <c r="FZ17" t="e">
        <f>AND('Current Index'!H439,"AAAAAFi3ObU=")</f>
        <v>#VALUE!</v>
      </c>
      <c r="GA17" t="e">
        <f>AND('Current Index'!I439,"AAAAAFi3ObY=")</f>
        <v>#VALUE!</v>
      </c>
      <c r="GB17">
        <f>IF('Current Index'!440:440,"AAAAAFi3Obc=",0)</f>
        <v>0</v>
      </c>
      <c r="GC17" t="e">
        <f>AND('Current Index'!A440,"AAAAAFi3Obg=")</f>
        <v>#VALUE!</v>
      </c>
      <c r="GD17" t="e">
        <f>AND('Current Index'!#REF!,"AAAAAFi3Obk=")</f>
        <v>#REF!</v>
      </c>
      <c r="GE17" t="e">
        <f>AND('Current Index'!B440,"AAAAAFi3Obo=")</f>
        <v>#VALUE!</v>
      </c>
      <c r="GF17" t="e">
        <f>AND('Current Index'!C440,"AAAAAFi3Obs=")</f>
        <v>#VALUE!</v>
      </c>
      <c r="GG17" t="e">
        <f>AND('Current Index'!D440,"AAAAAFi3Obw=")</f>
        <v>#VALUE!</v>
      </c>
      <c r="GH17" t="e">
        <f>AND('Current Index'!E440,"AAAAAFi3Ob0=")</f>
        <v>#VALUE!</v>
      </c>
      <c r="GI17" t="e">
        <f>AND('Current Index'!F440,"AAAAAFi3Ob4=")</f>
        <v>#VALUE!</v>
      </c>
      <c r="GJ17" t="e">
        <f>AND('Current Index'!G440,"AAAAAFi3Ob8=")</f>
        <v>#VALUE!</v>
      </c>
      <c r="GK17" t="e">
        <f>AND('Current Index'!H440,"AAAAAFi3OcA=")</f>
        <v>#VALUE!</v>
      </c>
      <c r="GL17" t="e">
        <f>AND('Current Index'!I440,"AAAAAFi3OcE=")</f>
        <v>#VALUE!</v>
      </c>
      <c r="GM17">
        <f>IF('Current Index'!441:441,"AAAAAFi3OcI=",0)</f>
        <v>0</v>
      </c>
      <c r="GN17" t="e">
        <f>AND('Current Index'!A441,"AAAAAFi3OcM=")</f>
        <v>#VALUE!</v>
      </c>
      <c r="GO17" t="e">
        <f>AND('Current Index'!#REF!,"AAAAAFi3OcQ=")</f>
        <v>#REF!</v>
      </c>
      <c r="GP17" t="e">
        <f>AND('Current Index'!B441,"AAAAAFi3OcU=")</f>
        <v>#VALUE!</v>
      </c>
      <c r="GQ17" t="e">
        <f>AND('Current Index'!C441,"AAAAAFi3OcY=")</f>
        <v>#VALUE!</v>
      </c>
      <c r="GR17" t="e">
        <f>AND('Current Index'!D441,"AAAAAFi3Occ=")</f>
        <v>#VALUE!</v>
      </c>
      <c r="GS17" t="e">
        <f>AND('Current Index'!E441,"AAAAAFi3Ocg=")</f>
        <v>#VALUE!</v>
      </c>
      <c r="GT17" t="e">
        <f>AND('Current Index'!F441,"AAAAAFi3Ock=")</f>
        <v>#VALUE!</v>
      </c>
      <c r="GU17" t="e">
        <f>AND('Current Index'!G441,"AAAAAFi3Oco=")</f>
        <v>#VALUE!</v>
      </c>
      <c r="GV17" t="e">
        <f>AND('Current Index'!H441,"AAAAAFi3Ocs=")</f>
        <v>#VALUE!</v>
      </c>
      <c r="GW17" t="e">
        <f>AND('Current Index'!I441,"AAAAAFi3Ocw=")</f>
        <v>#VALUE!</v>
      </c>
      <c r="GX17">
        <f>IF('Current Index'!442:442,"AAAAAFi3Oc0=",0)</f>
        <v>0</v>
      </c>
      <c r="GY17" t="e">
        <f>AND('Current Index'!A442,"AAAAAFi3Oc4=")</f>
        <v>#VALUE!</v>
      </c>
      <c r="GZ17" t="e">
        <f>AND('Current Index'!#REF!,"AAAAAFi3Oc8=")</f>
        <v>#REF!</v>
      </c>
      <c r="HA17" t="e">
        <f>AND('Current Index'!B442,"AAAAAFi3OdA=")</f>
        <v>#VALUE!</v>
      </c>
      <c r="HB17" t="e">
        <f>AND('Current Index'!C442,"AAAAAFi3OdE=")</f>
        <v>#VALUE!</v>
      </c>
      <c r="HC17" t="e">
        <f>AND('Current Index'!D442,"AAAAAFi3OdI=")</f>
        <v>#VALUE!</v>
      </c>
      <c r="HD17" t="e">
        <f>AND('Current Index'!E442,"AAAAAFi3OdM=")</f>
        <v>#VALUE!</v>
      </c>
      <c r="HE17" t="e">
        <f>AND('Current Index'!F442,"AAAAAFi3OdQ=")</f>
        <v>#VALUE!</v>
      </c>
      <c r="HF17" t="e">
        <f>AND('Current Index'!G442,"AAAAAFi3OdU=")</f>
        <v>#VALUE!</v>
      </c>
      <c r="HG17" t="e">
        <f>AND('Current Index'!H442,"AAAAAFi3OdY=")</f>
        <v>#VALUE!</v>
      </c>
      <c r="HH17" t="e">
        <f>AND('Current Index'!I442,"AAAAAFi3Odc=")</f>
        <v>#VALUE!</v>
      </c>
      <c r="HI17">
        <f>IF('Current Index'!443:443,"AAAAAFi3Odg=",0)</f>
        <v>0</v>
      </c>
      <c r="HJ17" t="e">
        <f>AND('Current Index'!A443,"AAAAAFi3Odk=")</f>
        <v>#VALUE!</v>
      </c>
      <c r="HK17" t="e">
        <f>AND('Current Index'!#REF!,"AAAAAFi3Odo=")</f>
        <v>#REF!</v>
      </c>
      <c r="HL17" t="e">
        <f>AND('Current Index'!B443,"AAAAAFi3Ods=")</f>
        <v>#VALUE!</v>
      </c>
      <c r="HM17" t="e">
        <f>AND('Current Index'!C443,"AAAAAFi3Odw=")</f>
        <v>#VALUE!</v>
      </c>
      <c r="HN17" t="e">
        <f>AND('Current Index'!D443,"AAAAAFi3Od0=")</f>
        <v>#VALUE!</v>
      </c>
      <c r="HO17" t="e">
        <f>AND('Current Index'!E443,"AAAAAFi3Od4=")</f>
        <v>#VALUE!</v>
      </c>
      <c r="HP17" t="e">
        <f>AND('Current Index'!F443,"AAAAAFi3Od8=")</f>
        <v>#VALUE!</v>
      </c>
      <c r="HQ17" t="e">
        <f>AND('Current Index'!G443,"AAAAAFi3OeA=")</f>
        <v>#VALUE!</v>
      </c>
      <c r="HR17" t="e">
        <f>AND('Current Index'!H443,"AAAAAFi3OeE=")</f>
        <v>#VALUE!</v>
      </c>
      <c r="HS17" t="e">
        <f>AND('Current Index'!I443,"AAAAAFi3OeI=")</f>
        <v>#VALUE!</v>
      </c>
      <c r="HT17">
        <f>IF('Current Index'!444:444,"AAAAAFi3OeM=",0)</f>
        <v>0</v>
      </c>
      <c r="HU17" t="e">
        <f>AND('Current Index'!A444,"AAAAAFi3OeQ=")</f>
        <v>#VALUE!</v>
      </c>
      <c r="HV17" t="e">
        <f>AND('Current Index'!#REF!,"AAAAAFi3OeU=")</f>
        <v>#REF!</v>
      </c>
      <c r="HW17" t="e">
        <f>AND('Current Index'!B444,"AAAAAFi3OeY=")</f>
        <v>#VALUE!</v>
      </c>
      <c r="HX17" t="e">
        <f>AND('Current Index'!C444,"AAAAAFi3Oec=")</f>
        <v>#VALUE!</v>
      </c>
      <c r="HY17" t="e">
        <f>AND('Current Index'!D444,"AAAAAFi3Oeg=")</f>
        <v>#VALUE!</v>
      </c>
      <c r="HZ17" t="e">
        <f>AND('Current Index'!E444,"AAAAAFi3Oek=")</f>
        <v>#VALUE!</v>
      </c>
      <c r="IA17" t="e">
        <f>AND('Current Index'!F444,"AAAAAFi3Oeo=")</f>
        <v>#VALUE!</v>
      </c>
      <c r="IB17" t="e">
        <f>AND('Current Index'!G444,"AAAAAFi3Oes=")</f>
        <v>#VALUE!</v>
      </c>
      <c r="IC17" t="e">
        <f>AND('Current Index'!H444,"AAAAAFi3Oew=")</f>
        <v>#VALUE!</v>
      </c>
      <c r="ID17" t="e">
        <f>AND('Current Index'!I444,"AAAAAFi3Oe0=")</f>
        <v>#VALUE!</v>
      </c>
      <c r="IE17">
        <f>IF('Current Index'!445:445,"AAAAAFi3Oe4=",0)</f>
        <v>0</v>
      </c>
      <c r="IF17" t="e">
        <f>AND('Current Index'!A445,"AAAAAFi3Oe8=")</f>
        <v>#VALUE!</v>
      </c>
      <c r="IG17" t="e">
        <f>AND('Current Index'!#REF!,"AAAAAFi3OfA=")</f>
        <v>#REF!</v>
      </c>
      <c r="IH17" t="e">
        <f>AND('Current Index'!B445,"AAAAAFi3OfE=")</f>
        <v>#VALUE!</v>
      </c>
      <c r="II17" t="e">
        <f>AND('Current Index'!C445,"AAAAAFi3OfI=")</f>
        <v>#VALUE!</v>
      </c>
      <c r="IJ17" t="e">
        <f>AND('Current Index'!D445,"AAAAAFi3OfM=")</f>
        <v>#VALUE!</v>
      </c>
      <c r="IK17" t="e">
        <f>AND('Current Index'!E445,"AAAAAFi3OfQ=")</f>
        <v>#VALUE!</v>
      </c>
      <c r="IL17" t="e">
        <f>AND('Current Index'!F445,"AAAAAFi3OfU=")</f>
        <v>#VALUE!</v>
      </c>
      <c r="IM17" t="e">
        <f>AND('Current Index'!G445,"AAAAAFi3OfY=")</f>
        <v>#VALUE!</v>
      </c>
      <c r="IN17" t="e">
        <f>AND('Current Index'!H445,"AAAAAFi3Ofc=")</f>
        <v>#VALUE!</v>
      </c>
      <c r="IO17" t="e">
        <f>AND('Current Index'!I445,"AAAAAFi3Ofg=")</f>
        <v>#VALUE!</v>
      </c>
      <c r="IP17">
        <f>IF('Current Index'!446:446,"AAAAAFi3Ofk=",0)</f>
        <v>0</v>
      </c>
      <c r="IQ17" t="e">
        <f>AND('Current Index'!A446,"AAAAAFi3Ofo=")</f>
        <v>#VALUE!</v>
      </c>
      <c r="IR17" t="e">
        <f>AND('Current Index'!#REF!,"AAAAAFi3Ofs=")</f>
        <v>#REF!</v>
      </c>
      <c r="IS17" t="e">
        <f>AND('Current Index'!B446,"AAAAAFi3Ofw=")</f>
        <v>#VALUE!</v>
      </c>
      <c r="IT17" t="e">
        <f>AND('Current Index'!C446,"AAAAAFi3Of0=")</f>
        <v>#VALUE!</v>
      </c>
      <c r="IU17" t="e">
        <f>AND('Current Index'!D446,"AAAAAFi3Of4=")</f>
        <v>#VALUE!</v>
      </c>
      <c r="IV17" t="e">
        <f>AND('Current Index'!E446,"AAAAAFi3Of8=")</f>
        <v>#VALUE!</v>
      </c>
    </row>
    <row r="18" spans="1:256" x14ac:dyDescent="0.25">
      <c r="A18" t="e">
        <f>AND('Current Index'!F446,"AAAAAHf37wA=")</f>
        <v>#VALUE!</v>
      </c>
      <c r="B18" t="e">
        <f>AND('Current Index'!G446,"AAAAAHf37wE=")</f>
        <v>#VALUE!</v>
      </c>
      <c r="C18" t="e">
        <f>AND('Current Index'!H446,"AAAAAHf37wI=")</f>
        <v>#VALUE!</v>
      </c>
      <c r="D18" t="e">
        <f>AND('Current Index'!I446,"AAAAAHf37wM=")</f>
        <v>#VALUE!</v>
      </c>
      <c r="E18" t="e">
        <f>IF('Current Index'!447:447,"AAAAAHf37wQ=",0)</f>
        <v>#VALUE!</v>
      </c>
      <c r="F18" t="e">
        <f>AND('Current Index'!A447,"AAAAAHf37wU=")</f>
        <v>#VALUE!</v>
      </c>
      <c r="G18" t="e">
        <f>AND('Current Index'!#REF!,"AAAAAHf37wY=")</f>
        <v>#REF!</v>
      </c>
      <c r="H18" t="e">
        <f>AND('Current Index'!B447,"AAAAAHf37wc=")</f>
        <v>#VALUE!</v>
      </c>
      <c r="I18" t="e">
        <f>AND('Current Index'!C447,"AAAAAHf37wg=")</f>
        <v>#VALUE!</v>
      </c>
      <c r="J18" t="e">
        <f>AND('Current Index'!D447,"AAAAAHf37wk=")</f>
        <v>#VALUE!</v>
      </c>
      <c r="K18" t="e">
        <f>AND('Current Index'!E447,"AAAAAHf37wo=")</f>
        <v>#VALUE!</v>
      </c>
      <c r="L18" t="e">
        <f>AND('Current Index'!F447,"AAAAAHf37ws=")</f>
        <v>#VALUE!</v>
      </c>
      <c r="M18" t="e">
        <f>AND('Current Index'!G447,"AAAAAHf37ww=")</f>
        <v>#VALUE!</v>
      </c>
      <c r="N18" t="e">
        <f>AND('Current Index'!H447,"AAAAAHf37w0=")</f>
        <v>#VALUE!</v>
      </c>
      <c r="O18" t="e">
        <f>AND('Current Index'!I447,"AAAAAHf37w4=")</f>
        <v>#VALUE!</v>
      </c>
      <c r="P18">
        <f>IF('Current Index'!448:448,"AAAAAHf37w8=",0)</f>
        <v>0</v>
      </c>
      <c r="Q18" t="e">
        <f>AND('Current Index'!A448,"AAAAAHf37xA=")</f>
        <v>#VALUE!</v>
      </c>
      <c r="R18" t="e">
        <f>AND('Current Index'!#REF!,"AAAAAHf37xE=")</f>
        <v>#REF!</v>
      </c>
      <c r="S18" t="e">
        <f>AND('Current Index'!B448,"AAAAAHf37xI=")</f>
        <v>#VALUE!</v>
      </c>
      <c r="T18" t="e">
        <f>AND('Current Index'!C448,"AAAAAHf37xM=")</f>
        <v>#VALUE!</v>
      </c>
      <c r="U18" t="e">
        <f>AND('Current Index'!D448,"AAAAAHf37xQ=")</f>
        <v>#VALUE!</v>
      </c>
      <c r="V18" t="e">
        <f>AND('Current Index'!E448,"AAAAAHf37xU=")</f>
        <v>#VALUE!</v>
      </c>
      <c r="W18" t="e">
        <f>AND('Current Index'!F448,"AAAAAHf37xY=")</f>
        <v>#VALUE!</v>
      </c>
      <c r="X18" t="e">
        <f>AND('Current Index'!G448,"AAAAAHf37xc=")</f>
        <v>#VALUE!</v>
      </c>
      <c r="Y18" t="e">
        <f>AND('Current Index'!H448,"AAAAAHf37xg=")</f>
        <v>#VALUE!</v>
      </c>
      <c r="Z18" t="e">
        <f>AND('Current Index'!I448,"AAAAAHf37xk=")</f>
        <v>#VALUE!</v>
      </c>
      <c r="AA18">
        <f>IF('Current Index'!449:449,"AAAAAHf37xo=",0)</f>
        <v>0</v>
      </c>
      <c r="AB18" t="e">
        <f>AND('Current Index'!A449,"AAAAAHf37xs=")</f>
        <v>#VALUE!</v>
      </c>
      <c r="AC18" t="e">
        <f>AND('Current Index'!#REF!,"AAAAAHf37xw=")</f>
        <v>#REF!</v>
      </c>
      <c r="AD18" t="e">
        <f>AND('Current Index'!B449,"AAAAAHf37x0=")</f>
        <v>#VALUE!</v>
      </c>
      <c r="AE18" t="e">
        <f>AND('Current Index'!C449,"AAAAAHf37x4=")</f>
        <v>#VALUE!</v>
      </c>
      <c r="AF18" t="e">
        <f>AND('Current Index'!D449,"AAAAAHf37x8=")</f>
        <v>#VALUE!</v>
      </c>
      <c r="AG18" t="e">
        <f>AND('Current Index'!E449,"AAAAAHf37yA=")</f>
        <v>#VALUE!</v>
      </c>
      <c r="AH18" t="e">
        <f>AND('Current Index'!F449,"AAAAAHf37yE=")</f>
        <v>#VALUE!</v>
      </c>
      <c r="AI18" t="e">
        <f>AND('Current Index'!G449,"AAAAAHf37yI=")</f>
        <v>#VALUE!</v>
      </c>
      <c r="AJ18" t="e">
        <f>AND('Current Index'!H449,"AAAAAHf37yM=")</f>
        <v>#VALUE!</v>
      </c>
      <c r="AK18" t="e">
        <f>AND('Current Index'!I449,"AAAAAHf37yQ=")</f>
        <v>#VALUE!</v>
      </c>
      <c r="AL18">
        <f>IF('Current Index'!450:450,"AAAAAHf37yU=",0)</f>
        <v>0</v>
      </c>
      <c r="AM18" t="e">
        <f>AND('Current Index'!A450,"AAAAAHf37yY=")</f>
        <v>#VALUE!</v>
      </c>
      <c r="AN18" t="e">
        <f>AND('Current Index'!#REF!,"AAAAAHf37yc=")</f>
        <v>#REF!</v>
      </c>
      <c r="AO18" t="e">
        <f>AND('Current Index'!B450,"AAAAAHf37yg=")</f>
        <v>#VALUE!</v>
      </c>
      <c r="AP18" t="e">
        <f>AND('Current Index'!C450,"AAAAAHf37yk=")</f>
        <v>#VALUE!</v>
      </c>
      <c r="AQ18" t="e">
        <f>AND('Current Index'!D450,"AAAAAHf37yo=")</f>
        <v>#VALUE!</v>
      </c>
      <c r="AR18" t="e">
        <f>AND('Current Index'!E450,"AAAAAHf37ys=")</f>
        <v>#VALUE!</v>
      </c>
      <c r="AS18" t="e">
        <f>AND('Current Index'!F450,"AAAAAHf37yw=")</f>
        <v>#VALUE!</v>
      </c>
      <c r="AT18" t="e">
        <f>AND('Current Index'!G450,"AAAAAHf37y0=")</f>
        <v>#VALUE!</v>
      </c>
      <c r="AU18" t="e">
        <f>AND('Current Index'!H450,"AAAAAHf37y4=")</f>
        <v>#VALUE!</v>
      </c>
      <c r="AV18" t="e">
        <f>AND('Current Index'!I450,"AAAAAHf37y8=")</f>
        <v>#VALUE!</v>
      </c>
      <c r="AW18">
        <f>IF('Current Index'!451:451,"AAAAAHf37zA=",0)</f>
        <v>0</v>
      </c>
      <c r="AX18" t="e">
        <f>AND('Current Index'!A451,"AAAAAHf37zE=")</f>
        <v>#VALUE!</v>
      </c>
      <c r="AY18" t="e">
        <f>AND('Current Index'!#REF!,"AAAAAHf37zI=")</f>
        <v>#REF!</v>
      </c>
      <c r="AZ18" t="e">
        <f>AND('Current Index'!B451,"AAAAAHf37zM=")</f>
        <v>#VALUE!</v>
      </c>
      <c r="BA18" t="e">
        <f>AND('Current Index'!C451,"AAAAAHf37zQ=")</f>
        <v>#VALUE!</v>
      </c>
      <c r="BB18" t="e">
        <f>AND('Current Index'!D451,"AAAAAHf37zU=")</f>
        <v>#VALUE!</v>
      </c>
      <c r="BC18" t="e">
        <f>AND('Current Index'!E451,"AAAAAHf37zY=")</f>
        <v>#VALUE!</v>
      </c>
      <c r="BD18" t="e">
        <f>AND('Current Index'!F451,"AAAAAHf37zc=")</f>
        <v>#VALUE!</v>
      </c>
      <c r="BE18" t="e">
        <f>AND('Current Index'!G451,"AAAAAHf37zg=")</f>
        <v>#VALUE!</v>
      </c>
      <c r="BF18" t="e">
        <f>AND('Current Index'!H451,"AAAAAHf37zk=")</f>
        <v>#VALUE!</v>
      </c>
      <c r="BG18" t="e">
        <f>AND('Current Index'!I451,"AAAAAHf37zo=")</f>
        <v>#VALUE!</v>
      </c>
      <c r="BH18">
        <f>IF('Current Index'!452:452,"AAAAAHf37zs=",0)</f>
        <v>0</v>
      </c>
      <c r="BI18" t="e">
        <f>AND('Current Index'!A452,"AAAAAHf37zw=")</f>
        <v>#VALUE!</v>
      </c>
      <c r="BJ18" t="e">
        <f>AND('Current Index'!#REF!,"AAAAAHf37z0=")</f>
        <v>#REF!</v>
      </c>
      <c r="BK18" t="e">
        <f>AND('Current Index'!B452,"AAAAAHf37z4=")</f>
        <v>#VALUE!</v>
      </c>
      <c r="BL18" t="e">
        <f>AND('Current Index'!C452,"AAAAAHf37z8=")</f>
        <v>#VALUE!</v>
      </c>
      <c r="BM18" t="e">
        <f>AND('Current Index'!D452,"AAAAAHf370A=")</f>
        <v>#VALUE!</v>
      </c>
      <c r="BN18" t="e">
        <f>AND('Current Index'!E452,"AAAAAHf370E=")</f>
        <v>#VALUE!</v>
      </c>
      <c r="BO18" t="e">
        <f>AND('Current Index'!F452,"AAAAAHf370I=")</f>
        <v>#VALUE!</v>
      </c>
      <c r="BP18" t="e">
        <f>AND('Current Index'!G452,"AAAAAHf370M=")</f>
        <v>#VALUE!</v>
      </c>
      <c r="BQ18" t="e">
        <f>AND('Current Index'!H452,"AAAAAHf370Q=")</f>
        <v>#VALUE!</v>
      </c>
      <c r="BR18" t="e">
        <f>AND('Current Index'!I452,"AAAAAHf370U=")</f>
        <v>#VALUE!</v>
      </c>
      <c r="BS18">
        <f>IF('Current Index'!453:453,"AAAAAHf370Y=",0)</f>
        <v>0</v>
      </c>
      <c r="BT18" t="e">
        <f>AND('Current Index'!A453,"AAAAAHf370c=")</f>
        <v>#VALUE!</v>
      </c>
      <c r="BU18" t="e">
        <f>AND('Current Index'!#REF!,"AAAAAHf370g=")</f>
        <v>#REF!</v>
      </c>
      <c r="BV18" t="e">
        <f>AND('Current Index'!B453,"AAAAAHf370k=")</f>
        <v>#VALUE!</v>
      </c>
      <c r="BW18" t="e">
        <f>AND('Current Index'!C453,"AAAAAHf370o=")</f>
        <v>#VALUE!</v>
      </c>
      <c r="BX18" t="e">
        <f>AND('Current Index'!D453,"AAAAAHf370s=")</f>
        <v>#VALUE!</v>
      </c>
      <c r="BY18" t="e">
        <f>AND('Current Index'!E453,"AAAAAHf370w=")</f>
        <v>#VALUE!</v>
      </c>
      <c r="BZ18" t="e">
        <f>AND('Current Index'!F453,"AAAAAHf3700=")</f>
        <v>#VALUE!</v>
      </c>
      <c r="CA18" t="e">
        <f>AND('Current Index'!G453,"AAAAAHf3704=")</f>
        <v>#VALUE!</v>
      </c>
      <c r="CB18" t="e">
        <f>AND('Current Index'!H453,"AAAAAHf3708=")</f>
        <v>#VALUE!</v>
      </c>
      <c r="CC18" t="e">
        <f>AND('Current Index'!I453,"AAAAAHf371A=")</f>
        <v>#VALUE!</v>
      </c>
      <c r="CD18">
        <f>IF('Current Index'!454:454,"AAAAAHf371E=",0)</f>
        <v>0</v>
      </c>
      <c r="CE18" t="e">
        <f>AND('Current Index'!A454,"AAAAAHf371I=")</f>
        <v>#VALUE!</v>
      </c>
      <c r="CF18" t="e">
        <f>AND('Current Index'!#REF!,"AAAAAHf371M=")</f>
        <v>#REF!</v>
      </c>
      <c r="CG18" t="e">
        <f>AND('Current Index'!B454,"AAAAAHf371Q=")</f>
        <v>#VALUE!</v>
      </c>
      <c r="CH18" t="e">
        <f>AND('Current Index'!C454,"AAAAAHf371U=")</f>
        <v>#VALUE!</v>
      </c>
      <c r="CI18" t="e">
        <f>AND('Current Index'!D454,"AAAAAHf371Y=")</f>
        <v>#VALUE!</v>
      </c>
      <c r="CJ18" t="e">
        <f>AND('Current Index'!E454,"AAAAAHf371c=")</f>
        <v>#VALUE!</v>
      </c>
      <c r="CK18" t="e">
        <f>AND('Current Index'!F454,"AAAAAHf371g=")</f>
        <v>#VALUE!</v>
      </c>
      <c r="CL18" t="e">
        <f>AND('Current Index'!G454,"AAAAAHf371k=")</f>
        <v>#VALUE!</v>
      </c>
      <c r="CM18" t="e">
        <f>AND('Current Index'!H454,"AAAAAHf371o=")</f>
        <v>#VALUE!</v>
      </c>
      <c r="CN18" t="e">
        <f>AND('Current Index'!I454,"AAAAAHf371s=")</f>
        <v>#VALUE!</v>
      </c>
      <c r="CO18">
        <f>IF('Current Index'!455:455,"AAAAAHf371w=",0)</f>
        <v>0</v>
      </c>
      <c r="CP18" t="e">
        <f>AND('Current Index'!A455,"AAAAAHf3710=")</f>
        <v>#VALUE!</v>
      </c>
      <c r="CQ18" t="e">
        <f>AND('Current Index'!#REF!,"AAAAAHf3714=")</f>
        <v>#REF!</v>
      </c>
      <c r="CR18" t="e">
        <f>AND('Current Index'!B455,"AAAAAHf3718=")</f>
        <v>#VALUE!</v>
      </c>
      <c r="CS18" t="e">
        <f>AND('Current Index'!C455,"AAAAAHf372A=")</f>
        <v>#VALUE!</v>
      </c>
      <c r="CT18" t="e">
        <f>AND('Current Index'!D455,"AAAAAHf372E=")</f>
        <v>#VALUE!</v>
      </c>
      <c r="CU18" t="e">
        <f>AND('Current Index'!E455,"AAAAAHf372I=")</f>
        <v>#VALUE!</v>
      </c>
      <c r="CV18" t="e">
        <f>AND('Current Index'!F455,"AAAAAHf372M=")</f>
        <v>#VALUE!</v>
      </c>
      <c r="CW18" t="e">
        <f>AND('Current Index'!G455,"AAAAAHf372Q=")</f>
        <v>#VALUE!</v>
      </c>
      <c r="CX18" t="e">
        <f>AND('Current Index'!H455,"AAAAAHf372U=")</f>
        <v>#VALUE!</v>
      </c>
      <c r="CY18" t="e">
        <f>AND('Current Index'!I455,"AAAAAHf372Y=")</f>
        <v>#VALUE!</v>
      </c>
      <c r="CZ18">
        <f>IF('Current Index'!456:456,"AAAAAHf372c=",0)</f>
        <v>0</v>
      </c>
      <c r="DA18" t="e">
        <f>AND('Current Index'!A456,"AAAAAHf372g=")</f>
        <v>#VALUE!</v>
      </c>
      <c r="DB18" t="e">
        <f>AND('Current Index'!#REF!,"AAAAAHf372k=")</f>
        <v>#REF!</v>
      </c>
      <c r="DC18" t="e">
        <f>AND('Current Index'!B456,"AAAAAHf372o=")</f>
        <v>#VALUE!</v>
      </c>
      <c r="DD18" t="e">
        <f>AND('Current Index'!C456,"AAAAAHf372s=")</f>
        <v>#VALUE!</v>
      </c>
      <c r="DE18" t="e">
        <f>AND('Current Index'!D456,"AAAAAHf372w=")</f>
        <v>#VALUE!</v>
      </c>
      <c r="DF18" t="e">
        <f>AND('Current Index'!E456,"AAAAAHf3720=")</f>
        <v>#VALUE!</v>
      </c>
      <c r="DG18" t="e">
        <f>AND('Current Index'!F456,"AAAAAHf3724=")</f>
        <v>#VALUE!</v>
      </c>
      <c r="DH18" t="e">
        <f>AND('Current Index'!G456,"AAAAAHf3728=")</f>
        <v>#VALUE!</v>
      </c>
      <c r="DI18" t="e">
        <f>AND('Current Index'!H456,"AAAAAHf373A=")</f>
        <v>#VALUE!</v>
      </c>
      <c r="DJ18" t="e">
        <f>AND('Current Index'!I456,"AAAAAHf373E=")</f>
        <v>#VALUE!</v>
      </c>
      <c r="DK18">
        <f>IF('Current Index'!457:457,"AAAAAHf373I=",0)</f>
        <v>0</v>
      </c>
      <c r="DL18" t="e">
        <f>AND('Current Index'!A457,"AAAAAHf373M=")</f>
        <v>#VALUE!</v>
      </c>
      <c r="DM18" t="e">
        <f>AND('Current Index'!#REF!,"AAAAAHf373Q=")</f>
        <v>#REF!</v>
      </c>
      <c r="DN18" t="e">
        <f>AND('Current Index'!B457,"AAAAAHf373U=")</f>
        <v>#VALUE!</v>
      </c>
      <c r="DO18" t="e">
        <f>AND('Current Index'!C457,"AAAAAHf373Y=")</f>
        <v>#VALUE!</v>
      </c>
      <c r="DP18" t="e">
        <f>AND('Current Index'!D457,"AAAAAHf373c=")</f>
        <v>#VALUE!</v>
      </c>
      <c r="DQ18" t="e">
        <f>AND('Current Index'!E457,"AAAAAHf373g=")</f>
        <v>#VALUE!</v>
      </c>
      <c r="DR18" t="e">
        <f>AND('Current Index'!F457,"AAAAAHf373k=")</f>
        <v>#VALUE!</v>
      </c>
      <c r="DS18" t="e">
        <f>AND('Current Index'!G457,"AAAAAHf373o=")</f>
        <v>#VALUE!</v>
      </c>
      <c r="DT18" t="e">
        <f>AND('Current Index'!H457,"AAAAAHf373s=")</f>
        <v>#VALUE!</v>
      </c>
      <c r="DU18" t="e">
        <f>AND('Current Index'!I457,"AAAAAHf373w=")</f>
        <v>#VALUE!</v>
      </c>
      <c r="DV18">
        <f>IF('Current Index'!458:458,"AAAAAHf3730=",0)</f>
        <v>0</v>
      </c>
      <c r="DW18" t="e">
        <f>AND('Current Index'!A458,"AAAAAHf3734=")</f>
        <v>#VALUE!</v>
      </c>
      <c r="DX18" t="e">
        <f>AND('Current Index'!#REF!,"AAAAAHf3738=")</f>
        <v>#REF!</v>
      </c>
      <c r="DY18" t="e">
        <f>AND('Current Index'!B458,"AAAAAHf374A=")</f>
        <v>#VALUE!</v>
      </c>
      <c r="DZ18" t="e">
        <f>AND('Current Index'!C458,"AAAAAHf374E=")</f>
        <v>#VALUE!</v>
      </c>
      <c r="EA18" t="e">
        <f>AND('Current Index'!D458,"AAAAAHf374I=")</f>
        <v>#VALUE!</v>
      </c>
      <c r="EB18" t="e">
        <f>AND('Current Index'!E458,"AAAAAHf374M=")</f>
        <v>#VALUE!</v>
      </c>
      <c r="EC18" t="e">
        <f>AND('Current Index'!F458,"AAAAAHf374Q=")</f>
        <v>#VALUE!</v>
      </c>
      <c r="ED18" t="e">
        <f>AND('Current Index'!G458,"AAAAAHf374U=")</f>
        <v>#VALUE!</v>
      </c>
      <c r="EE18" t="e">
        <f>AND('Current Index'!H458,"AAAAAHf374Y=")</f>
        <v>#VALUE!</v>
      </c>
      <c r="EF18" t="e">
        <f>AND('Current Index'!I458,"AAAAAHf374c=")</f>
        <v>#VALUE!</v>
      </c>
      <c r="EG18">
        <f>IF('Current Index'!459:459,"AAAAAHf374g=",0)</f>
        <v>0</v>
      </c>
      <c r="EH18" t="e">
        <f>AND('Current Index'!A459,"AAAAAHf374k=")</f>
        <v>#VALUE!</v>
      </c>
      <c r="EI18" t="e">
        <f>AND('Current Index'!#REF!,"AAAAAHf374o=")</f>
        <v>#REF!</v>
      </c>
      <c r="EJ18" t="e">
        <f>AND('Current Index'!B459,"AAAAAHf374s=")</f>
        <v>#VALUE!</v>
      </c>
      <c r="EK18" t="e">
        <f>AND('Current Index'!C459,"AAAAAHf374w=")</f>
        <v>#VALUE!</v>
      </c>
      <c r="EL18" t="e">
        <f>AND('Current Index'!D459,"AAAAAHf3740=")</f>
        <v>#VALUE!</v>
      </c>
      <c r="EM18" t="e">
        <f>AND('Current Index'!E459,"AAAAAHf3744=")</f>
        <v>#VALUE!</v>
      </c>
      <c r="EN18" t="e">
        <f>AND('Current Index'!F459,"AAAAAHf3748=")</f>
        <v>#VALUE!</v>
      </c>
      <c r="EO18" t="e">
        <f>AND('Current Index'!G459,"AAAAAHf375A=")</f>
        <v>#VALUE!</v>
      </c>
      <c r="EP18" t="e">
        <f>AND('Current Index'!H459,"AAAAAHf375E=")</f>
        <v>#VALUE!</v>
      </c>
      <c r="EQ18" t="e">
        <f>AND('Current Index'!I459,"AAAAAHf375I=")</f>
        <v>#VALUE!</v>
      </c>
      <c r="ER18">
        <f>IF('Current Index'!460:460,"AAAAAHf375M=",0)</f>
        <v>0</v>
      </c>
      <c r="ES18" t="e">
        <f>AND('Current Index'!A460,"AAAAAHf375Q=")</f>
        <v>#VALUE!</v>
      </c>
      <c r="ET18" t="e">
        <f>AND('Current Index'!#REF!,"AAAAAHf375U=")</f>
        <v>#REF!</v>
      </c>
      <c r="EU18" t="e">
        <f>AND('Current Index'!B460,"AAAAAHf375Y=")</f>
        <v>#VALUE!</v>
      </c>
      <c r="EV18" t="e">
        <f>AND('Current Index'!C460,"AAAAAHf375c=")</f>
        <v>#VALUE!</v>
      </c>
      <c r="EW18" t="e">
        <f>AND('Current Index'!D460,"AAAAAHf375g=")</f>
        <v>#VALUE!</v>
      </c>
      <c r="EX18" t="e">
        <f>AND('Current Index'!E460,"AAAAAHf375k=")</f>
        <v>#VALUE!</v>
      </c>
      <c r="EY18" t="e">
        <f>AND('Current Index'!F460,"AAAAAHf375o=")</f>
        <v>#VALUE!</v>
      </c>
      <c r="EZ18" t="e">
        <f>AND('Current Index'!G460,"AAAAAHf375s=")</f>
        <v>#VALUE!</v>
      </c>
      <c r="FA18" t="e">
        <f>AND('Current Index'!H460,"AAAAAHf375w=")</f>
        <v>#VALUE!</v>
      </c>
      <c r="FB18" t="e">
        <f>AND('Current Index'!I460,"AAAAAHf3750=")</f>
        <v>#VALUE!</v>
      </c>
      <c r="FC18">
        <f>IF('Current Index'!461:461,"AAAAAHf3754=",0)</f>
        <v>0</v>
      </c>
      <c r="FD18" t="e">
        <f>AND('Current Index'!A461,"AAAAAHf3758=")</f>
        <v>#VALUE!</v>
      </c>
      <c r="FE18" t="e">
        <f>AND('Current Index'!#REF!,"AAAAAHf376A=")</f>
        <v>#REF!</v>
      </c>
      <c r="FF18" t="e">
        <f>AND('Current Index'!B461,"AAAAAHf376E=")</f>
        <v>#VALUE!</v>
      </c>
      <c r="FG18" t="e">
        <f>AND('Current Index'!C461,"AAAAAHf376I=")</f>
        <v>#VALUE!</v>
      </c>
      <c r="FH18" t="e">
        <f>AND('Current Index'!D461,"AAAAAHf376M=")</f>
        <v>#VALUE!</v>
      </c>
      <c r="FI18" t="e">
        <f>AND('Current Index'!E461,"AAAAAHf376Q=")</f>
        <v>#VALUE!</v>
      </c>
      <c r="FJ18" t="e">
        <f>AND('Current Index'!F461,"AAAAAHf376U=")</f>
        <v>#VALUE!</v>
      </c>
      <c r="FK18" t="e">
        <f>AND('Current Index'!G461,"AAAAAHf376Y=")</f>
        <v>#VALUE!</v>
      </c>
      <c r="FL18" t="e">
        <f>AND('Current Index'!H461,"AAAAAHf376c=")</f>
        <v>#VALUE!</v>
      </c>
      <c r="FM18" t="e">
        <f>AND('Current Index'!I461,"AAAAAHf376g=")</f>
        <v>#VALUE!</v>
      </c>
      <c r="FN18">
        <f>IF('Current Index'!462:462,"AAAAAHf376k=",0)</f>
        <v>0</v>
      </c>
      <c r="FO18" t="e">
        <f>AND('Current Index'!A462,"AAAAAHf376o=")</f>
        <v>#VALUE!</v>
      </c>
      <c r="FP18" t="e">
        <f>AND('Current Index'!#REF!,"AAAAAHf376s=")</f>
        <v>#REF!</v>
      </c>
      <c r="FQ18" t="e">
        <f>AND('Current Index'!B462,"AAAAAHf376w=")</f>
        <v>#VALUE!</v>
      </c>
      <c r="FR18" t="e">
        <f>AND('Current Index'!C462,"AAAAAHf3760=")</f>
        <v>#VALUE!</v>
      </c>
      <c r="FS18" t="e">
        <f>AND('Current Index'!D462,"AAAAAHf3764=")</f>
        <v>#VALUE!</v>
      </c>
      <c r="FT18" t="e">
        <f>AND('Current Index'!E462,"AAAAAHf3768=")</f>
        <v>#VALUE!</v>
      </c>
      <c r="FU18" t="e">
        <f>AND('Current Index'!F462,"AAAAAHf377A=")</f>
        <v>#VALUE!</v>
      </c>
      <c r="FV18" t="e">
        <f>AND('Current Index'!G462,"AAAAAHf377E=")</f>
        <v>#VALUE!</v>
      </c>
      <c r="FW18" t="e">
        <f>AND('Current Index'!H462,"AAAAAHf377I=")</f>
        <v>#VALUE!</v>
      </c>
      <c r="FX18" t="e">
        <f>AND('Current Index'!I462,"AAAAAHf377M=")</f>
        <v>#VALUE!</v>
      </c>
      <c r="FY18">
        <f>IF('Current Index'!463:463,"AAAAAHf377Q=",0)</f>
        <v>0</v>
      </c>
      <c r="FZ18" t="e">
        <f>AND('Current Index'!A463,"AAAAAHf377U=")</f>
        <v>#VALUE!</v>
      </c>
      <c r="GA18" t="e">
        <f>AND('Current Index'!#REF!,"AAAAAHf377Y=")</f>
        <v>#REF!</v>
      </c>
      <c r="GB18" t="e">
        <f>AND('Current Index'!B463,"AAAAAHf377c=")</f>
        <v>#VALUE!</v>
      </c>
      <c r="GC18" t="e">
        <f>AND('Current Index'!C463,"AAAAAHf377g=")</f>
        <v>#VALUE!</v>
      </c>
      <c r="GD18" t="e">
        <f>AND('Current Index'!D463,"AAAAAHf377k=")</f>
        <v>#VALUE!</v>
      </c>
      <c r="GE18" t="e">
        <f>AND('Current Index'!E463,"AAAAAHf377o=")</f>
        <v>#VALUE!</v>
      </c>
      <c r="GF18" t="e">
        <f>AND('Current Index'!F463,"AAAAAHf377s=")</f>
        <v>#VALUE!</v>
      </c>
      <c r="GG18" t="e">
        <f>AND('Current Index'!G463,"AAAAAHf377w=")</f>
        <v>#VALUE!</v>
      </c>
      <c r="GH18" t="e">
        <f>AND('Current Index'!H463,"AAAAAHf3770=")</f>
        <v>#VALUE!</v>
      </c>
      <c r="GI18" t="e">
        <f>AND('Current Index'!I463,"AAAAAHf3774=")</f>
        <v>#VALUE!</v>
      </c>
      <c r="GJ18">
        <f>IF('Current Index'!464:464,"AAAAAHf3778=",0)</f>
        <v>0</v>
      </c>
      <c r="GK18" t="e">
        <f>AND('Current Index'!A464,"AAAAAHf378A=")</f>
        <v>#VALUE!</v>
      </c>
      <c r="GL18" t="e">
        <f>AND('Current Index'!#REF!,"AAAAAHf378E=")</f>
        <v>#REF!</v>
      </c>
      <c r="GM18" t="e">
        <f>AND('Current Index'!B464,"AAAAAHf378I=")</f>
        <v>#VALUE!</v>
      </c>
      <c r="GN18" t="e">
        <f>AND('Current Index'!C464,"AAAAAHf378M=")</f>
        <v>#VALUE!</v>
      </c>
      <c r="GO18" t="e">
        <f>AND('Current Index'!D464,"AAAAAHf378Q=")</f>
        <v>#VALUE!</v>
      </c>
      <c r="GP18" t="e">
        <f>AND('Current Index'!E464,"AAAAAHf378U=")</f>
        <v>#VALUE!</v>
      </c>
      <c r="GQ18" t="e">
        <f>AND('Current Index'!F464,"AAAAAHf378Y=")</f>
        <v>#VALUE!</v>
      </c>
      <c r="GR18" t="e">
        <f>AND('Current Index'!G464,"AAAAAHf378c=")</f>
        <v>#VALUE!</v>
      </c>
      <c r="GS18" t="e">
        <f>AND('Current Index'!H464,"AAAAAHf378g=")</f>
        <v>#VALUE!</v>
      </c>
      <c r="GT18" t="e">
        <f>AND('Current Index'!I464,"AAAAAHf378k=")</f>
        <v>#VALUE!</v>
      </c>
      <c r="GU18">
        <f>IF('Current Index'!465:465,"AAAAAHf378o=",0)</f>
        <v>0</v>
      </c>
      <c r="GV18" t="e">
        <f>AND('Current Index'!A465,"AAAAAHf378s=")</f>
        <v>#VALUE!</v>
      </c>
      <c r="GW18" t="e">
        <f>AND('Current Index'!#REF!,"AAAAAHf378w=")</f>
        <v>#REF!</v>
      </c>
      <c r="GX18" t="e">
        <f>AND('Current Index'!B465,"AAAAAHf3780=")</f>
        <v>#VALUE!</v>
      </c>
      <c r="GY18" t="e">
        <f>AND('Current Index'!C465,"AAAAAHf3784=")</f>
        <v>#VALUE!</v>
      </c>
      <c r="GZ18" t="e">
        <f>AND('Current Index'!D465,"AAAAAHf3788=")</f>
        <v>#VALUE!</v>
      </c>
      <c r="HA18" t="e">
        <f>AND('Current Index'!E465,"AAAAAHf379A=")</f>
        <v>#VALUE!</v>
      </c>
      <c r="HB18" t="e">
        <f>AND('Current Index'!F465,"AAAAAHf379E=")</f>
        <v>#VALUE!</v>
      </c>
      <c r="HC18" t="e">
        <f>AND('Current Index'!G465,"AAAAAHf379I=")</f>
        <v>#VALUE!</v>
      </c>
      <c r="HD18" t="e">
        <f>AND('Current Index'!H465,"AAAAAHf379M=")</f>
        <v>#VALUE!</v>
      </c>
      <c r="HE18" t="e">
        <f>AND('Current Index'!I465,"AAAAAHf379Q=")</f>
        <v>#VALUE!</v>
      </c>
      <c r="HF18">
        <f>IF('Current Index'!466:466,"AAAAAHf379U=",0)</f>
        <v>0</v>
      </c>
      <c r="HG18" t="e">
        <f>AND('Current Index'!A466,"AAAAAHf379Y=")</f>
        <v>#VALUE!</v>
      </c>
      <c r="HH18" t="e">
        <f>AND('Current Index'!#REF!,"AAAAAHf379c=")</f>
        <v>#REF!</v>
      </c>
      <c r="HI18" t="e">
        <f>AND('Current Index'!B466,"AAAAAHf379g=")</f>
        <v>#VALUE!</v>
      </c>
      <c r="HJ18" t="e">
        <f>AND('Current Index'!C466,"AAAAAHf379k=")</f>
        <v>#VALUE!</v>
      </c>
      <c r="HK18" t="e">
        <f>AND('Current Index'!D466,"AAAAAHf379o=")</f>
        <v>#VALUE!</v>
      </c>
      <c r="HL18" t="e">
        <f>AND('Current Index'!E466,"AAAAAHf379s=")</f>
        <v>#VALUE!</v>
      </c>
      <c r="HM18" t="e">
        <f>AND('Current Index'!F466,"AAAAAHf379w=")</f>
        <v>#VALUE!</v>
      </c>
      <c r="HN18" t="e">
        <f>AND('Current Index'!G466,"AAAAAHf3790=")</f>
        <v>#VALUE!</v>
      </c>
      <c r="HO18" t="e">
        <f>AND('Current Index'!H466,"AAAAAHf3794=")</f>
        <v>#VALUE!</v>
      </c>
      <c r="HP18" t="e">
        <f>AND('Current Index'!I466,"AAAAAHf3798=")</f>
        <v>#VALUE!</v>
      </c>
      <c r="HQ18">
        <f>IF('Current Index'!467:467,"AAAAAHf37+A=",0)</f>
        <v>0</v>
      </c>
      <c r="HR18" t="e">
        <f>AND('Current Index'!A467,"AAAAAHf37+E=")</f>
        <v>#VALUE!</v>
      </c>
      <c r="HS18" t="e">
        <f>AND('Current Index'!#REF!,"AAAAAHf37+I=")</f>
        <v>#REF!</v>
      </c>
      <c r="HT18" t="e">
        <f>AND('Current Index'!B467,"AAAAAHf37+M=")</f>
        <v>#VALUE!</v>
      </c>
      <c r="HU18" t="e">
        <f>AND('Current Index'!C467,"AAAAAHf37+Q=")</f>
        <v>#VALUE!</v>
      </c>
      <c r="HV18" t="e">
        <f>AND('Current Index'!D467,"AAAAAHf37+U=")</f>
        <v>#VALUE!</v>
      </c>
      <c r="HW18" t="e">
        <f>AND('Current Index'!E467,"AAAAAHf37+Y=")</f>
        <v>#VALUE!</v>
      </c>
      <c r="HX18" t="e">
        <f>AND('Current Index'!F467,"AAAAAHf37+c=")</f>
        <v>#VALUE!</v>
      </c>
      <c r="HY18" t="e">
        <f>AND('Current Index'!G467,"AAAAAHf37+g=")</f>
        <v>#VALUE!</v>
      </c>
      <c r="HZ18" t="e">
        <f>AND('Current Index'!H467,"AAAAAHf37+k=")</f>
        <v>#VALUE!</v>
      </c>
      <c r="IA18" t="e">
        <f>AND('Current Index'!I467,"AAAAAHf37+o=")</f>
        <v>#VALUE!</v>
      </c>
      <c r="IB18">
        <f>IF('Current Index'!468:468,"AAAAAHf37+s=",0)</f>
        <v>0</v>
      </c>
      <c r="IC18" t="e">
        <f>AND('Current Index'!A468,"AAAAAHf37+w=")</f>
        <v>#VALUE!</v>
      </c>
      <c r="ID18" t="e">
        <f>AND('Current Index'!#REF!,"AAAAAHf37+0=")</f>
        <v>#REF!</v>
      </c>
      <c r="IE18" t="e">
        <f>AND('Current Index'!B468,"AAAAAHf37+4=")</f>
        <v>#VALUE!</v>
      </c>
      <c r="IF18" t="e">
        <f>AND('Current Index'!C468,"AAAAAHf37+8=")</f>
        <v>#VALUE!</v>
      </c>
      <c r="IG18" t="e">
        <f>AND('Current Index'!D468,"AAAAAHf37/A=")</f>
        <v>#VALUE!</v>
      </c>
      <c r="IH18" t="e">
        <f>AND('Current Index'!E468,"AAAAAHf37/E=")</f>
        <v>#VALUE!</v>
      </c>
      <c r="II18" t="e">
        <f>AND('Current Index'!F468,"AAAAAHf37/I=")</f>
        <v>#VALUE!</v>
      </c>
      <c r="IJ18" t="e">
        <f>AND('Current Index'!G468,"AAAAAHf37/M=")</f>
        <v>#VALUE!</v>
      </c>
      <c r="IK18" t="e">
        <f>AND('Current Index'!H468,"AAAAAHf37/Q=")</f>
        <v>#VALUE!</v>
      </c>
      <c r="IL18" t="e">
        <f>AND('Current Index'!I468,"AAAAAHf37/U=")</f>
        <v>#VALUE!</v>
      </c>
      <c r="IM18">
        <f>IF('Current Index'!469:469,"AAAAAHf37/Y=",0)</f>
        <v>0</v>
      </c>
      <c r="IN18" t="e">
        <f>AND('Current Index'!A469,"AAAAAHf37/c=")</f>
        <v>#VALUE!</v>
      </c>
      <c r="IO18" t="e">
        <f>AND('Current Index'!#REF!,"AAAAAHf37/g=")</f>
        <v>#REF!</v>
      </c>
      <c r="IP18" t="e">
        <f>AND('Current Index'!B469,"AAAAAHf37/k=")</f>
        <v>#VALUE!</v>
      </c>
      <c r="IQ18" t="e">
        <f>AND('Current Index'!C469,"AAAAAHf37/o=")</f>
        <v>#VALUE!</v>
      </c>
      <c r="IR18" t="e">
        <f>AND('Current Index'!D469,"AAAAAHf37/s=")</f>
        <v>#VALUE!</v>
      </c>
      <c r="IS18" t="e">
        <f>AND('Current Index'!E469,"AAAAAHf37/w=")</f>
        <v>#VALUE!</v>
      </c>
      <c r="IT18" t="e">
        <f>AND('Current Index'!F469,"AAAAAHf37/0=")</f>
        <v>#VALUE!</v>
      </c>
      <c r="IU18" t="e">
        <f>AND('Current Index'!G469,"AAAAAHf37/4=")</f>
        <v>#VALUE!</v>
      </c>
      <c r="IV18" t="e">
        <f>AND('Current Index'!H469,"AAAAAHf37/8=")</f>
        <v>#VALUE!</v>
      </c>
    </row>
    <row r="19" spans="1:256" x14ac:dyDescent="0.25">
      <c r="A19" t="e">
        <f>AND('Current Index'!I469,"AAAAAHvxdQA=")</f>
        <v>#VALUE!</v>
      </c>
      <c r="B19" t="e">
        <f>IF('Current Index'!470:470,"AAAAAHvxdQE=",0)</f>
        <v>#VALUE!</v>
      </c>
      <c r="C19" t="e">
        <f>AND('Current Index'!A470,"AAAAAHvxdQI=")</f>
        <v>#VALUE!</v>
      </c>
      <c r="D19" t="e">
        <f>AND('Current Index'!#REF!,"AAAAAHvxdQM=")</f>
        <v>#REF!</v>
      </c>
      <c r="E19" t="e">
        <f>AND('Current Index'!B470,"AAAAAHvxdQQ=")</f>
        <v>#VALUE!</v>
      </c>
      <c r="F19" t="e">
        <f>AND('Current Index'!C470,"AAAAAHvxdQU=")</f>
        <v>#VALUE!</v>
      </c>
      <c r="G19" t="e">
        <f>AND('Current Index'!D470,"AAAAAHvxdQY=")</f>
        <v>#VALUE!</v>
      </c>
      <c r="H19" t="e">
        <f>AND('Current Index'!E470,"AAAAAHvxdQc=")</f>
        <v>#VALUE!</v>
      </c>
      <c r="I19" t="e">
        <f>AND('Current Index'!F470,"AAAAAHvxdQg=")</f>
        <v>#VALUE!</v>
      </c>
      <c r="J19" t="e">
        <f>AND('Current Index'!G470,"AAAAAHvxdQk=")</f>
        <v>#VALUE!</v>
      </c>
      <c r="K19" t="e">
        <f>AND('Current Index'!H470,"AAAAAHvxdQo=")</f>
        <v>#VALUE!</v>
      </c>
      <c r="L19" t="e">
        <f>AND('Current Index'!I470,"AAAAAHvxdQs=")</f>
        <v>#VALUE!</v>
      </c>
      <c r="M19">
        <f>IF('Current Index'!471:471,"AAAAAHvxdQw=",0)</f>
        <v>0</v>
      </c>
      <c r="N19" t="e">
        <f>AND('Current Index'!A471,"AAAAAHvxdQ0=")</f>
        <v>#VALUE!</v>
      </c>
      <c r="O19" t="e">
        <f>AND('Current Index'!#REF!,"AAAAAHvxdQ4=")</f>
        <v>#REF!</v>
      </c>
      <c r="P19" t="e">
        <f>AND('Current Index'!B471,"AAAAAHvxdQ8=")</f>
        <v>#VALUE!</v>
      </c>
      <c r="Q19" t="e">
        <f>AND('Current Index'!C471,"AAAAAHvxdRA=")</f>
        <v>#VALUE!</v>
      </c>
      <c r="R19" t="e">
        <f>AND('Current Index'!D471,"AAAAAHvxdRE=")</f>
        <v>#VALUE!</v>
      </c>
      <c r="S19" t="e">
        <f>AND('Current Index'!E471,"AAAAAHvxdRI=")</f>
        <v>#VALUE!</v>
      </c>
      <c r="T19" t="e">
        <f>AND('Current Index'!F471,"AAAAAHvxdRM=")</f>
        <v>#VALUE!</v>
      </c>
      <c r="U19" t="e">
        <f>AND('Current Index'!G471,"AAAAAHvxdRQ=")</f>
        <v>#VALUE!</v>
      </c>
      <c r="V19" t="e">
        <f>AND('Current Index'!H471,"AAAAAHvxdRU=")</f>
        <v>#VALUE!</v>
      </c>
      <c r="W19" t="e">
        <f>AND('Current Index'!I471,"AAAAAHvxdRY=")</f>
        <v>#VALUE!</v>
      </c>
      <c r="X19" t="e">
        <f>IF('Current Index'!#REF!,"AAAAAHvxdRc=",0)</f>
        <v>#REF!</v>
      </c>
      <c r="Y19" t="e">
        <f>AND('Current Index'!#REF!,"AAAAAHvxdRg=")</f>
        <v>#REF!</v>
      </c>
      <c r="Z19" t="e">
        <f>AND('Current Index'!#REF!,"AAAAAHvxdRk=")</f>
        <v>#REF!</v>
      </c>
      <c r="AA19" t="e">
        <f>AND('Current Index'!#REF!,"AAAAAHvxdRo=")</f>
        <v>#REF!</v>
      </c>
      <c r="AB19" t="e">
        <f>AND('Current Index'!#REF!,"AAAAAHvxdRs=")</f>
        <v>#REF!</v>
      </c>
      <c r="AC19" t="e">
        <f>AND('Current Index'!#REF!,"AAAAAHvxdRw=")</f>
        <v>#REF!</v>
      </c>
      <c r="AD19" t="e">
        <f>AND('Current Index'!#REF!,"AAAAAHvxdR0=")</f>
        <v>#REF!</v>
      </c>
      <c r="AE19" t="e">
        <f>AND('Current Index'!#REF!,"AAAAAHvxdR4=")</f>
        <v>#REF!</v>
      </c>
      <c r="AF19" t="e">
        <f>AND('Current Index'!#REF!,"AAAAAHvxdR8=")</f>
        <v>#REF!</v>
      </c>
      <c r="AG19" t="e">
        <f>AND('Current Index'!#REF!,"AAAAAHvxdSA=")</f>
        <v>#REF!</v>
      </c>
      <c r="AH19" t="e">
        <f>AND('Current Index'!#REF!,"AAAAAHvxdSE=")</f>
        <v>#REF!</v>
      </c>
      <c r="AI19" t="e">
        <f>IF('Current Index'!#REF!,"AAAAAHvxdSI=",0)</f>
        <v>#REF!</v>
      </c>
      <c r="AJ19" t="e">
        <f>AND('Current Index'!#REF!,"AAAAAHvxdSM=")</f>
        <v>#REF!</v>
      </c>
      <c r="AK19" t="e">
        <f>AND('Current Index'!#REF!,"AAAAAHvxdSQ=")</f>
        <v>#REF!</v>
      </c>
      <c r="AL19" t="e">
        <f>AND('Current Index'!#REF!,"AAAAAHvxdSU=")</f>
        <v>#REF!</v>
      </c>
      <c r="AM19" t="e">
        <f>AND('Current Index'!#REF!,"AAAAAHvxdSY=")</f>
        <v>#REF!</v>
      </c>
      <c r="AN19" t="e">
        <f>AND('Current Index'!#REF!,"AAAAAHvxdSc=")</f>
        <v>#REF!</v>
      </c>
      <c r="AO19" t="e">
        <f>AND('Current Index'!#REF!,"AAAAAHvxdSg=")</f>
        <v>#REF!</v>
      </c>
      <c r="AP19" t="e">
        <f>AND('Current Index'!#REF!,"AAAAAHvxdSk=")</f>
        <v>#REF!</v>
      </c>
      <c r="AQ19" t="e">
        <f>AND('Current Index'!#REF!,"AAAAAHvxdSo=")</f>
        <v>#REF!</v>
      </c>
      <c r="AR19" t="e">
        <f>AND('Current Index'!#REF!,"AAAAAHvxdSs=")</f>
        <v>#REF!</v>
      </c>
      <c r="AS19" t="e">
        <f>AND('Current Index'!#REF!,"AAAAAHvxdSw=")</f>
        <v>#REF!</v>
      </c>
      <c r="AT19">
        <f>IF('Current Index'!472:472,"AAAAAHvxdS0=",0)</f>
        <v>0</v>
      </c>
      <c r="AU19" t="e">
        <f>AND('Current Index'!A472,"AAAAAHvxdS4=")</f>
        <v>#VALUE!</v>
      </c>
      <c r="AV19" t="e">
        <f>AND('Current Index'!#REF!,"AAAAAHvxdS8=")</f>
        <v>#REF!</v>
      </c>
      <c r="AW19" t="e">
        <f>AND('Current Index'!B472,"AAAAAHvxdTA=")</f>
        <v>#VALUE!</v>
      </c>
      <c r="AX19" t="e">
        <f>AND('Current Index'!C472,"AAAAAHvxdTE=")</f>
        <v>#VALUE!</v>
      </c>
      <c r="AY19" t="e">
        <f>AND('Current Index'!D472,"AAAAAHvxdTI=")</f>
        <v>#VALUE!</v>
      </c>
      <c r="AZ19" t="e">
        <f>AND('Current Index'!E472,"AAAAAHvxdTM=")</f>
        <v>#VALUE!</v>
      </c>
      <c r="BA19" t="e">
        <f>AND('Current Index'!F472,"AAAAAHvxdTQ=")</f>
        <v>#VALUE!</v>
      </c>
      <c r="BB19" t="e">
        <f>AND('Current Index'!G472,"AAAAAHvxdTU=")</f>
        <v>#VALUE!</v>
      </c>
      <c r="BC19" t="e">
        <f>AND('Current Index'!H472,"AAAAAHvxdTY=")</f>
        <v>#VALUE!</v>
      </c>
      <c r="BD19" t="e">
        <f>AND('Current Index'!I472,"AAAAAHvxdTc=")</f>
        <v>#VALUE!</v>
      </c>
      <c r="BE19">
        <f>IF('Current Index'!473:473,"AAAAAHvxdTg=",0)</f>
        <v>0</v>
      </c>
      <c r="BF19" t="e">
        <f>AND('Current Index'!A473,"AAAAAHvxdTk=")</f>
        <v>#VALUE!</v>
      </c>
      <c r="BG19" t="e">
        <f>AND('Current Index'!#REF!,"AAAAAHvxdTo=")</f>
        <v>#REF!</v>
      </c>
      <c r="BH19" t="e">
        <f>AND('Current Index'!B473,"AAAAAHvxdTs=")</f>
        <v>#VALUE!</v>
      </c>
      <c r="BI19" t="e">
        <f>AND('Current Index'!C473,"AAAAAHvxdTw=")</f>
        <v>#VALUE!</v>
      </c>
      <c r="BJ19" t="e">
        <f>AND('Current Index'!D473,"AAAAAHvxdT0=")</f>
        <v>#VALUE!</v>
      </c>
      <c r="BK19" t="e">
        <f>AND('Current Index'!E473,"AAAAAHvxdT4=")</f>
        <v>#VALUE!</v>
      </c>
      <c r="BL19" t="e">
        <f>AND('Current Index'!F473,"AAAAAHvxdT8=")</f>
        <v>#VALUE!</v>
      </c>
      <c r="BM19" t="e">
        <f>AND('Current Index'!G473,"AAAAAHvxdUA=")</f>
        <v>#VALUE!</v>
      </c>
      <c r="BN19" t="e">
        <f>AND('Current Index'!H473,"AAAAAHvxdUE=")</f>
        <v>#VALUE!</v>
      </c>
      <c r="BO19" t="e">
        <f>AND('Current Index'!I473,"AAAAAHvxdUI=")</f>
        <v>#VALUE!</v>
      </c>
      <c r="BP19">
        <f>IF('Current Index'!474:474,"AAAAAHvxdUM=",0)</f>
        <v>0</v>
      </c>
      <c r="BQ19" t="e">
        <f>AND('Current Index'!A474,"AAAAAHvxdUQ=")</f>
        <v>#VALUE!</v>
      </c>
      <c r="BR19" t="e">
        <f>AND('Current Index'!#REF!,"AAAAAHvxdUU=")</f>
        <v>#REF!</v>
      </c>
      <c r="BS19" t="e">
        <f>AND('Current Index'!B474,"AAAAAHvxdUY=")</f>
        <v>#VALUE!</v>
      </c>
      <c r="BT19" t="e">
        <f>AND('Current Index'!C474,"AAAAAHvxdUc=")</f>
        <v>#VALUE!</v>
      </c>
      <c r="BU19" t="e">
        <f>AND('Current Index'!D474,"AAAAAHvxdUg=")</f>
        <v>#VALUE!</v>
      </c>
      <c r="BV19" t="e">
        <f>AND('Current Index'!E474,"AAAAAHvxdUk=")</f>
        <v>#VALUE!</v>
      </c>
      <c r="BW19" t="e">
        <f>AND('Current Index'!F474,"AAAAAHvxdUo=")</f>
        <v>#VALUE!</v>
      </c>
      <c r="BX19" t="e">
        <f>AND('Current Index'!G474,"AAAAAHvxdUs=")</f>
        <v>#VALUE!</v>
      </c>
      <c r="BY19" t="e">
        <f>AND('Current Index'!H474,"AAAAAHvxdUw=")</f>
        <v>#VALUE!</v>
      </c>
      <c r="BZ19" t="e">
        <f>AND('Current Index'!I474,"AAAAAHvxdU0=")</f>
        <v>#VALUE!</v>
      </c>
      <c r="CA19">
        <f>IF('Current Index'!475:475,"AAAAAHvxdU4=",0)</f>
        <v>0</v>
      </c>
      <c r="CB19" t="e">
        <f>AND('Current Index'!A475,"AAAAAHvxdU8=")</f>
        <v>#VALUE!</v>
      </c>
      <c r="CC19" t="e">
        <f>AND('Current Index'!#REF!,"AAAAAHvxdVA=")</f>
        <v>#REF!</v>
      </c>
      <c r="CD19" t="e">
        <f>AND('Current Index'!B475,"AAAAAHvxdVE=")</f>
        <v>#VALUE!</v>
      </c>
      <c r="CE19" t="e">
        <f>AND('Current Index'!C475,"AAAAAHvxdVI=")</f>
        <v>#VALUE!</v>
      </c>
      <c r="CF19" t="e">
        <f>AND('Current Index'!D475,"AAAAAHvxdVM=")</f>
        <v>#VALUE!</v>
      </c>
      <c r="CG19" t="e">
        <f>AND('Current Index'!E475,"AAAAAHvxdVQ=")</f>
        <v>#VALUE!</v>
      </c>
      <c r="CH19" t="e">
        <f>AND('Current Index'!F475,"AAAAAHvxdVU=")</f>
        <v>#VALUE!</v>
      </c>
      <c r="CI19" t="e">
        <f>AND('Current Index'!G475,"AAAAAHvxdVY=")</f>
        <v>#VALUE!</v>
      </c>
      <c r="CJ19" t="e">
        <f>AND('Current Index'!H475,"AAAAAHvxdVc=")</f>
        <v>#VALUE!</v>
      </c>
      <c r="CK19" t="e">
        <f>AND('Current Index'!I475,"AAAAAHvxdVg=")</f>
        <v>#VALUE!</v>
      </c>
      <c r="CL19">
        <f>IF('Current Index'!476:476,"AAAAAHvxdVk=",0)</f>
        <v>0</v>
      </c>
      <c r="CM19" t="e">
        <f>AND('Current Index'!A476,"AAAAAHvxdVo=")</f>
        <v>#VALUE!</v>
      </c>
      <c r="CN19" t="e">
        <f>AND('Current Index'!#REF!,"AAAAAHvxdVs=")</f>
        <v>#REF!</v>
      </c>
      <c r="CO19" t="e">
        <f>AND('Current Index'!B476,"AAAAAHvxdVw=")</f>
        <v>#VALUE!</v>
      </c>
      <c r="CP19" t="e">
        <f>AND('Current Index'!C476,"AAAAAHvxdV0=")</f>
        <v>#VALUE!</v>
      </c>
      <c r="CQ19" t="e">
        <f>AND('Current Index'!D476,"AAAAAHvxdV4=")</f>
        <v>#VALUE!</v>
      </c>
      <c r="CR19" t="e">
        <f>AND('Current Index'!E476,"AAAAAHvxdV8=")</f>
        <v>#VALUE!</v>
      </c>
      <c r="CS19" t="e">
        <f>AND('Current Index'!F476,"AAAAAHvxdWA=")</f>
        <v>#VALUE!</v>
      </c>
      <c r="CT19" t="e">
        <f>AND('Current Index'!G476,"AAAAAHvxdWE=")</f>
        <v>#VALUE!</v>
      </c>
      <c r="CU19" t="e">
        <f>AND('Current Index'!H476,"AAAAAHvxdWI=")</f>
        <v>#VALUE!</v>
      </c>
      <c r="CV19" t="e">
        <f>AND('Current Index'!I476,"AAAAAHvxdWM=")</f>
        <v>#VALUE!</v>
      </c>
      <c r="CW19">
        <f>IF('Current Index'!477:477,"AAAAAHvxdWQ=",0)</f>
        <v>0</v>
      </c>
      <c r="CX19" t="e">
        <f>AND('Current Index'!A477,"AAAAAHvxdWU=")</f>
        <v>#VALUE!</v>
      </c>
      <c r="CY19" t="e">
        <f>AND('Current Index'!#REF!,"AAAAAHvxdWY=")</f>
        <v>#REF!</v>
      </c>
      <c r="CZ19" t="e">
        <f>AND('Current Index'!B477,"AAAAAHvxdWc=")</f>
        <v>#VALUE!</v>
      </c>
      <c r="DA19" t="e">
        <f>AND('Current Index'!C477,"AAAAAHvxdWg=")</f>
        <v>#VALUE!</v>
      </c>
      <c r="DB19" t="e">
        <f>AND('Current Index'!D477,"AAAAAHvxdWk=")</f>
        <v>#VALUE!</v>
      </c>
      <c r="DC19" t="e">
        <f>AND('Current Index'!E477,"AAAAAHvxdWo=")</f>
        <v>#VALUE!</v>
      </c>
      <c r="DD19" t="e">
        <f>AND('Current Index'!F477,"AAAAAHvxdWs=")</f>
        <v>#VALUE!</v>
      </c>
      <c r="DE19" t="e">
        <f>AND('Current Index'!G477,"AAAAAHvxdWw=")</f>
        <v>#VALUE!</v>
      </c>
      <c r="DF19" t="e">
        <f>AND('Current Index'!H477,"AAAAAHvxdW0=")</f>
        <v>#VALUE!</v>
      </c>
      <c r="DG19" t="e">
        <f>AND('Current Index'!I477,"AAAAAHvxdW4=")</f>
        <v>#VALUE!</v>
      </c>
      <c r="DH19">
        <f>IF('Current Index'!478:478,"AAAAAHvxdW8=",0)</f>
        <v>0</v>
      </c>
      <c r="DI19" t="e">
        <f>AND('Current Index'!A478,"AAAAAHvxdXA=")</f>
        <v>#VALUE!</v>
      </c>
      <c r="DJ19" t="e">
        <f>AND('Current Index'!#REF!,"AAAAAHvxdXE=")</f>
        <v>#REF!</v>
      </c>
      <c r="DK19" t="e">
        <f>AND('Current Index'!B478,"AAAAAHvxdXI=")</f>
        <v>#VALUE!</v>
      </c>
      <c r="DL19" t="e">
        <f>AND('Current Index'!C478,"AAAAAHvxdXM=")</f>
        <v>#VALUE!</v>
      </c>
      <c r="DM19" t="e">
        <f>AND('Current Index'!D478,"AAAAAHvxdXQ=")</f>
        <v>#VALUE!</v>
      </c>
      <c r="DN19" t="e">
        <f>AND('Current Index'!E478,"AAAAAHvxdXU=")</f>
        <v>#VALUE!</v>
      </c>
      <c r="DO19" t="e">
        <f>AND('Current Index'!F478,"AAAAAHvxdXY=")</f>
        <v>#VALUE!</v>
      </c>
      <c r="DP19" t="e">
        <f>AND('Current Index'!G478,"AAAAAHvxdXc=")</f>
        <v>#VALUE!</v>
      </c>
      <c r="DQ19" t="e">
        <f>AND('Current Index'!H478,"AAAAAHvxdXg=")</f>
        <v>#VALUE!</v>
      </c>
      <c r="DR19" t="e">
        <f>AND('Current Index'!I478,"AAAAAHvxdXk=")</f>
        <v>#VALUE!</v>
      </c>
      <c r="DS19">
        <f>IF('Current Index'!479:479,"AAAAAHvxdXo=",0)</f>
        <v>0</v>
      </c>
      <c r="DT19" t="e">
        <f>AND('Current Index'!A479,"AAAAAHvxdXs=")</f>
        <v>#VALUE!</v>
      </c>
      <c r="DU19" t="e">
        <f>AND('Current Index'!#REF!,"AAAAAHvxdXw=")</f>
        <v>#REF!</v>
      </c>
      <c r="DV19" t="e">
        <f>AND('Current Index'!B479,"AAAAAHvxdX0=")</f>
        <v>#VALUE!</v>
      </c>
      <c r="DW19" t="e">
        <f>AND('Current Index'!C479,"AAAAAHvxdX4=")</f>
        <v>#VALUE!</v>
      </c>
      <c r="DX19" t="e">
        <f>AND('Current Index'!D479,"AAAAAHvxdX8=")</f>
        <v>#VALUE!</v>
      </c>
      <c r="DY19" t="e">
        <f>AND('Current Index'!E479,"AAAAAHvxdYA=")</f>
        <v>#VALUE!</v>
      </c>
      <c r="DZ19" t="e">
        <f>AND('Current Index'!F479,"AAAAAHvxdYE=")</f>
        <v>#VALUE!</v>
      </c>
      <c r="EA19" t="e">
        <f>AND('Current Index'!G479,"AAAAAHvxdYI=")</f>
        <v>#VALUE!</v>
      </c>
      <c r="EB19" t="e">
        <f>AND('Current Index'!H479,"AAAAAHvxdYM=")</f>
        <v>#VALUE!</v>
      </c>
      <c r="EC19" t="e">
        <f>AND('Current Index'!I479,"AAAAAHvxdYQ=")</f>
        <v>#VALUE!</v>
      </c>
      <c r="ED19">
        <f>IF('Current Index'!480:480,"AAAAAHvxdYU=",0)</f>
        <v>0</v>
      </c>
      <c r="EE19" t="e">
        <f>AND('Current Index'!A480,"AAAAAHvxdYY=")</f>
        <v>#VALUE!</v>
      </c>
      <c r="EF19" t="e">
        <f>AND('Current Index'!#REF!,"AAAAAHvxdYc=")</f>
        <v>#REF!</v>
      </c>
      <c r="EG19" t="e">
        <f>AND('Current Index'!B480,"AAAAAHvxdYg=")</f>
        <v>#VALUE!</v>
      </c>
      <c r="EH19" t="e">
        <f>AND('Current Index'!C480,"AAAAAHvxdYk=")</f>
        <v>#VALUE!</v>
      </c>
      <c r="EI19" t="e">
        <f>AND('Current Index'!D480,"AAAAAHvxdYo=")</f>
        <v>#VALUE!</v>
      </c>
      <c r="EJ19" t="e">
        <f>AND('Current Index'!E480,"AAAAAHvxdYs=")</f>
        <v>#VALUE!</v>
      </c>
      <c r="EK19" t="e">
        <f>AND('Current Index'!F480,"AAAAAHvxdYw=")</f>
        <v>#VALUE!</v>
      </c>
      <c r="EL19" t="e">
        <f>AND('Current Index'!G480,"AAAAAHvxdY0=")</f>
        <v>#VALUE!</v>
      </c>
      <c r="EM19" t="e">
        <f>AND('Current Index'!H480,"AAAAAHvxdY4=")</f>
        <v>#VALUE!</v>
      </c>
      <c r="EN19" t="e">
        <f>AND('Current Index'!I480,"AAAAAHvxdY8=")</f>
        <v>#VALUE!</v>
      </c>
      <c r="EO19" t="e">
        <f>IF('Current Index'!#REF!,"AAAAAHvxdZA=",0)</f>
        <v>#REF!</v>
      </c>
      <c r="EP19" t="e">
        <f>AND('Current Index'!#REF!,"AAAAAHvxdZE=")</f>
        <v>#REF!</v>
      </c>
      <c r="EQ19" t="e">
        <f>AND('Current Index'!#REF!,"AAAAAHvxdZI=")</f>
        <v>#REF!</v>
      </c>
      <c r="ER19" t="e">
        <f>AND('Current Index'!#REF!,"AAAAAHvxdZM=")</f>
        <v>#REF!</v>
      </c>
      <c r="ES19" t="e">
        <f>AND('Current Index'!#REF!,"AAAAAHvxdZQ=")</f>
        <v>#REF!</v>
      </c>
      <c r="ET19" t="e">
        <f>AND('Current Index'!#REF!,"AAAAAHvxdZU=")</f>
        <v>#REF!</v>
      </c>
      <c r="EU19" t="e">
        <f>AND('Current Index'!#REF!,"AAAAAHvxdZY=")</f>
        <v>#REF!</v>
      </c>
      <c r="EV19" t="e">
        <f>AND('Current Index'!#REF!,"AAAAAHvxdZc=")</f>
        <v>#REF!</v>
      </c>
      <c r="EW19" t="e">
        <f>AND('Current Index'!#REF!,"AAAAAHvxdZg=")</f>
        <v>#REF!</v>
      </c>
      <c r="EX19" t="e">
        <f>AND('Current Index'!#REF!,"AAAAAHvxdZk=")</f>
        <v>#REF!</v>
      </c>
      <c r="EY19" t="e">
        <f>AND('Current Index'!#REF!,"AAAAAHvxdZo=")</f>
        <v>#REF!</v>
      </c>
      <c r="EZ19">
        <f>IF('Current Index'!481:481,"AAAAAHvxdZs=",0)</f>
        <v>0</v>
      </c>
      <c r="FA19" t="e">
        <f>AND('Current Index'!A481,"AAAAAHvxdZw=")</f>
        <v>#VALUE!</v>
      </c>
      <c r="FB19" t="e">
        <f>AND('Current Index'!#REF!,"AAAAAHvxdZ0=")</f>
        <v>#REF!</v>
      </c>
      <c r="FC19" t="e">
        <f>AND('Current Index'!B481,"AAAAAHvxdZ4=")</f>
        <v>#VALUE!</v>
      </c>
      <c r="FD19" t="e">
        <f>AND('Current Index'!C481,"AAAAAHvxdZ8=")</f>
        <v>#VALUE!</v>
      </c>
      <c r="FE19" t="e">
        <f>AND('Current Index'!D481,"AAAAAHvxdaA=")</f>
        <v>#VALUE!</v>
      </c>
      <c r="FF19" t="e">
        <f>AND('Current Index'!E481,"AAAAAHvxdaE=")</f>
        <v>#VALUE!</v>
      </c>
      <c r="FG19" t="e">
        <f>AND('Current Index'!F481,"AAAAAHvxdaI=")</f>
        <v>#VALUE!</v>
      </c>
      <c r="FH19" t="e">
        <f>AND('Current Index'!G481,"AAAAAHvxdaM=")</f>
        <v>#VALUE!</v>
      </c>
      <c r="FI19" t="e">
        <f>AND('Current Index'!H481,"AAAAAHvxdaQ=")</f>
        <v>#VALUE!</v>
      </c>
      <c r="FJ19" t="e">
        <f>AND('Current Index'!I481,"AAAAAHvxdaU=")</f>
        <v>#VALUE!</v>
      </c>
      <c r="FK19">
        <f>IF('Current Index'!482:482,"AAAAAHvxdaY=",0)</f>
        <v>0</v>
      </c>
      <c r="FL19" t="e">
        <f>AND('Current Index'!A482,"AAAAAHvxdac=")</f>
        <v>#VALUE!</v>
      </c>
      <c r="FM19" t="e">
        <f>AND('Current Index'!#REF!,"AAAAAHvxdag=")</f>
        <v>#REF!</v>
      </c>
      <c r="FN19" t="e">
        <f>AND('Current Index'!B482,"AAAAAHvxdak=")</f>
        <v>#VALUE!</v>
      </c>
      <c r="FO19" t="e">
        <f>AND('Current Index'!C482,"AAAAAHvxdao=")</f>
        <v>#VALUE!</v>
      </c>
      <c r="FP19" t="e">
        <f>AND('Current Index'!D482,"AAAAAHvxdas=")</f>
        <v>#VALUE!</v>
      </c>
      <c r="FQ19" t="e">
        <f>AND('Current Index'!E482,"AAAAAHvxdaw=")</f>
        <v>#VALUE!</v>
      </c>
      <c r="FR19" t="e">
        <f>AND('Current Index'!F482,"AAAAAHvxda0=")</f>
        <v>#VALUE!</v>
      </c>
      <c r="FS19" t="e">
        <f>AND('Current Index'!G482,"AAAAAHvxda4=")</f>
        <v>#VALUE!</v>
      </c>
      <c r="FT19" t="e">
        <f>AND('Current Index'!H482,"AAAAAHvxda8=")</f>
        <v>#VALUE!</v>
      </c>
      <c r="FU19" t="e">
        <f>AND('Current Index'!I482,"AAAAAHvxdbA=")</f>
        <v>#VALUE!</v>
      </c>
      <c r="FV19">
        <f>IF('Current Index'!483:483,"AAAAAHvxdbE=",0)</f>
        <v>0</v>
      </c>
      <c r="FW19" t="e">
        <f>AND('Current Index'!A483,"AAAAAHvxdbI=")</f>
        <v>#VALUE!</v>
      </c>
      <c r="FX19" t="e">
        <f>AND('Current Index'!#REF!,"AAAAAHvxdbM=")</f>
        <v>#REF!</v>
      </c>
      <c r="FY19" t="e">
        <f>AND('Current Index'!B483,"AAAAAHvxdbQ=")</f>
        <v>#VALUE!</v>
      </c>
      <c r="FZ19" t="e">
        <f>AND('Current Index'!C483,"AAAAAHvxdbU=")</f>
        <v>#VALUE!</v>
      </c>
      <c r="GA19" t="e">
        <f>AND('Current Index'!D483,"AAAAAHvxdbY=")</f>
        <v>#VALUE!</v>
      </c>
      <c r="GB19" t="e">
        <f>AND('Current Index'!E483,"AAAAAHvxdbc=")</f>
        <v>#VALUE!</v>
      </c>
      <c r="GC19" t="e">
        <f>AND('Current Index'!F483,"AAAAAHvxdbg=")</f>
        <v>#VALUE!</v>
      </c>
      <c r="GD19" t="e">
        <f>AND('Current Index'!G483,"AAAAAHvxdbk=")</f>
        <v>#VALUE!</v>
      </c>
      <c r="GE19" t="e">
        <f>AND('Current Index'!H483,"AAAAAHvxdbo=")</f>
        <v>#VALUE!</v>
      </c>
      <c r="GF19" t="e">
        <f>AND('Current Index'!I483,"AAAAAHvxdbs=")</f>
        <v>#VALUE!</v>
      </c>
      <c r="GG19">
        <f>IF('Current Index'!484:484,"AAAAAHvxdbw=",0)</f>
        <v>0</v>
      </c>
      <c r="GH19" t="e">
        <f>AND('Current Index'!A484,"AAAAAHvxdb0=")</f>
        <v>#VALUE!</v>
      </c>
      <c r="GI19" t="e">
        <f>AND('Current Index'!#REF!,"AAAAAHvxdb4=")</f>
        <v>#REF!</v>
      </c>
      <c r="GJ19" t="e">
        <f>AND('Current Index'!B484,"AAAAAHvxdb8=")</f>
        <v>#VALUE!</v>
      </c>
      <c r="GK19" t="e">
        <f>AND('Current Index'!C484,"AAAAAHvxdcA=")</f>
        <v>#VALUE!</v>
      </c>
      <c r="GL19" t="e">
        <f>AND('Current Index'!D484,"AAAAAHvxdcE=")</f>
        <v>#VALUE!</v>
      </c>
      <c r="GM19" t="e">
        <f>AND('Current Index'!E484,"AAAAAHvxdcI=")</f>
        <v>#VALUE!</v>
      </c>
      <c r="GN19" t="e">
        <f>AND('Current Index'!F484,"AAAAAHvxdcM=")</f>
        <v>#VALUE!</v>
      </c>
      <c r="GO19" t="e">
        <f>AND('Current Index'!G484,"AAAAAHvxdcQ=")</f>
        <v>#VALUE!</v>
      </c>
      <c r="GP19" t="e">
        <f>AND('Current Index'!H484,"AAAAAHvxdcU=")</f>
        <v>#VALUE!</v>
      </c>
      <c r="GQ19" t="e">
        <f>AND('Current Index'!I484,"AAAAAHvxdcY=")</f>
        <v>#VALUE!</v>
      </c>
      <c r="GR19">
        <f>IF('Current Index'!485:485,"AAAAAHvxdcc=",0)</f>
        <v>0</v>
      </c>
      <c r="GS19" t="e">
        <f>AND('Current Index'!A485,"AAAAAHvxdcg=")</f>
        <v>#VALUE!</v>
      </c>
      <c r="GT19" t="e">
        <f>AND('Current Index'!#REF!,"AAAAAHvxdck=")</f>
        <v>#REF!</v>
      </c>
      <c r="GU19" t="e">
        <f>AND('Current Index'!B485,"AAAAAHvxdco=")</f>
        <v>#VALUE!</v>
      </c>
      <c r="GV19" t="e">
        <f>AND('Current Index'!C485,"AAAAAHvxdcs=")</f>
        <v>#VALUE!</v>
      </c>
      <c r="GW19" t="e">
        <f>AND('Current Index'!D485,"AAAAAHvxdcw=")</f>
        <v>#VALUE!</v>
      </c>
      <c r="GX19" t="e">
        <f>AND('Current Index'!E485,"AAAAAHvxdc0=")</f>
        <v>#VALUE!</v>
      </c>
      <c r="GY19" t="e">
        <f>AND('Current Index'!F485,"AAAAAHvxdc4=")</f>
        <v>#VALUE!</v>
      </c>
      <c r="GZ19" t="e">
        <f>AND('Current Index'!G485,"AAAAAHvxdc8=")</f>
        <v>#VALUE!</v>
      </c>
      <c r="HA19" t="e">
        <f>AND('Current Index'!H485,"AAAAAHvxddA=")</f>
        <v>#VALUE!</v>
      </c>
      <c r="HB19" t="e">
        <f>AND('Current Index'!I485,"AAAAAHvxddE=")</f>
        <v>#VALUE!</v>
      </c>
      <c r="HC19">
        <f>IF('Current Index'!486:486,"AAAAAHvxddI=",0)</f>
        <v>0</v>
      </c>
      <c r="HD19" t="e">
        <f>AND('Current Index'!A486,"AAAAAHvxddM=")</f>
        <v>#VALUE!</v>
      </c>
      <c r="HE19" t="e">
        <f>AND('Current Index'!#REF!,"AAAAAHvxddQ=")</f>
        <v>#REF!</v>
      </c>
      <c r="HF19" t="e">
        <f>AND('Current Index'!B486,"AAAAAHvxddU=")</f>
        <v>#VALUE!</v>
      </c>
      <c r="HG19" t="e">
        <f>AND('Current Index'!C486,"AAAAAHvxddY=")</f>
        <v>#VALUE!</v>
      </c>
      <c r="HH19" t="e">
        <f>AND('Current Index'!D486,"AAAAAHvxddc=")</f>
        <v>#VALUE!</v>
      </c>
      <c r="HI19" t="e">
        <f>AND('Current Index'!E486,"AAAAAHvxddg=")</f>
        <v>#VALUE!</v>
      </c>
      <c r="HJ19" t="e">
        <f>AND('Current Index'!F486,"AAAAAHvxddk=")</f>
        <v>#VALUE!</v>
      </c>
      <c r="HK19" t="e">
        <f>AND('Current Index'!G486,"AAAAAHvxddo=")</f>
        <v>#VALUE!</v>
      </c>
      <c r="HL19" t="e">
        <f>AND('Current Index'!H486,"AAAAAHvxdds=")</f>
        <v>#VALUE!</v>
      </c>
      <c r="HM19" t="e">
        <f>AND('Current Index'!I486,"AAAAAHvxddw=")</f>
        <v>#VALUE!</v>
      </c>
      <c r="HN19">
        <f>IF('Current Index'!487:487,"AAAAAHvxdd0=",0)</f>
        <v>0</v>
      </c>
      <c r="HO19" t="e">
        <f>AND('Current Index'!A487,"AAAAAHvxdd4=")</f>
        <v>#VALUE!</v>
      </c>
      <c r="HP19" t="e">
        <f>AND('Current Index'!#REF!,"AAAAAHvxdd8=")</f>
        <v>#REF!</v>
      </c>
      <c r="HQ19" t="e">
        <f>AND('Current Index'!B487,"AAAAAHvxdeA=")</f>
        <v>#VALUE!</v>
      </c>
      <c r="HR19" t="e">
        <f>AND('Current Index'!C487,"AAAAAHvxdeE=")</f>
        <v>#VALUE!</v>
      </c>
      <c r="HS19" t="e">
        <f>AND('Current Index'!D487,"AAAAAHvxdeI=")</f>
        <v>#VALUE!</v>
      </c>
      <c r="HT19" t="e">
        <f>AND('Current Index'!E487,"AAAAAHvxdeM=")</f>
        <v>#VALUE!</v>
      </c>
      <c r="HU19" t="e">
        <f>AND('Current Index'!F487,"AAAAAHvxdeQ=")</f>
        <v>#VALUE!</v>
      </c>
      <c r="HV19" t="e">
        <f>AND('Current Index'!G487,"AAAAAHvxdeU=")</f>
        <v>#VALUE!</v>
      </c>
      <c r="HW19" t="e">
        <f>AND('Current Index'!H487,"AAAAAHvxdeY=")</f>
        <v>#VALUE!</v>
      </c>
      <c r="HX19" t="e">
        <f>AND('Current Index'!I487,"AAAAAHvxdec=")</f>
        <v>#VALUE!</v>
      </c>
      <c r="HY19">
        <f>IF('Current Index'!488:488,"AAAAAHvxdeg=",0)</f>
        <v>0</v>
      </c>
      <c r="HZ19" t="e">
        <f>AND('Current Index'!A488,"AAAAAHvxdek=")</f>
        <v>#VALUE!</v>
      </c>
      <c r="IA19" t="e">
        <f>AND('Current Index'!#REF!,"AAAAAHvxdeo=")</f>
        <v>#REF!</v>
      </c>
      <c r="IB19" t="e">
        <f>AND('Current Index'!B488,"AAAAAHvxdes=")</f>
        <v>#VALUE!</v>
      </c>
      <c r="IC19" t="e">
        <f>AND('Current Index'!C488,"AAAAAHvxdew=")</f>
        <v>#VALUE!</v>
      </c>
      <c r="ID19" t="e">
        <f>AND('Current Index'!D488,"AAAAAHvxde0=")</f>
        <v>#VALUE!</v>
      </c>
      <c r="IE19" t="e">
        <f>AND('Current Index'!E488,"AAAAAHvxde4=")</f>
        <v>#VALUE!</v>
      </c>
      <c r="IF19" t="e">
        <f>AND('Current Index'!F488,"AAAAAHvxde8=")</f>
        <v>#VALUE!</v>
      </c>
      <c r="IG19" t="e">
        <f>AND('Current Index'!G488,"AAAAAHvxdfA=")</f>
        <v>#VALUE!</v>
      </c>
      <c r="IH19" t="e">
        <f>AND('Current Index'!H488,"AAAAAHvxdfE=")</f>
        <v>#VALUE!</v>
      </c>
      <c r="II19" t="e">
        <f>AND('Current Index'!I488,"AAAAAHvxdfI=")</f>
        <v>#VALUE!</v>
      </c>
      <c r="IJ19">
        <f>IF('Current Index'!489:489,"AAAAAHvxdfM=",0)</f>
        <v>0</v>
      </c>
      <c r="IK19" t="e">
        <f>AND('Current Index'!A489,"AAAAAHvxdfQ=")</f>
        <v>#VALUE!</v>
      </c>
      <c r="IL19" t="e">
        <f>AND('Current Index'!#REF!,"AAAAAHvxdfU=")</f>
        <v>#REF!</v>
      </c>
      <c r="IM19" t="e">
        <f>AND('Current Index'!B489,"AAAAAHvxdfY=")</f>
        <v>#VALUE!</v>
      </c>
      <c r="IN19" t="e">
        <f>AND('Current Index'!C489,"AAAAAHvxdfc=")</f>
        <v>#VALUE!</v>
      </c>
      <c r="IO19" t="e">
        <f>AND('Current Index'!D489,"AAAAAHvxdfg=")</f>
        <v>#VALUE!</v>
      </c>
      <c r="IP19" t="e">
        <f>AND('Current Index'!E489,"AAAAAHvxdfk=")</f>
        <v>#VALUE!</v>
      </c>
      <c r="IQ19" t="e">
        <f>AND('Current Index'!F489,"AAAAAHvxdfo=")</f>
        <v>#VALUE!</v>
      </c>
      <c r="IR19" t="e">
        <f>AND('Current Index'!G489,"AAAAAHvxdfs=")</f>
        <v>#VALUE!</v>
      </c>
      <c r="IS19" t="e">
        <f>AND('Current Index'!H489,"AAAAAHvxdfw=")</f>
        <v>#VALUE!</v>
      </c>
      <c r="IT19" t="e">
        <f>AND('Current Index'!I489,"AAAAAHvxdf0=")</f>
        <v>#VALUE!</v>
      </c>
      <c r="IU19">
        <f>IF('Current Index'!490:490,"AAAAAHvxdf4=",0)</f>
        <v>0</v>
      </c>
      <c r="IV19" t="e">
        <f>AND('Current Index'!A490,"AAAAAHvxdf8=")</f>
        <v>#VALUE!</v>
      </c>
    </row>
    <row r="20" spans="1:256" x14ac:dyDescent="0.25">
      <c r="A20" t="e">
        <f>AND('Current Index'!#REF!,"AAAAAH330wA=")</f>
        <v>#REF!</v>
      </c>
      <c r="B20" t="e">
        <f>AND('Current Index'!B490,"AAAAAH330wE=")</f>
        <v>#VALUE!</v>
      </c>
      <c r="C20" t="e">
        <f>AND('Current Index'!C490,"AAAAAH330wI=")</f>
        <v>#VALUE!</v>
      </c>
      <c r="D20" t="e">
        <f>AND('Current Index'!D490,"AAAAAH330wM=")</f>
        <v>#VALUE!</v>
      </c>
      <c r="E20" t="e">
        <f>AND('Current Index'!E490,"AAAAAH330wQ=")</f>
        <v>#VALUE!</v>
      </c>
      <c r="F20" t="e">
        <f>AND('Current Index'!F490,"AAAAAH330wU=")</f>
        <v>#VALUE!</v>
      </c>
      <c r="G20" t="e">
        <f>AND('Current Index'!G490,"AAAAAH330wY=")</f>
        <v>#VALUE!</v>
      </c>
      <c r="H20" t="e">
        <f>AND('Current Index'!H490,"AAAAAH330wc=")</f>
        <v>#VALUE!</v>
      </c>
      <c r="I20" t="e">
        <f>AND('Current Index'!I490,"AAAAAH330wg=")</f>
        <v>#VALUE!</v>
      </c>
      <c r="J20">
        <f>IF('Current Index'!491:491,"AAAAAH330wk=",0)</f>
        <v>0</v>
      </c>
      <c r="K20" t="e">
        <f>AND('Current Index'!A491,"AAAAAH330wo=")</f>
        <v>#VALUE!</v>
      </c>
      <c r="L20" t="e">
        <f>AND('Current Index'!#REF!,"AAAAAH330ws=")</f>
        <v>#REF!</v>
      </c>
      <c r="M20" t="e">
        <f>AND('Current Index'!B491,"AAAAAH330ww=")</f>
        <v>#VALUE!</v>
      </c>
      <c r="N20" t="e">
        <f>AND('Current Index'!C491,"AAAAAH330w0=")</f>
        <v>#VALUE!</v>
      </c>
      <c r="O20" t="e">
        <f>AND('Current Index'!D491,"AAAAAH330w4=")</f>
        <v>#VALUE!</v>
      </c>
      <c r="P20" t="e">
        <f>AND('Current Index'!E491,"AAAAAH330w8=")</f>
        <v>#VALUE!</v>
      </c>
      <c r="Q20" t="e">
        <f>AND('Current Index'!F491,"AAAAAH330xA=")</f>
        <v>#VALUE!</v>
      </c>
      <c r="R20" t="e">
        <f>AND('Current Index'!G491,"AAAAAH330xE=")</f>
        <v>#VALUE!</v>
      </c>
      <c r="S20" t="e">
        <f>AND('Current Index'!H491,"AAAAAH330xI=")</f>
        <v>#VALUE!</v>
      </c>
      <c r="T20" t="e">
        <f>AND('Current Index'!I491,"AAAAAH330xM=")</f>
        <v>#VALUE!</v>
      </c>
      <c r="U20">
        <f>IF('Current Index'!492:492,"AAAAAH330xQ=",0)</f>
        <v>0</v>
      </c>
      <c r="V20" t="e">
        <f>AND('Current Index'!A492,"AAAAAH330xU=")</f>
        <v>#VALUE!</v>
      </c>
      <c r="W20" t="e">
        <f>AND('Current Index'!#REF!,"AAAAAH330xY=")</f>
        <v>#REF!</v>
      </c>
      <c r="X20" t="e">
        <f>AND('Current Index'!B492,"AAAAAH330xc=")</f>
        <v>#VALUE!</v>
      </c>
      <c r="Y20" t="e">
        <f>AND('Current Index'!C492,"AAAAAH330xg=")</f>
        <v>#VALUE!</v>
      </c>
      <c r="Z20" t="e">
        <f>AND('Current Index'!D492,"AAAAAH330xk=")</f>
        <v>#VALUE!</v>
      </c>
      <c r="AA20" t="e">
        <f>AND('Current Index'!E492,"AAAAAH330xo=")</f>
        <v>#VALUE!</v>
      </c>
      <c r="AB20" t="e">
        <f>AND('Current Index'!F492,"AAAAAH330xs=")</f>
        <v>#VALUE!</v>
      </c>
      <c r="AC20" t="e">
        <f>AND('Current Index'!G492,"AAAAAH330xw=")</f>
        <v>#VALUE!</v>
      </c>
      <c r="AD20" t="e">
        <f>AND('Current Index'!H492,"AAAAAH330x0=")</f>
        <v>#VALUE!</v>
      </c>
      <c r="AE20" t="e">
        <f>AND('Current Index'!I492,"AAAAAH330x4=")</f>
        <v>#VALUE!</v>
      </c>
      <c r="AF20">
        <f>IF('Current Index'!493:493,"AAAAAH330x8=",0)</f>
        <v>0</v>
      </c>
      <c r="AG20" t="e">
        <f>AND('Current Index'!A493,"AAAAAH330yA=")</f>
        <v>#VALUE!</v>
      </c>
      <c r="AH20" t="e">
        <f>AND('Current Index'!#REF!,"AAAAAH330yE=")</f>
        <v>#REF!</v>
      </c>
      <c r="AI20" t="e">
        <f>AND('Current Index'!B493,"AAAAAH330yI=")</f>
        <v>#VALUE!</v>
      </c>
      <c r="AJ20" t="e">
        <f>AND('Current Index'!C493,"AAAAAH330yM=")</f>
        <v>#VALUE!</v>
      </c>
      <c r="AK20" t="e">
        <f>AND('Current Index'!D493,"AAAAAH330yQ=")</f>
        <v>#VALUE!</v>
      </c>
      <c r="AL20" t="e">
        <f>AND('Current Index'!E493,"AAAAAH330yU=")</f>
        <v>#VALUE!</v>
      </c>
      <c r="AM20" t="e">
        <f>AND('Current Index'!F493,"AAAAAH330yY=")</f>
        <v>#VALUE!</v>
      </c>
      <c r="AN20" t="e">
        <f>AND('Current Index'!G493,"AAAAAH330yc=")</f>
        <v>#VALUE!</v>
      </c>
      <c r="AO20" t="e">
        <f>AND('Current Index'!H493,"AAAAAH330yg=")</f>
        <v>#VALUE!</v>
      </c>
      <c r="AP20" t="e">
        <f>AND('Current Index'!I493,"AAAAAH330yk=")</f>
        <v>#VALUE!</v>
      </c>
      <c r="AQ20">
        <f>IF('Current Index'!494:494,"AAAAAH330yo=",0)</f>
        <v>0</v>
      </c>
      <c r="AR20" t="e">
        <f>AND('Current Index'!A494,"AAAAAH330ys=")</f>
        <v>#VALUE!</v>
      </c>
      <c r="AS20" t="e">
        <f>AND('Current Index'!#REF!,"AAAAAH330yw=")</f>
        <v>#REF!</v>
      </c>
      <c r="AT20" t="e">
        <f>AND('Current Index'!B494,"AAAAAH330y0=")</f>
        <v>#VALUE!</v>
      </c>
      <c r="AU20" t="e">
        <f>AND('Current Index'!C494,"AAAAAH330y4=")</f>
        <v>#VALUE!</v>
      </c>
      <c r="AV20" t="e">
        <f>AND('Current Index'!D494,"AAAAAH330y8=")</f>
        <v>#VALUE!</v>
      </c>
      <c r="AW20" t="e">
        <f>AND('Current Index'!E494,"AAAAAH330zA=")</f>
        <v>#VALUE!</v>
      </c>
      <c r="AX20" t="e">
        <f>AND('Current Index'!F494,"AAAAAH330zE=")</f>
        <v>#VALUE!</v>
      </c>
      <c r="AY20" t="e">
        <f>AND('Current Index'!G494,"AAAAAH330zI=")</f>
        <v>#VALUE!</v>
      </c>
      <c r="AZ20" t="e">
        <f>AND('Current Index'!H494,"AAAAAH330zM=")</f>
        <v>#VALUE!</v>
      </c>
      <c r="BA20" t="e">
        <f>AND('Current Index'!I494,"AAAAAH330zQ=")</f>
        <v>#VALUE!</v>
      </c>
      <c r="BB20">
        <f>IF('Current Index'!495:495,"AAAAAH330zU=",0)</f>
        <v>0</v>
      </c>
      <c r="BC20" t="e">
        <f>AND('Current Index'!A495,"AAAAAH330zY=")</f>
        <v>#VALUE!</v>
      </c>
      <c r="BD20" t="e">
        <f>AND('Current Index'!#REF!,"AAAAAH330zc=")</f>
        <v>#REF!</v>
      </c>
      <c r="BE20" t="e">
        <f>AND('Current Index'!B495,"AAAAAH330zg=")</f>
        <v>#VALUE!</v>
      </c>
      <c r="BF20" t="e">
        <f>AND('Current Index'!C495,"AAAAAH330zk=")</f>
        <v>#VALUE!</v>
      </c>
      <c r="BG20" t="e">
        <f>AND('Current Index'!D495,"AAAAAH330zo=")</f>
        <v>#VALUE!</v>
      </c>
      <c r="BH20" t="e">
        <f>AND('Current Index'!E495,"AAAAAH330zs=")</f>
        <v>#VALUE!</v>
      </c>
      <c r="BI20" t="e">
        <f>AND('Current Index'!F495,"AAAAAH330zw=")</f>
        <v>#VALUE!</v>
      </c>
      <c r="BJ20" t="e">
        <f>AND('Current Index'!G495,"AAAAAH330z0=")</f>
        <v>#VALUE!</v>
      </c>
      <c r="BK20" t="e">
        <f>AND('Current Index'!H495,"AAAAAH330z4=")</f>
        <v>#VALUE!</v>
      </c>
      <c r="BL20" t="e">
        <f>AND('Current Index'!I495,"AAAAAH330z8=")</f>
        <v>#VALUE!</v>
      </c>
      <c r="BM20">
        <f>IF('Current Index'!496:496,"AAAAAH3300A=",0)</f>
        <v>0</v>
      </c>
      <c r="BN20" t="e">
        <f>AND('Current Index'!A496,"AAAAAH3300E=")</f>
        <v>#VALUE!</v>
      </c>
      <c r="BO20" t="e">
        <f>AND('Current Index'!#REF!,"AAAAAH3300I=")</f>
        <v>#REF!</v>
      </c>
      <c r="BP20" t="e">
        <f>AND('Current Index'!B496,"AAAAAH3300M=")</f>
        <v>#VALUE!</v>
      </c>
      <c r="BQ20" t="e">
        <f>AND('Current Index'!C496,"AAAAAH3300Q=")</f>
        <v>#VALUE!</v>
      </c>
      <c r="BR20" t="e">
        <f>AND('Current Index'!D496,"AAAAAH3300U=")</f>
        <v>#VALUE!</v>
      </c>
      <c r="BS20" t="e">
        <f>AND('Current Index'!E496,"AAAAAH3300Y=")</f>
        <v>#VALUE!</v>
      </c>
      <c r="BT20" t="e">
        <f>AND('Current Index'!F496,"AAAAAH3300c=")</f>
        <v>#VALUE!</v>
      </c>
      <c r="BU20" t="e">
        <f>AND('Current Index'!G496,"AAAAAH3300g=")</f>
        <v>#VALUE!</v>
      </c>
      <c r="BV20" t="e">
        <f>AND('Current Index'!H496,"AAAAAH3300k=")</f>
        <v>#VALUE!</v>
      </c>
      <c r="BW20" t="e">
        <f>AND('Current Index'!I496,"AAAAAH3300o=")</f>
        <v>#VALUE!</v>
      </c>
      <c r="BX20">
        <f>IF('Current Index'!497:497,"AAAAAH3300s=",0)</f>
        <v>0</v>
      </c>
      <c r="BY20" t="e">
        <f>AND('Current Index'!A497,"AAAAAH3300w=")</f>
        <v>#VALUE!</v>
      </c>
      <c r="BZ20" t="e">
        <f>AND('Current Index'!#REF!,"AAAAAH33000=")</f>
        <v>#REF!</v>
      </c>
      <c r="CA20" t="e">
        <f>AND('Current Index'!B497,"AAAAAH33004=")</f>
        <v>#VALUE!</v>
      </c>
      <c r="CB20" t="e">
        <f>AND('Current Index'!C497,"AAAAAH33008=")</f>
        <v>#VALUE!</v>
      </c>
      <c r="CC20" t="e">
        <f>AND('Current Index'!D497,"AAAAAH3301A=")</f>
        <v>#VALUE!</v>
      </c>
      <c r="CD20" t="e">
        <f>AND('Current Index'!E497,"AAAAAH3301E=")</f>
        <v>#VALUE!</v>
      </c>
      <c r="CE20" t="e">
        <f>AND('Current Index'!F497,"AAAAAH3301I=")</f>
        <v>#VALUE!</v>
      </c>
      <c r="CF20" t="e">
        <f>AND('Current Index'!G497,"AAAAAH3301M=")</f>
        <v>#VALUE!</v>
      </c>
      <c r="CG20" t="e">
        <f>AND('Current Index'!H497,"AAAAAH3301Q=")</f>
        <v>#VALUE!</v>
      </c>
      <c r="CH20" t="e">
        <f>AND('Current Index'!I497,"AAAAAH3301U=")</f>
        <v>#VALUE!</v>
      </c>
      <c r="CI20">
        <f>IF('Current Index'!498:498,"AAAAAH3301Y=",0)</f>
        <v>0</v>
      </c>
      <c r="CJ20" t="e">
        <f>AND('Current Index'!A498,"AAAAAH3301c=")</f>
        <v>#VALUE!</v>
      </c>
      <c r="CK20" t="e">
        <f>AND('Current Index'!#REF!,"AAAAAH3301g=")</f>
        <v>#REF!</v>
      </c>
      <c r="CL20" t="e">
        <f>AND('Current Index'!B498,"AAAAAH3301k=")</f>
        <v>#VALUE!</v>
      </c>
      <c r="CM20" t="e">
        <f>AND('Current Index'!C498,"AAAAAH3301o=")</f>
        <v>#VALUE!</v>
      </c>
      <c r="CN20" t="e">
        <f>AND('Current Index'!D498,"AAAAAH3301s=")</f>
        <v>#VALUE!</v>
      </c>
      <c r="CO20" t="e">
        <f>AND('Current Index'!E498,"AAAAAH3301w=")</f>
        <v>#VALUE!</v>
      </c>
      <c r="CP20" t="e">
        <f>AND('Current Index'!F498,"AAAAAH33010=")</f>
        <v>#VALUE!</v>
      </c>
      <c r="CQ20" t="e">
        <f>AND('Current Index'!G498,"AAAAAH33014=")</f>
        <v>#VALUE!</v>
      </c>
      <c r="CR20" t="e">
        <f>AND('Current Index'!H498,"AAAAAH33018=")</f>
        <v>#VALUE!</v>
      </c>
      <c r="CS20" t="e">
        <f>AND('Current Index'!I498,"AAAAAH3302A=")</f>
        <v>#VALUE!</v>
      </c>
      <c r="CT20">
        <f>IF('Current Index'!499:499,"AAAAAH3302E=",0)</f>
        <v>0</v>
      </c>
      <c r="CU20" t="e">
        <f>AND('Current Index'!A499,"AAAAAH3302I=")</f>
        <v>#VALUE!</v>
      </c>
      <c r="CV20" t="e">
        <f>AND('Current Index'!#REF!,"AAAAAH3302M=")</f>
        <v>#REF!</v>
      </c>
      <c r="CW20" t="e">
        <f>AND('Current Index'!B499,"AAAAAH3302Q=")</f>
        <v>#VALUE!</v>
      </c>
      <c r="CX20" t="e">
        <f>AND('Current Index'!C499,"AAAAAH3302U=")</f>
        <v>#VALUE!</v>
      </c>
      <c r="CY20" t="e">
        <f>AND('Current Index'!D499,"AAAAAH3302Y=")</f>
        <v>#VALUE!</v>
      </c>
      <c r="CZ20" t="e">
        <f>AND('Current Index'!E499,"AAAAAH3302c=")</f>
        <v>#VALUE!</v>
      </c>
      <c r="DA20" t="e">
        <f>AND('Current Index'!F499,"AAAAAH3302g=")</f>
        <v>#VALUE!</v>
      </c>
      <c r="DB20" t="e">
        <f>AND('Current Index'!G499,"AAAAAH3302k=")</f>
        <v>#VALUE!</v>
      </c>
      <c r="DC20" t="e">
        <f>AND('Current Index'!H499,"AAAAAH3302o=")</f>
        <v>#VALUE!</v>
      </c>
      <c r="DD20" t="e">
        <f>AND('Current Index'!I499,"AAAAAH3302s=")</f>
        <v>#VALUE!</v>
      </c>
      <c r="DE20">
        <f>IF('Current Index'!500:500,"AAAAAH3302w=",0)</f>
        <v>0</v>
      </c>
      <c r="DF20" t="e">
        <f>AND('Current Index'!A500,"AAAAAH33020=")</f>
        <v>#VALUE!</v>
      </c>
      <c r="DG20" t="e">
        <f>AND('Current Index'!#REF!,"AAAAAH33024=")</f>
        <v>#REF!</v>
      </c>
      <c r="DH20" t="e">
        <f>AND('Current Index'!B500,"AAAAAH33028=")</f>
        <v>#VALUE!</v>
      </c>
      <c r="DI20" t="e">
        <f>AND('Current Index'!C500,"AAAAAH3303A=")</f>
        <v>#VALUE!</v>
      </c>
      <c r="DJ20" t="e">
        <f>AND('Current Index'!D500,"AAAAAH3303E=")</f>
        <v>#VALUE!</v>
      </c>
      <c r="DK20" t="e">
        <f>AND('Current Index'!E500,"AAAAAH3303I=")</f>
        <v>#VALUE!</v>
      </c>
      <c r="DL20" t="e">
        <f>AND('Current Index'!F500,"AAAAAH3303M=")</f>
        <v>#VALUE!</v>
      </c>
      <c r="DM20" t="e">
        <f>AND('Current Index'!G500,"AAAAAH3303Q=")</f>
        <v>#VALUE!</v>
      </c>
      <c r="DN20" t="e">
        <f>AND('Current Index'!H500,"AAAAAH3303U=")</f>
        <v>#VALUE!</v>
      </c>
      <c r="DO20" t="e">
        <f>AND('Current Index'!I500,"AAAAAH3303Y=")</f>
        <v>#VALUE!</v>
      </c>
      <c r="DP20">
        <f>IF('Current Index'!501:501,"AAAAAH3303c=",0)</f>
        <v>0</v>
      </c>
      <c r="DQ20" t="e">
        <f>AND('Current Index'!A501,"AAAAAH3303g=")</f>
        <v>#VALUE!</v>
      </c>
      <c r="DR20" t="e">
        <f>AND('Current Index'!#REF!,"AAAAAH3303k=")</f>
        <v>#REF!</v>
      </c>
      <c r="DS20" t="e">
        <f>AND('Current Index'!B501,"AAAAAH3303o=")</f>
        <v>#VALUE!</v>
      </c>
      <c r="DT20" t="e">
        <f>AND('Current Index'!C501,"AAAAAH3303s=")</f>
        <v>#VALUE!</v>
      </c>
      <c r="DU20" t="e">
        <f>AND('Current Index'!D501,"AAAAAH3303w=")</f>
        <v>#VALUE!</v>
      </c>
      <c r="DV20" t="e">
        <f>AND('Current Index'!E501,"AAAAAH33030=")</f>
        <v>#VALUE!</v>
      </c>
      <c r="DW20" t="e">
        <f>AND('Current Index'!F501,"AAAAAH33034=")</f>
        <v>#VALUE!</v>
      </c>
      <c r="DX20" t="e">
        <f>AND('Current Index'!G501,"AAAAAH33038=")</f>
        <v>#VALUE!</v>
      </c>
      <c r="DY20" t="e">
        <f>AND('Current Index'!H501,"AAAAAH3304A=")</f>
        <v>#VALUE!</v>
      </c>
      <c r="DZ20" t="e">
        <f>AND('Current Index'!I501,"AAAAAH3304E=")</f>
        <v>#VALUE!</v>
      </c>
      <c r="EA20" t="e">
        <f>IF('Current Index'!#REF!,"AAAAAH3304I=",0)</f>
        <v>#REF!</v>
      </c>
      <c r="EB20" t="e">
        <f>AND('Current Index'!#REF!,"AAAAAH3304M=")</f>
        <v>#REF!</v>
      </c>
      <c r="EC20" t="e">
        <f>AND('Current Index'!#REF!,"AAAAAH3304Q=")</f>
        <v>#REF!</v>
      </c>
      <c r="ED20" t="e">
        <f>AND('Current Index'!#REF!,"AAAAAH3304U=")</f>
        <v>#REF!</v>
      </c>
      <c r="EE20" t="e">
        <f>AND('Current Index'!#REF!,"AAAAAH3304Y=")</f>
        <v>#REF!</v>
      </c>
      <c r="EF20" t="e">
        <f>AND('Current Index'!#REF!,"AAAAAH3304c=")</f>
        <v>#REF!</v>
      </c>
      <c r="EG20" t="e">
        <f>AND('Current Index'!#REF!,"AAAAAH3304g=")</f>
        <v>#REF!</v>
      </c>
      <c r="EH20" t="e">
        <f>AND('Current Index'!#REF!,"AAAAAH3304k=")</f>
        <v>#REF!</v>
      </c>
      <c r="EI20" t="e">
        <f>AND('Current Index'!#REF!,"AAAAAH3304o=")</f>
        <v>#REF!</v>
      </c>
      <c r="EJ20" t="e">
        <f>AND('Current Index'!#REF!,"AAAAAH3304s=")</f>
        <v>#REF!</v>
      </c>
      <c r="EK20" t="e">
        <f>AND('Current Index'!#REF!,"AAAAAH3304w=")</f>
        <v>#REF!</v>
      </c>
      <c r="EL20">
        <f>IF('Current Index'!509:509,"AAAAAH33040=",0)</f>
        <v>0</v>
      </c>
      <c r="EM20" t="e">
        <f>AND('Current Index'!A509,"AAAAAH33044=")</f>
        <v>#VALUE!</v>
      </c>
      <c r="EN20" t="e">
        <f>AND('Current Index'!#REF!,"AAAAAH33048=")</f>
        <v>#REF!</v>
      </c>
      <c r="EO20" t="e">
        <f>AND('Current Index'!B509,"AAAAAH3305A=")</f>
        <v>#VALUE!</v>
      </c>
      <c r="EP20" t="e">
        <f>AND('Current Index'!C509,"AAAAAH3305E=")</f>
        <v>#VALUE!</v>
      </c>
      <c r="EQ20" t="e">
        <f>AND('Current Index'!D509,"AAAAAH3305I=")</f>
        <v>#VALUE!</v>
      </c>
      <c r="ER20" t="e">
        <f>AND('Current Index'!E509,"AAAAAH3305M=")</f>
        <v>#VALUE!</v>
      </c>
      <c r="ES20" t="e">
        <f>AND('Current Index'!F509,"AAAAAH3305Q=")</f>
        <v>#VALUE!</v>
      </c>
      <c r="ET20" t="e">
        <f>AND('Current Index'!G509,"AAAAAH3305U=")</f>
        <v>#VALUE!</v>
      </c>
      <c r="EU20" t="e">
        <f>AND('Current Index'!H509,"AAAAAH3305Y=")</f>
        <v>#VALUE!</v>
      </c>
      <c r="EV20" t="e">
        <f>AND('Current Index'!I509,"AAAAAH3305c=")</f>
        <v>#VALUE!</v>
      </c>
      <c r="EW20">
        <f>IF('Current Index'!510:510,"AAAAAH3305g=",0)</f>
        <v>0</v>
      </c>
      <c r="EX20" t="e">
        <f>AND('Current Index'!A510,"AAAAAH3305k=")</f>
        <v>#VALUE!</v>
      </c>
      <c r="EY20" t="e">
        <f>AND('Current Index'!#REF!,"AAAAAH3305o=")</f>
        <v>#REF!</v>
      </c>
      <c r="EZ20" t="e">
        <f>AND('Current Index'!B510,"AAAAAH3305s=")</f>
        <v>#VALUE!</v>
      </c>
      <c r="FA20" t="e">
        <f>AND('Current Index'!C510,"AAAAAH3305w=")</f>
        <v>#VALUE!</v>
      </c>
      <c r="FB20" t="e">
        <f>AND('Current Index'!D510,"AAAAAH33050=")</f>
        <v>#VALUE!</v>
      </c>
      <c r="FC20" t="e">
        <f>AND('Current Index'!E510,"AAAAAH33054=")</f>
        <v>#VALUE!</v>
      </c>
      <c r="FD20" t="e">
        <f>AND('Current Index'!F510,"AAAAAH33058=")</f>
        <v>#VALUE!</v>
      </c>
      <c r="FE20" t="e">
        <f>AND('Current Index'!G510,"AAAAAH3306A=")</f>
        <v>#VALUE!</v>
      </c>
      <c r="FF20" t="e">
        <f>AND('Current Index'!H510,"AAAAAH3306E=")</f>
        <v>#VALUE!</v>
      </c>
      <c r="FG20" t="e">
        <f>AND('Current Index'!I510,"AAAAAH3306I=")</f>
        <v>#VALUE!</v>
      </c>
      <c r="FH20">
        <f>IF('Current Index'!511:511,"AAAAAH3306M=",0)</f>
        <v>0</v>
      </c>
      <c r="FI20" t="e">
        <f>AND('Current Index'!A511,"AAAAAH3306Q=")</f>
        <v>#VALUE!</v>
      </c>
      <c r="FJ20" t="e">
        <f>AND('Current Index'!#REF!,"AAAAAH3306U=")</f>
        <v>#REF!</v>
      </c>
      <c r="FK20" t="e">
        <f>AND('Current Index'!B511,"AAAAAH3306Y=")</f>
        <v>#VALUE!</v>
      </c>
      <c r="FL20" t="e">
        <f>AND('Current Index'!C511,"AAAAAH3306c=")</f>
        <v>#VALUE!</v>
      </c>
      <c r="FM20" t="e">
        <f>AND('Current Index'!D511,"AAAAAH3306g=")</f>
        <v>#VALUE!</v>
      </c>
      <c r="FN20" t="e">
        <f>AND('Current Index'!E511,"AAAAAH3306k=")</f>
        <v>#VALUE!</v>
      </c>
      <c r="FO20" t="e">
        <f>AND('Current Index'!F511,"AAAAAH3306o=")</f>
        <v>#VALUE!</v>
      </c>
      <c r="FP20" t="e">
        <f>AND('Current Index'!G511,"AAAAAH3306s=")</f>
        <v>#VALUE!</v>
      </c>
      <c r="FQ20" t="e">
        <f>AND('Current Index'!H511,"AAAAAH3306w=")</f>
        <v>#VALUE!</v>
      </c>
      <c r="FR20" t="e">
        <f>AND('Current Index'!I511,"AAAAAH33060=")</f>
        <v>#VALUE!</v>
      </c>
      <c r="FS20">
        <f>IF('Current Index'!512:512,"AAAAAH33064=",0)</f>
        <v>0</v>
      </c>
      <c r="FT20" t="e">
        <f>AND('Current Index'!A512,"AAAAAH33068=")</f>
        <v>#VALUE!</v>
      </c>
      <c r="FU20" t="e">
        <f>AND('Current Index'!#REF!,"AAAAAH3307A=")</f>
        <v>#REF!</v>
      </c>
      <c r="FV20" t="e">
        <f>AND('Current Index'!B512,"AAAAAH3307E=")</f>
        <v>#VALUE!</v>
      </c>
      <c r="FW20" t="e">
        <f>AND('Current Index'!C512,"AAAAAH3307I=")</f>
        <v>#VALUE!</v>
      </c>
      <c r="FX20" t="e">
        <f>AND('Current Index'!D512,"AAAAAH3307M=")</f>
        <v>#VALUE!</v>
      </c>
      <c r="FY20" t="e">
        <f>AND('Current Index'!E512,"AAAAAH3307Q=")</f>
        <v>#VALUE!</v>
      </c>
      <c r="FZ20" t="e">
        <f>AND('Current Index'!F512,"AAAAAH3307U=")</f>
        <v>#VALUE!</v>
      </c>
      <c r="GA20" t="e">
        <f>AND('Current Index'!G512,"AAAAAH3307Y=")</f>
        <v>#VALUE!</v>
      </c>
      <c r="GB20" t="e">
        <f>AND('Current Index'!H512,"AAAAAH3307c=")</f>
        <v>#VALUE!</v>
      </c>
      <c r="GC20" t="e">
        <f>AND('Current Index'!I512,"AAAAAH3307g=")</f>
        <v>#VALUE!</v>
      </c>
      <c r="GD20">
        <f>IF('Current Index'!513:513,"AAAAAH3307k=",0)</f>
        <v>0</v>
      </c>
      <c r="GE20" t="e">
        <f>AND('Current Index'!A513,"AAAAAH3307o=")</f>
        <v>#VALUE!</v>
      </c>
      <c r="GF20" t="e">
        <f>AND('Current Index'!#REF!,"AAAAAH3307s=")</f>
        <v>#REF!</v>
      </c>
      <c r="GG20" t="e">
        <f>AND('Current Index'!B513,"AAAAAH3307w=")</f>
        <v>#VALUE!</v>
      </c>
      <c r="GH20" t="e">
        <f>AND('Current Index'!C513,"AAAAAH33070=")</f>
        <v>#VALUE!</v>
      </c>
      <c r="GI20" t="e">
        <f>AND('Current Index'!D513,"AAAAAH33074=")</f>
        <v>#VALUE!</v>
      </c>
      <c r="GJ20" t="e">
        <f>AND('Current Index'!E513,"AAAAAH33078=")</f>
        <v>#VALUE!</v>
      </c>
      <c r="GK20" t="e">
        <f>AND('Current Index'!F513,"AAAAAH3308A=")</f>
        <v>#VALUE!</v>
      </c>
      <c r="GL20" t="e">
        <f>AND('Current Index'!G513,"AAAAAH3308E=")</f>
        <v>#VALUE!</v>
      </c>
      <c r="GM20" t="e">
        <f>AND('Current Index'!H513,"AAAAAH3308I=")</f>
        <v>#VALUE!</v>
      </c>
      <c r="GN20" t="e">
        <f>AND('Current Index'!I513,"AAAAAH3308M=")</f>
        <v>#VALUE!</v>
      </c>
      <c r="GO20" t="e">
        <f>IF('Current Index'!#REF!,"AAAAAH3308Q=",0)</f>
        <v>#REF!</v>
      </c>
      <c r="GP20" t="e">
        <f>AND('Current Index'!#REF!,"AAAAAH3308U=")</f>
        <v>#REF!</v>
      </c>
      <c r="GQ20" t="e">
        <f>AND('Current Index'!#REF!,"AAAAAH3308Y=")</f>
        <v>#REF!</v>
      </c>
      <c r="GR20" t="e">
        <f>AND('Current Index'!#REF!,"AAAAAH3308c=")</f>
        <v>#REF!</v>
      </c>
      <c r="GS20" t="e">
        <f>AND('Current Index'!#REF!,"AAAAAH3308g=")</f>
        <v>#REF!</v>
      </c>
      <c r="GT20" t="e">
        <f>AND('Current Index'!#REF!,"AAAAAH3308k=")</f>
        <v>#REF!</v>
      </c>
      <c r="GU20" t="e">
        <f>AND('Current Index'!#REF!,"AAAAAH3308o=")</f>
        <v>#REF!</v>
      </c>
      <c r="GV20" t="e">
        <f>AND('Current Index'!#REF!,"AAAAAH3308s=")</f>
        <v>#REF!</v>
      </c>
      <c r="GW20" t="e">
        <f>AND('Current Index'!#REF!,"AAAAAH3308w=")</f>
        <v>#REF!</v>
      </c>
      <c r="GX20" t="e">
        <f>AND('Current Index'!#REF!,"AAAAAH33080=")</f>
        <v>#REF!</v>
      </c>
      <c r="GY20" t="e">
        <f>AND('Current Index'!#REF!,"AAAAAH33084=")</f>
        <v>#REF!</v>
      </c>
      <c r="GZ20">
        <f>IF('Current Index'!517:517,"AAAAAH33088=",0)</f>
        <v>0</v>
      </c>
      <c r="HA20" t="e">
        <f>AND('Current Index'!A517,"AAAAAH3309A=")</f>
        <v>#VALUE!</v>
      </c>
      <c r="HB20" t="e">
        <f>AND('Current Index'!#REF!,"AAAAAH3309E=")</f>
        <v>#REF!</v>
      </c>
      <c r="HC20" t="e">
        <f>AND('Current Index'!B517,"AAAAAH3309I=")</f>
        <v>#VALUE!</v>
      </c>
      <c r="HD20" t="e">
        <f>AND('Current Index'!C517,"AAAAAH3309M=")</f>
        <v>#VALUE!</v>
      </c>
      <c r="HE20" t="e">
        <f>AND('Current Index'!D517,"AAAAAH3309Q=")</f>
        <v>#VALUE!</v>
      </c>
      <c r="HF20" t="e">
        <f>AND('Current Index'!E517,"AAAAAH3309U=")</f>
        <v>#VALUE!</v>
      </c>
      <c r="HG20" t="e">
        <f>AND('Current Index'!F517,"AAAAAH3309Y=")</f>
        <v>#VALUE!</v>
      </c>
      <c r="HH20" t="e">
        <f>AND('Current Index'!G517,"AAAAAH3309c=")</f>
        <v>#VALUE!</v>
      </c>
      <c r="HI20" t="e">
        <f>AND('Current Index'!H517,"AAAAAH3309g=")</f>
        <v>#VALUE!</v>
      </c>
      <c r="HJ20" t="e">
        <f>AND('Current Index'!I517,"AAAAAH3309k=")</f>
        <v>#VALUE!</v>
      </c>
      <c r="HK20">
        <f>IF('Current Index'!518:518,"AAAAAH3309o=",0)</f>
        <v>0</v>
      </c>
      <c r="HL20" t="e">
        <f>AND('Current Index'!A518,"AAAAAH3309s=")</f>
        <v>#VALUE!</v>
      </c>
      <c r="HM20" t="e">
        <f>AND('Current Index'!#REF!,"AAAAAH3309w=")</f>
        <v>#REF!</v>
      </c>
      <c r="HN20" t="e">
        <f>AND('Current Index'!B518,"AAAAAH33090=")</f>
        <v>#VALUE!</v>
      </c>
      <c r="HO20" t="e">
        <f>AND('Current Index'!C518,"AAAAAH33094=")</f>
        <v>#VALUE!</v>
      </c>
      <c r="HP20" t="e">
        <f>AND('Current Index'!D518,"AAAAAH33098=")</f>
        <v>#VALUE!</v>
      </c>
      <c r="HQ20" t="e">
        <f>AND('Current Index'!E518,"AAAAAH330+A=")</f>
        <v>#VALUE!</v>
      </c>
      <c r="HR20" t="e">
        <f>AND('Current Index'!F518,"AAAAAH330+E=")</f>
        <v>#VALUE!</v>
      </c>
      <c r="HS20" t="e">
        <f>AND('Current Index'!G518,"AAAAAH330+I=")</f>
        <v>#VALUE!</v>
      </c>
      <c r="HT20" t="e">
        <f>AND('Current Index'!H518,"AAAAAH330+M=")</f>
        <v>#VALUE!</v>
      </c>
      <c r="HU20" t="e">
        <f>AND('Current Index'!I518,"AAAAAH330+Q=")</f>
        <v>#VALUE!</v>
      </c>
      <c r="HV20">
        <f>IF('Current Index'!519:519,"AAAAAH330+U=",0)</f>
        <v>0</v>
      </c>
      <c r="HW20" t="e">
        <f>AND('Current Index'!A519,"AAAAAH330+Y=")</f>
        <v>#VALUE!</v>
      </c>
      <c r="HX20" t="e">
        <f>AND('Current Index'!#REF!,"AAAAAH330+c=")</f>
        <v>#REF!</v>
      </c>
      <c r="HY20" t="e">
        <f>AND('Current Index'!B519,"AAAAAH330+g=")</f>
        <v>#VALUE!</v>
      </c>
      <c r="HZ20" t="e">
        <f>AND('Current Index'!C519,"AAAAAH330+k=")</f>
        <v>#VALUE!</v>
      </c>
      <c r="IA20" t="e">
        <f>AND('Current Index'!D519,"AAAAAH330+o=")</f>
        <v>#VALUE!</v>
      </c>
      <c r="IB20" t="e">
        <f>AND('Current Index'!E519,"AAAAAH330+s=")</f>
        <v>#VALUE!</v>
      </c>
      <c r="IC20" t="e">
        <f>AND('Current Index'!F519,"AAAAAH330+w=")</f>
        <v>#VALUE!</v>
      </c>
      <c r="ID20" t="e">
        <f>AND('Current Index'!G519,"AAAAAH330+0=")</f>
        <v>#VALUE!</v>
      </c>
      <c r="IE20" t="e">
        <f>AND('Current Index'!H519,"AAAAAH330+4=")</f>
        <v>#VALUE!</v>
      </c>
      <c r="IF20" t="e">
        <f>AND('Current Index'!I519,"AAAAAH330+8=")</f>
        <v>#VALUE!</v>
      </c>
      <c r="IG20">
        <f>IF('Current Index'!520:520,"AAAAAH330/A=",0)</f>
        <v>0</v>
      </c>
      <c r="IH20" t="e">
        <f>AND('Current Index'!A520,"AAAAAH330/E=")</f>
        <v>#VALUE!</v>
      </c>
      <c r="II20" t="e">
        <f>AND('Current Index'!#REF!,"AAAAAH330/I=")</f>
        <v>#REF!</v>
      </c>
      <c r="IJ20" t="e">
        <f>AND('Current Index'!B520,"AAAAAH330/M=")</f>
        <v>#VALUE!</v>
      </c>
      <c r="IK20" t="e">
        <f>AND('Current Index'!C520,"AAAAAH330/Q=")</f>
        <v>#VALUE!</v>
      </c>
      <c r="IL20" t="e">
        <f>AND('Current Index'!D520,"AAAAAH330/U=")</f>
        <v>#VALUE!</v>
      </c>
      <c r="IM20" t="e">
        <f>AND('Current Index'!E520,"AAAAAH330/Y=")</f>
        <v>#VALUE!</v>
      </c>
      <c r="IN20" t="e">
        <f>AND('Current Index'!F520,"AAAAAH330/c=")</f>
        <v>#VALUE!</v>
      </c>
      <c r="IO20" t="e">
        <f>AND('Current Index'!G520,"AAAAAH330/g=")</f>
        <v>#VALUE!</v>
      </c>
      <c r="IP20" t="e">
        <f>AND('Current Index'!H520,"AAAAAH330/k=")</f>
        <v>#VALUE!</v>
      </c>
      <c r="IQ20" t="e">
        <f>AND('Current Index'!I520,"AAAAAH330/o=")</f>
        <v>#VALUE!</v>
      </c>
      <c r="IR20">
        <f>IF('Current Index'!521:521,"AAAAAH330/s=",0)</f>
        <v>0</v>
      </c>
      <c r="IS20" t="e">
        <f>AND('Current Index'!A521,"AAAAAH330/w=")</f>
        <v>#VALUE!</v>
      </c>
      <c r="IT20" t="e">
        <f>AND('Current Index'!#REF!,"AAAAAH330/0=")</f>
        <v>#REF!</v>
      </c>
      <c r="IU20" t="e">
        <f>AND('Current Index'!B521,"AAAAAH330/4=")</f>
        <v>#VALUE!</v>
      </c>
      <c r="IV20" t="e">
        <f>AND('Current Index'!C521,"AAAAAH330/8=")</f>
        <v>#VALUE!</v>
      </c>
    </row>
    <row r="21" spans="1:256" x14ac:dyDescent="0.25">
      <c r="A21" t="e">
        <f>AND('Current Index'!D521,"AAAAAG/t/QA=")</f>
        <v>#VALUE!</v>
      </c>
      <c r="B21" t="e">
        <f>AND('Current Index'!E521,"AAAAAG/t/QE=")</f>
        <v>#VALUE!</v>
      </c>
      <c r="C21" t="e">
        <f>AND('Current Index'!F521,"AAAAAG/t/QI=")</f>
        <v>#VALUE!</v>
      </c>
      <c r="D21" t="e">
        <f>AND('Current Index'!G521,"AAAAAG/t/QM=")</f>
        <v>#VALUE!</v>
      </c>
      <c r="E21" t="e">
        <f>AND('Current Index'!H521,"AAAAAG/t/QQ=")</f>
        <v>#VALUE!</v>
      </c>
      <c r="F21" t="e">
        <f>AND('Current Index'!I521,"AAAAAG/t/QU=")</f>
        <v>#VALUE!</v>
      </c>
      <c r="G21" t="e">
        <f>IF('Current Index'!522:522,"AAAAAG/t/QY=",0)</f>
        <v>#VALUE!</v>
      </c>
      <c r="H21" t="e">
        <f>AND('Current Index'!A522,"AAAAAG/t/Qc=")</f>
        <v>#VALUE!</v>
      </c>
      <c r="I21" t="e">
        <f>AND('Current Index'!#REF!,"AAAAAG/t/Qg=")</f>
        <v>#REF!</v>
      </c>
      <c r="J21" t="e">
        <f>AND('Current Index'!B522,"AAAAAG/t/Qk=")</f>
        <v>#VALUE!</v>
      </c>
      <c r="K21" t="e">
        <f>AND('Current Index'!C522,"AAAAAG/t/Qo=")</f>
        <v>#VALUE!</v>
      </c>
      <c r="L21" t="e">
        <f>AND('Current Index'!D522,"AAAAAG/t/Qs=")</f>
        <v>#VALUE!</v>
      </c>
      <c r="M21" t="e">
        <f>AND('Current Index'!E522,"AAAAAG/t/Qw=")</f>
        <v>#VALUE!</v>
      </c>
      <c r="N21" t="e">
        <f>AND('Current Index'!F522,"AAAAAG/t/Q0=")</f>
        <v>#VALUE!</v>
      </c>
      <c r="O21" t="e">
        <f>AND('Current Index'!G522,"AAAAAG/t/Q4=")</f>
        <v>#VALUE!</v>
      </c>
      <c r="P21" t="e">
        <f>AND('Current Index'!H522,"AAAAAG/t/Q8=")</f>
        <v>#VALUE!</v>
      </c>
      <c r="Q21" t="e">
        <f>AND('Current Index'!I522,"AAAAAG/t/RA=")</f>
        <v>#VALUE!</v>
      </c>
      <c r="R21">
        <f>IF('Current Index'!523:523,"AAAAAG/t/RE=",0)</f>
        <v>0</v>
      </c>
      <c r="S21" t="e">
        <f>AND('Current Index'!A523,"AAAAAG/t/RI=")</f>
        <v>#VALUE!</v>
      </c>
      <c r="T21" t="e">
        <f>AND('Current Index'!#REF!,"AAAAAG/t/RM=")</f>
        <v>#REF!</v>
      </c>
      <c r="U21" t="e">
        <f>AND('Current Index'!B523,"AAAAAG/t/RQ=")</f>
        <v>#VALUE!</v>
      </c>
      <c r="V21" t="e">
        <f>AND('Current Index'!C523,"AAAAAG/t/RU=")</f>
        <v>#VALUE!</v>
      </c>
      <c r="W21" t="e">
        <f>AND('Current Index'!D523,"AAAAAG/t/RY=")</f>
        <v>#VALUE!</v>
      </c>
      <c r="X21" t="e">
        <f>AND('Current Index'!E523,"AAAAAG/t/Rc=")</f>
        <v>#VALUE!</v>
      </c>
      <c r="Y21" t="e">
        <f>AND('Current Index'!F523,"AAAAAG/t/Rg=")</f>
        <v>#VALUE!</v>
      </c>
      <c r="Z21" t="e">
        <f>AND('Current Index'!G523,"AAAAAG/t/Rk=")</f>
        <v>#VALUE!</v>
      </c>
      <c r="AA21" t="e">
        <f>AND('Current Index'!H523,"AAAAAG/t/Ro=")</f>
        <v>#VALUE!</v>
      </c>
      <c r="AB21" t="e">
        <f>AND('Current Index'!I523,"AAAAAG/t/Rs=")</f>
        <v>#VALUE!</v>
      </c>
      <c r="AC21">
        <f>IF('Current Index'!524:524,"AAAAAG/t/Rw=",0)</f>
        <v>0</v>
      </c>
      <c r="AD21" t="e">
        <f>AND('Current Index'!A524,"AAAAAG/t/R0=")</f>
        <v>#VALUE!</v>
      </c>
      <c r="AE21" t="e">
        <f>AND('Current Index'!#REF!,"AAAAAG/t/R4=")</f>
        <v>#REF!</v>
      </c>
      <c r="AF21" t="e">
        <f>AND('Current Index'!B524,"AAAAAG/t/R8=")</f>
        <v>#VALUE!</v>
      </c>
      <c r="AG21" t="e">
        <f>AND('Current Index'!C524,"AAAAAG/t/SA=")</f>
        <v>#VALUE!</v>
      </c>
      <c r="AH21" t="e">
        <f>AND('Current Index'!D524,"AAAAAG/t/SE=")</f>
        <v>#VALUE!</v>
      </c>
      <c r="AI21" t="e">
        <f>AND('Current Index'!E524,"AAAAAG/t/SI=")</f>
        <v>#VALUE!</v>
      </c>
      <c r="AJ21" t="e">
        <f>AND('Current Index'!F524,"AAAAAG/t/SM=")</f>
        <v>#VALUE!</v>
      </c>
      <c r="AK21" t="e">
        <f>AND('Current Index'!G524,"AAAAAG/t/SQ=")</f>
        <v>#VALUE!</v>
      </c>
      <c r="AL21" t="e">
        <f>AND('Current Index'!H524,"AAAAAG/t/SU=")</f>
        <v>#VALUE!</v>
      </c>
      <c r="AM21" t="e">
        <f>AND('Current Index'!I524,"AAAAAG/t/SY=")</f>
        <v>#VALUE!</v>
      </c>
      <c r="AN21">
        <f>IF('Current Index'!525:525,"AAAAAG/t/Sc=",0)</f>
        <v>0</v>
      </c>
      <c r="AO21" t="e">
        <f>AND('Current Index'!A525,"AAAAAG/t/Sg=")</f>
        <v>#VALUE!</v>
      </c>
      <c r="AP21" t="e">
        <f>AND('Current Index'!#REF!,"AAAAAG/t/Sk=")</f>
        <v>#REF!</v>
      </c>
      <c r="AQ21" t="e">
        <f>AND('Current Index'!B525,"AAAAAG/t/So=")</f>
        <v>#VALUE!</v>
      </c>
      <c r="AR21" t="e">
        <f>AND('Current Index'!C525,"AAAAAG/t/Ss=")</f>
        <v>#VALUE!</v>
      </c>
      <c r="AS21" t="e">
        <f>AND('Current Index'!D525,"AAAAAG/t/Sw=")</f>
        <v>#VALUE!</v>
      </c>
      <c r="AT21" t="e">
        <f>AND('Current Index'!E525,"AAAAAG/t/S0=")</f>
        <v>#VALUE!</v>
      </c>
      <c r="AU21" t="e">
        <f>AND('Current Index'!F525,"AAAAAG/t/S4=")</f>
        <v>#VALUE!</v>
      </c>
      <c r="AV21" t="e">
        <f>AND('Current Index'!G525,"AAAAAG/t/S8=")</f>
        <v>#VALUE!</v>
      </c>
      <c r="AW21" t="e">
        <f>AND('Current Index'!H525,"AAAAAG/t/TA=")</f>
        <v>#VALUE!</v>
      </c>
      <c r="AX21" t="e">
        <f>AND('Current Index'!I525,"AAAAAG/t/TE=")</f>
        <v>#VALUE!</v>
      </c>
      <c r="AY21">
        <f>IF('Current Index'!526:526,"AAAAAG/t/TI=",0)</f>
        <v>0</v>
      </c>
      <c r="AZ21" t="e">
        <f>AND('Current Index'!A526,"AAAAAG/t/TM=")</f>
        <v>#VALUE!</v>
      </c>
      <c r="BA21" t="e">
        <f>AND('Current Index'!#REF!,"AAAAAG/t/TQ=")</f>
        <v>#REF!</v>
      </c>
      <c r="BB21" t="e">
        <f>AND('Current Index'!B526,"AAAAAG/t/TU=")</f>
        <v>#VALUE!</v>
      </c>
      <c r="BC21" t="e">
        <f>AND('Current Index'!C526,"AAAAAG/t/TY=")</f>
        <v>#VALUE!</v>
      </c>
      <c r="BD21" t="e">
        <f>AND('Current Index'!D526,"AAAAAG/t/Tc=")</f>
        <v>#VALUE!</v>
      </c>
      <c r="BE21" t="e">
        <f>AND('Current Index'!E526,"AAAAAG/t/Tg=")</f>
        <v>#VALUE!</v>
      </c>
      <c r="BF21" t="e">
        <f>AND('Current Index'!F526,"AAAAAG/t/Tk=")</f>
        <v>#VALUE!</v>
      </c>
      <c r="BG21" t="e">
        <f>AND('Current Index'!G526,"AAAAAG/t/To=")</f>
        <v>#VALUE!</v>
      </c>
      <c r="BH21" t="e">
        <f>AND('Current Index'!H526,"AAAAAG/t/Ts=")</f>
        <v>#VALUE!</v>
      </c>
      <c r="BI21" t="e">
        <f>AND('Current Index'!I526,"AAAAAG/t/Tw=")</f>
        <v>#VALUE!</v>
      </c>
      <c r="BJ21">
        <f>IF('Current Index'!527:527,"AAAAAG/t/T0=",0)</f>
        <v>0</v>
      </c>
      <c r="BK21" t="e">
        <f>AND('Current Index'!A527,"AAAAAG/t/T4=")</f>
        <v>#VALUE!</v>
      </c>
      <c r="BL21" t="e">
        <f>AND('Current Index'!#REF!,"AAAAAG/t/T8=")</f>
        <v>#REF!</v>
      </c>
      <c r="BM21" t="e">
        <f>AND('Current Index'!B527,"AAAAAG/t/UA=")</f>
        <v>#VALUE!</v>
      </c>
      <c r="BN21" t="e">
        <f>AND('Current Index'!C527,"AAAAAG/t/UE=")</f>
        <v>#VALUE!</v>
      </c>
      <c r="BO21" t="e">
        <f>AND('Current Index'!D527,"AAAAAG/t/UI=")</f>
        <v>#VALUE!</v>
      </c>
      <c r="BP21" t="e">
        <f>AND('Current Index'!E527,"AAAAAG/t/UM=")</f>
        <v>#VALUE!</v>
      </c>
      <c r="BQ21" t="e">
        <f>AND('Current Index'!F527,"AAAAAG/t/UQ=")</f>
        <v>#VALUE!</v>
      </c>
      <c r="BR21" t="e">
        <f>AND('Current Index'!G527,"AAAAAG/t/UU=")</f>
        <v>#VALUE!</v>
      </c>
      <c r="BS21" t="e">
        <f>AND('Current Index'!H527,"AAAAAG/t/UY=")</f>
        <v>#VALUE!</v>
      </c>
      <c r="BT21" t="e">
        <f>AND('Current Index'!I527,"AAAAAG/t/Uc=")</f>
        <v>#VALUE!</v>
      </c>
      <c r="BU21">
        <f>IF('Current Index'!528:528,"AAAAAG/t/Ug=",0)</f>
        <v>0</v>
      </c>
      <c r="BV21" t="e">
        <f>AND('Current Index'!A528,"AAAAAG/t/Uk=")</f>
        <v>#VALUE!</v>
      </c>
      <c r="BW21" t="e">
        <f>AND('Current Index'!#REF!,"AAAAAG/t/Uo=")</f>
        <v>#REF!</v>
      </c>
      <c r="BX21" t="e">
        <f>AND('Current Index'!B528,"AAAAAG/t/Us=")</f>
        <v>#VALUE!</v>
      </c>
      <c r="BY21" t="e">
        <f>AND('Current Index'!C528,"AAAAAG/t/Uw=")</f>
        <v>#VALUE!</v>
      </c>
      <c r="BZ21" t="e">
        <f>AND('Current Index'!D528,"AAAAAG/t/U0=")</f>
        <v>#VALUE!</v>
      </c>
      <c r="CA21" t="e">
        <f>AND('Current Index'!E528,"AAAAAG/t/U4=")</f>
        <v>#VALUE!</v>
      </c>
      <c r="CB21" t="e">
        <f>AND('Current Index'!F528,"AAAAAG/t/U8=")</f>
        <v>#VALUE!</v>
      </c>
      <c r="CC21" t="e">
        <f>AND('Current Index'!G528,"AAAAAG/t/VA=")</f>
        <v>#VALUE!</v>
      </c>
      <c r="CD21" t="e">
        <f>AND('Current Index'!H528,"AAAAAG/t/VE=")</f>
        <v>#VALUE!</v>
      </c>
      <c r="CE21" t="e">
        <f>AND('Current Index'!I528,"AAAAAG/t/VI=")</f>
        <v>#VALUE!</v>
      </c>
      <c r="CF21">
        <f>IF('Current Index'!529:529,"AAAAAG/t/VM=",0)</f>
        <v>0</v>
      </c>
      <c r="CG21" t="e">
        <f>AND('Current Index'!A529,"AAAAAG/t/VQ=")</f>
        <v>#VALUE!</v>
      </c>
      <c r="CH21" t="e">
        <f>AND('Current Index'!#REF!,"AAAAAG/t/VU=")</f>
        <v>#REF!</v>
      </c>
      <c r="CI21" t="e">
        <f>AND('Current Index'!B529,"AAAAAG/t/VY=")</f>
        <v>#VALUE!</v>
      </c>
      <c r="CJ21" t="e">
        <f>AND('Current Index'!C529,"AAAAAG/t/Vc=")</f>
        <v>#VALUE!</v>
      </c>
      <c r="CK21" t="e">
        <f>AND('Current Index'!D529,"AAAAAG/t/Vg=")</f>
        <v>#VALUE!</v>
      </c>
      <c r="CL21" t="e">
        <f>AND('Current Index'!E529,"AAAAAG/t/Vk=")</f>
        <v>#VALUE!</v>
      </c>
      <c r="CM21" t="e">
        <f>AND('Current Index'!F529,"AAAAAG/t/Vo=")</f>
        <v>#VALUE!</v>
      </c>
      <c r="CN21" t="e">
        <f>AND('Current Index'!G529,"AAAAAG/t/Vs=")</f>
        <v>#VALUE!</v>
      </c>
      <c r="CO21" t="e">
        <f>AND('Current Index'!H529,"AAAAAG/t/Vw=")</f>
        <v>#VALUE!</v>
      </c>
      <c r="CP21" t="e">
        <f>AND('Current Index'!I529,"AAAAAG/t/V0=")</f>
        <v>#VALUE!</v>
      </c>
      <c r="CQ21">
        <f>IF('Current Index'!530:530,"AAAAAG/t/V4=",0)</f>
        <v>0</v>
      </c>
      <c r="CR21" t="e">
        <f>AND('Current Index'!A530,"AAAAAG/t/V8=")</f>
        <v>#VALUE!</v>
      </c>
      <c r="CS21" t="e">
        <f>AND('Current Index'!#REF!,"AAAAAG/t/WA=")</f>
        <v>#REF!</v>
      </c>
      <c r="CT21" t="e">
        <f>AND('Current Index'!B530,"AAAAAG/t/WE=")</f>
        <v>#VALUE!</v>
      </c>
      <c r="CU21" t="e">
        <f>AND('Current Index'!C530,"AAAAAG/t/WI=")</f>
        <v>#VALUE!</v>
      </c>
      <c r="CV21" t="e">
        <f>AND('Current Index'!D530,"AAAAAG/t/WM=")</f>
        <v>#VALUE!</v>
      </c>
      <c r="CW21" t="e">
        <f>AND('Current Index'!E530,"AAAAAG/t/WQ=")</f>
        <v>#VALUE!</v>
      </c>
      <c r="CX21" t="e">
        <f>AND('Current Index'!F530,"AAAAAG/t/WU=")</f>
        <v>#VALUE!</v>
      </c>
      <c r="CY21" t="e">
        <f>AND('Current Index'!G530,"AAAAAG/t/WY=")</f>
        <v>#VALUE!</v>
      </c>
      <c r="CZ21" t="e">
        <f>AND('Current Index'!H530,"AAAAAG/t/Wc=")</f>
        <v>#VALUE!</v>
      </c>
      <c r="DA21" t="e">
        <f>AND('Current Index'!I530,"AAAAAG/t/Wg=")</f>
        <v>#VALUE!</v>
      </c>
      <c r="DB21">
        <f>IF('Current Index'!531:531,"AAAAAG/t/Wk=",0)</f>
        <v>0</v>
      </c>
      <c r="DC21" t="e">
        <f>AND('Current Index'!A531,"AAAAAG/t/Wo=")</f>
        <v>#VALUE!</v>
      </c>
      <c r="DD21" t="e">
        <f>AND('Current Index'!#REF!,"AAAAAG/t/Ws=")</f>
        <v>#REF!</v>
      </c>
      <c r="DE21" t="e">
        <f>AND('Current Index'!B531,"AAAAAG/t/Ww=")</f>
        <v>#VALUE!</v>
      </c>
      <c r="DF21" t="e">
        <f>AND('Current Index'!C531,"AAAAAG/t/W0=")</f>
        <v>#VALUE!</v>
      </c>
      <c r="DG21" t="e">
        <f>AND('Current Index'!D531,"AAAAAG/t/W4=")</f>
        <v>#VALUE!</v>
      </c>
      <c r="DH21" t="e">
        <f>AND('Current Index'!E531,"AAAAAG/t/W8=")</f>
        <v>#VALUE!</v>
      </c>
      <c r="DI21" t="e">
        <f>AND('Current Index'!F531,"AAAAAG/t/XA=")</f>
        <v>#VALUE!</v>
      </c>
      <c r="DJ21" t="e">
        <f>AND('Current Index'!G531,"AAAAAG/t/XE=")</f>
        <v>#VALUE!</v>
      </c>
      <c r="DK21" t="e">
        <f>AND('Current Index'!H531,"AAAAAG/t/XI=")</f>
        <v>#VALUE!</v>
      </c>
      <c r="DL21" t="e">
        <f>AND('Current Index'!I531,"AAAAAG/t/XM=")</f>
        <v>#VALUE!</v>
      </c>
      <c r="DM21">
        <f>IF('Current Index'!532:532,"AAAAAG/t/XQ=",0)</f>
        <v>0</v>
      </c>
      <c r="DN21" t="e">
        <f>AND('Current Index'!A532,"AAAAAG/t/XU=")</f>
        <v>#VALUE!</v>
      </c>
      <c r="DO21" t="e">
        <f>AND('Current Index'!#REF!,"AAAAAG/t/XY=")</f>
        <v>#REF!</v>
      </c>
      <c r="DP21" t="e">
        <f>AND('Current Index'!B532,"AAAAAG/t/Xc=")</f>
        <v>#VALUE!</v>
      </c>
      <c r="DQ21" t="e">
        <f>AND('Current Index'!C532,"AAAAAG/t/Xg=")</f>
        <v>#VALUE!</v>
      </c>
      <c r="DR21" t="e">
        <f>AND('Current Index'!D532,"AAAAAG/t/Xk=")</f>
        <v>#VALUE!</v>
      </c>
      <c r="DS21" t="e">
        <f>AND('Current Index'!E532,"AAAAAG/t/Xo=")</f>
        <v>#VALUE!</v>
      </c>
      <c r="DT21" t="e">
        <f>AND('Current Index'!F532,"AAAAAG/t/Xs=")</f>
        <v>#VALUE!</v>
      </c>
      <c r="DU21" t="e">
        <f>AND('Current Index'!G532,"AAAAAG/t/Xw=")</f>
        <v>#VALUE!</v>
      </c>
      <c r="DV21" t="e">
        <f>AND('Current Index'!H532,"AAAAAG/t/X0=")</f>
        <v>#VALUE!</v>
      </c>
      <c r="DW21" t="e">
        <f>AND('Current Index'!I532,"AAAAAG/t/X4=")</f>
        <v>#VALUE!</v>
      </c>
      <c r="DX21">
        <f>IF('Current Index'!533:533,"AAAAAG/t/X8=",0)</f>
        <v>0</v>
      </c>
      <c r="DY21" t="e">
        <f>AND('Current Index'!A533,"AAAAAG/t/YA=")</f>
        <v>#VALUE!</v>
      </c>
      <c r="DZ21" t="e">
        <f>AND('Current Index'!#REF!,"AAAAAG/t/YE=")</f>
        <v>#REF!</v>
      </c>
      <c r="EA21" t="e">
        <f>AND('Current Index'!B533,"AAAAAG/t/YI=")</f>
        <v>#VALUE!</v>
      </c>
      <c r="EB21" t="e">
        <f>AND('Current Index'!C533,"AAAAAG/t/YM=")</f>
        <v>#VALUE!</v>
      </c>
      <c r="EC21" t="e">
        <f>AND('Current Index'!D533,"AAAAAG/t/YQ=")</f>
        <v>#VALUE!</v>
      </c>
      <c r="ED21" t="e">
        <f>AND('Current Index'!E533,"AAAAAG/t/YU=")</f>
        <v>#VALUE!</v>
      </c>
      <c r="EE21" t="e">
        <f>AND('Current Index'!F533,"AAAAAG/t/YY=")</f>
        <v>#VALUE!</v>
      </c>
      <c r="EF21" t="e">
        <f>AND('Current Index'!G533,"AAAAAG/t/Yc=")</f>
        <v>#VALUE!</v>
      </c>
      <c r="EG21" t="e">
        <f>AND('Current Index'!H533,"AAAAAG/t/Yg=")</f>
        <v>#VALUE!</v>
      </c>
      <c r="EH21" t="e">
        <f>AND('Current Index'!I533,"AAAAAG/t/Yk=")</f>
        <v>#VALUE!</v>
      </c>
      <c r="EI21">
        <f>IF('Current Index'!534:534,"AAAAAG/t/Yo=",0)</f>
        <v>0</v>
      </c>
      <c r="EJ21" t="e">
        <f>AND('Current Index'!A534,"AAAAAG/t/Ys=")</f>
        <v>#VALUE!</v>
      </c>
      <c r="EK21" t="e">
        <f>AND('Current Index'!#REF!,"AAAAAG/t/Yw=")</f>
        <v>#REF!</v>
      </c>
      <c r="EL21" t="e">
        <f>AND('Current Index'!B534,"AAAAAG/t/Y0=")</f>
        <v>#VALUE!</v>
      </c>
      <c r="EM21" t="e">
        <f>AND('Current Index'!C534,"AAAAAG/t/Y4=")</f>
        <v>#VALUE!</v>
      </c>
      <c r="EN21" t="e">
        <f>AND('Current Index'!D534,"AAAAAG/t/Y8=")</f>
        <v>#VALUE!</v>
      </c>
      <c r="EO21" t="e">
        <f>AND('Current Index'!E534,"AAAAAG/t/ZA=")</f>
        <v>#VALUE!</v>
      </c>
      <c r="EP21" t="e">
        <f>AND('Current Index'!F534,"AAAAAG/t/ZE=")</f>
        <v>#VALUE!</v>
      </c>
      <c r="EQ21" t="e">
        <f>AND('Current Index'!G534,"AAAAAG/t/ZI=")</f>
        <v>#VALUE!</v>
      </c>
      <c r="ER21" t="e">
        <f>AND('Current Index'!H534,"AAAAAG/t/ZM=")</f>
        <v>#VALUE!</v>
      </c>
      <c r="ES21" t="e">
        <f>AND('Current Index'!I534,"AAAAAG/t/ZQ=")</f>
        <v>#VALUE!</v>
      </c>
      <c r="ET21">
        <f>IF('Current Index'!535:535,"AAAAAG/t/ZU=",0)</f>
        <v>0</v>
      </c>
      <c r="EU21" t="e">
        <f>AND('Current Index'!A535,"AAAAAG/t/ZY=")</f>
        <v>#VALUE!</v>
      </c>
      <c r="EV21" t="e">
        <f>AND('Current Index'!#REF!,"AAAAAG/t/Zc=")</f>
        <v>#REF!</v>
      </c>
      <c r="EW21" t="e">
        <f>AND('Current Index'!B535,"AAAAAG/t/Zg=")</f>
        <v>#VALUE!</v>
      </c>
      <c r="EX21" t="e">
        <f>AND('Current Index'!C535,"AAAAAG/t/Zk=")</f>
        <v>#VALUE!</v>
      </c>
      <c r="EY21" t="e">
        <f>AND('Current Index'!D535,"AAAAAG/t/Zo=")</f>
        <v>#VALUE!</v>
      </c>
      <c r="EZ21" t="e">
        <f>AND('Current Index'!E535,"AAAAAG/t/Zs=")</f>
        <v>#VALUE!</v>
      </c>
      <c r="FA21" t="e">
        <f>AND('Current Index'!F535,"AAAAAG/t/Zw=")</f>
        <v>#VALUE!</v>
      </c>
      <c r="FB21" t="e">
        <f>AND('Current Index'!G535,"AAAAAG/t/Z0=")</f>
        <v>#VALUE!</v>
      </c>
      <c r="FC21" t="e">
        <f>AND('Current Index'!H535,"AAAAAG/t/Z4=")</f>
        <v>#VALUE!</v>
      </c>
      <c r="FD21" t="e">
        <f>AND('Current Index'!I535,"AAAAAG/t/Z8=")</f>
        <v>#VALUE!</v>
      </c>
      <c r="FE21">
        <f>IF('Current Index'!536:536,"AAAAAG/t/aA=",0)</f>
        <v>0</v>
      </c>
      <c r="FF21" t="e">
        <f>AND('Current Index'!A536,"AAAAAG/t/aE=")</f>
        <v>#VALUE!</v>
      </c>
      <c r="FG21" t="e">
        <f>AND('Current Index'!#REF!,"AAAAAG/t/aI=")</f>
        <v>#REF!</v>
      </c>
      <c r="FH21" t="e">
        <f>AND('Current Index'!B536,"AAAAAG/t/aM=")</f>
        <v>#VALUE!</v>
      </c>
      <c r="FI21" t="e">
        <f>AND('Current Index'!C536,"AAAAAG/t/aQ=")</f>
        <v>#VALUE!</v>
      </c>
      <c r="FJ21" t="e">
        <f>AND('Current Index'!D536,"AAAAAG/t/aU=")</f>
        <v>#VALUE!</v>
      </c>
      <c r="FK21" t="e">
        <f>AND('Current Index'!E536,"AAAAAG/t/aY=")</f>
        <v>#VALUE!</v>
      </c>
      <c r="FL21" t="e">
        <f>AND('Current Index'!F536,"AAAAAG/t/ac=")</f>
        <v>#VALUE!</v>
      </c>
      <c r="FM21" t="e">
        <f>AND('Current Index'!G536,"AAAAAG/t/ag=")</f>
        <v>#VALUE!</v>
      </c>
      <c r="FN21" t="e">
        <f>AND('Current Index'!H536,"AAAAAG/t/ak=")</f>
        <v>#VALUE!</v>
      </c>
      <c r="FO21" t="e">
        <f>AND('Current Index'!I536,"AAAAAG/t/ao=")</f>
        <v>#VALUE!</v>
      </c>
      <c r="FP21">
        <f>IF('Current Index'!537:537,"AAAAAG/t/as=",0)</f>
        <v>0</v>
      </c>
      <c r="FQ21" t="e">
        <f>AND('Current Index'!A537,"AAAAAG/t/aw=")</f>
        <v>#VALUE!</v>
      </c>
      <c r="FR21" t="e">
        <f>AND('Current Index'!#REF!,"AAAAAG/t/a0=")</f>
        <v>#REF!</v>
      </c>
      <c r="FS21" t="e">
        <f>AND('Current Index'!B537,"AAAAAG/t/a4=")</f>
        <v>#VALUE!</v>
      </c>
      <c r="FT21" t="e">
        <f>AND('Current Index'!C537,"AAAAAG/t/a8=")</f>
        <v>#VALUE!</v>
      </c>
      <c r="FU21" t="e">
        <f>AND('Current Index'!D537,"AAAAAG/t/bA=")</f>
        <v>#VALUE!</v>
      </c>
      <c r="FV21" t="e">
        <f>AND('Current Index'!E537,"AAAAAG/t/bE=")</f>
        <v>#VALUE!</v>
      </c>
      <c r="FW21" t="e">
        <f>AND('Current Index'!F537,"AAAAAG/t/bI=")</f>
        <v>#VALUE!</v>
      </c>
      <c r="FX21" t="e">
        <f>AND('Current Index'!G537,"AAAAAG/t/bM=")</f>
        <v>#VALUE!</v>
      </c>
      <c r="FY21" t="e">
        <f>AND('Current Index'!H537,"AAAAAG/t/bQ=")</f>
        <v>#VALUE!</v>
      </c>
      <c r="FZ21" t="e">
        <f>AND('Current Index'!I537,"AAAAAG/t/bU=")</f>
        <v>#VALUE!</v>
      </c>
      <c r="GA21">
        <f>IF('Current Index'!538:538,"AAAAAG/t/bY=",0)</f>
        <v>0</v>
      </c>
      <c r="GB21" t="e">
        <f>AND('Current Index'!A538,"AAAAAG/t/bc=")</f>
        <v>#VALUE!</v>
      </c>
      <c r="GC21" t="e">
        <f>AND('Current Index'!#REF!,"AAAAAG/t/bg=")</f>
        <v>#REF!</v>
      </c>
      <c r="GD21" t="e">
        <f>AND('Current Index'!B538,"AAAAAG/t/bk=")</f>
        <v>#VALUE!</v>
      </c>
      <c r="GE21" t="e">
        <f>AND('Current Index'!C538,"AAAAAG/t/bo=")</f>
        <v>#VALUE!</v>
      </c>
      <c r="GF21" t="e">
        <f>AND('Current Index'!D538,"AAAAAG/t/bs=")</f>
        <v>#VALUE!</v>
      </c>
      <c r="GG21" t="e">
        <f>AND('Current Index'!E538,"AAAAAG/t/bw=")</f>
        <v>#VALUE!</v>
      </c>
      <c r="GH21" t="e">
        <f>AND('Current Index'!F538,"AAAAAG/t/b0=")</f>
        <v>#VALUE!</v>
      </c>
      <c r="GI21" t="e">
        <f>AND('Current Index'!G538,"AAAAAG/t/b4=")</f>
        <v>#VALUE!</v>
      </c>
      <c r="GJ21" t="e">
        <f>AND('Current Index'!H538,"AAAAAG/t/b8=")</f>
        <v>#VALUE!</v>
      </c>
      <c r="GK21" t="e">
        <f>AND('Current Index'!I538,"AAAAAG/t/cA=")</f>
        <v>#VALUE!</v>
      </c>
      <c r="GL21">
        <f>IF('Current Index'!539:539,"AAAAAG/t/cE=",0)</f>
        <v>0</v>
      </c>
      <c r="GM21" t="e">
        <f>AND('Current Index'!A539,"AAAAAG/t/cI=")</f>
        <v>#VALUE!</v>
      </c>
      <c r="GN21" t="e">
        <f>AND('Current Index'!#REF!,"AAAAAG/t/cM=")</f>
        <v>#REF!</v>
      </c>
      <c r="GO21" t="e">
        <f>AND('Current Index'!B539,"AAAAAG/t/cQ=")</f>
        <v>#VALUE!</v>
      </c>
      <c r="GP21" t="e">
        <f>AND('Current Index'!C539,"AAAAAG/t/cU=")</f>
        <v>#VALUE!</v>
      </c>
      <c r="GQ21" t="e">
        <f>AND('Current Index'!D539,"AAAAAG/t/cY=")</f>
        <v>#VALUE!</v>
      </c>
      <c r="GR21" t="e">
        <f>AND('Current Index'!E539,"AAAAAG/t/cc=")</f>
        <v>#VALUE!</v>
      </c>
      <c r="GS21" t="e">
        <f>AND('Current Index'!F539,"AAAAAG/t/cg=")</f>
        <v>#VALUE!</v>
      </c>
      <c r="GT21" t="e">
        <f>AND('Current Index'!G539,"AAAAAG/t/ck=")</f>
        <v>#VALUE!</v>
      </c>
      <c r="GU21" t="e">
        <f>AND('Current Index'!H539,"AAAAAG/t/co=")</f>
        <v>#VALUE!</v>
      </c>
      <c r="GV21" t="e">
        <f>AND('Current Index'!I539,"AAAAAG/t/cs=")</f>
        <v>#VALUE!</v>
      </c>
      <c r="GW21">
        <f>IF('Current Index'!540:540,"AAAAAG/t/cw=",0)</f>
        <v>0</v>
      </c>
      <c r="GX21" t="e">
        <f>AND('Current Index'!A540,"AAAAAG/t/c0=")</f>
        <v>#VALUE!</v>
      </c>
      <c r="GY21" t="e">
        <f>AND('Current Index'!#REF!,"AAAAAG/t/c4=")</f>
        <v>#REF!</v>
      </c>
      <c r="GZ21" t="e">
        <f>AND('Current Index'!B540,"AAAAAG/t/c8=")</f>
        <v>#VALUE!</v>
      </c>
      <c r="HA21" t="e">
        <f>AND('Current Index'!C540,"AAAAAG/t/dA=")</f>
        <v>#VALUE!</v>
      </c>
      <c r="HB21" t="e">
        <f>AND('Current Index'!D540,"AAAAAG/t/dE=")</f>
        <v>#VALUE!</v>
      </c>
      <c r="HC21" t="e">
        <f>AND('Current Index'!E540,"AAAAAG/t/dI=")</f>
        <v>#VALUE!</v>
      </c>
      <c r="HD21" t="e">
        <f>AND('Current Index'!F540,"AAAAAG/t/dM=")</f>
        <v>#VALUE!</v>
      </c>
      <c r="HE21" t="e">
        <f>AND('Current Index'!G540,"AAAAAG/t/dQ=")</f>
        <v>#VALUE!</v>
      </c>
      <c r="HF21" t="e">
        <f>AND('Current Index'!H540,"AAAAAG/t/dU=")</f>
        <v>#VALUE!</v>
      </c>
      <c r="HG21" t="e">
        <f>AND('Current Index'!I540,"AAAAAG/t/dY=")</f>
        <v>#VALUE!</v>
      </c>
      <c r="HH21">
        <f>IF('Current Index'!541:541,"AAAAAG/t/dc=",0)</f>
        <v>0</v>
      </c>
      <c r="HI21" t="e">
        <f>AND('Current Index'!A541,"AAAAAG/t/dg=")</f>
        <v>#VALUE!</v>
      </c>
      <c r="HJ21" t="e">
        <f>AND('Current Index'!#REF!,"AAAAAG/t/dk=")</f>
        <v>#REF!</v>
      </c>
      <c r="HK21" t="e">
        <f>AND('Current Index'!B541,"AAAAAG/t/do=")</f>
        <v>#VALUE!</v>
      </c>
      <c r="HL21" t="e">
        <f>AND('Current Index'!C541,"AAAAAG/t/ds=")</f>
        <v>#VALUE!</v>
      </c>
      <c r="HM21" t="e">
        <f>AND('Current Index'!D541,"AAAAAG/t/dw=")</f>
        <v>#VALUE!</v>
      </c>
      <c r="HN21" t="e">
        <f>AND('Current Index'!E541,"AAAAAG/t/d0=")</f>
        <v>#VALUE!</v>
      </c>
      <c r="HO21" t="e">
        <f>AND('Current Index'!F541,"AAAAAG/t/d4=")</f>
        <v>#VALUE!</v>
      </c>
      <c r="HP21" t="e">
        <f>AND('Current Index'!G541,"AAAAAG/t/d8=")</f>
        <v>#VALUE!</v>
      </c>
      <c r="HQ21" t="e">
        <f>AND('Current Index'!H541,"AAAAAG/t/eA=")</f>
        <v>#VALUE!</v>
      </c>
      <c r="HR21" t="e">
        <f>AND('Current Index'!I541,"AAAAAG/t/eE=")</f>
        <v>#VALUE!</v>
      </c>
      <c r="HS21">
        <f>IF('Current Index'!542:542,"AAAAAG/t/eI=",0)</f>
        <v>0</v>
      </c>
      <c r="HT21" t="e">
        <f>AND('Current Index'!A542,"AAAAAG/t/eM=")</f>
        <v>#VALUE!</v>
      </c>
      <c r="HU21" t="e">
        <f>AND('Current Index'!#REF!,"AAAAAG/t/eQ=")</f>
        <v>#REF!</v>
      </c>
      <c r="HV21" t="e">
        <f>AND('Current Index'!B542,"AAAAAG/t/eU=")</f>
        <v>#VALUE!</v>
      </c>
      <c r="HW21" t="e">
        <f>AND('Current Index'!C542,"AAAAAG/t/eY=")</f>
        <v>#VALUE!</v>
      </c>
      <c r="HX21" t="e">
        <f>AND('Current Index'!D542,"AAAAAG/t/ec=")</f>
        <v>#VALUE!</v>
      </c>
      <c r="HY21" t="e">
        <f>AND('Current Index'!E542,"AAAAAG/t/eg=")</f>
        <v>#VALUE!</v>
      </c>
      <c r="HZ21" t="e">
        <f>AND('Current Index'!F542,"AAAAAG/t/ek=")</f>
        <v>#VALUE!</v>
      </c>
      <c r="IA21" t="e">
        <f>AND('Current Index'!G542,"AAAAAG/t/eo=")</f>
        <v>#VALUE!</v>
      </c>
      <c r="IB21" t="e">
        <f>AND('Current Index'!H542,"AAAAAG/t/es=")</f>
        <v>#VALUE!</v>
      </c>
      <c r="IC21" t="e">
        <f>AND('Current Index'!I542,"AAAAAG/t/ew=")</f>
        <v>#VALUE!</v>
      </c>
      <c r="ID21">
        <f>IF('Current Index'!543:543,"AAAAAG/t/e0=",0)</f>
        <v>0</v>
      </c>
      <c r="IE21" t="e">
        <f>AND('Current Index'!A543,"AAAAAG/t/e4=")</f>
        <v>#VALUE!</v>
      </c>
      <c r="IF21" t="e">
        <f>AND('Current Index'!#REF!,"AAAAAG/t/e8=")</f>
        <v>#REF!</v>
      </c>
      <c r="IG21" t="e">
        <f>AND('Current Index'!B543,"AAAAAG/t/fA=")</f>
        <v>#VALUE!</v>
      </c>
      <c r="IH21" t="e">
        <f>AND('Current Index'!C543,"AAAAAG/t/fE=")</f>
        <v>#VALUE!</v>
      </c>
      <c r="II21" t="e">
        <f>AND('Current Index'!D543,"AAAAAG/t/fI=")</f>
        <v>#VALUE!</v>
      </c>
      <c r="IJ21" t="e">
        <f>AND('Current Index'!E543,"AAAAAG/t/fM=")</f>
        <v>#VALUE!</v>
      </c>
      <c r="IK21" t="e">
        <f>AND('Current Index'!F543,"AAAAAG/t/fQ=")</f>
        <v>#VALUE!</v>
      </c>
      <c r="IL21" t="e">
        <f>AND('Current Index'!G543,"AAAAAG/t/fU=")</f>
        <v>#VALUE!</v>
      </c>
      <c r="IM21" t="e">
        <f>AND('Current Index'!H543,"AAAAAG/t/fY=")</f>
        <v>#VALUE!</v>
      </c>
      <c r="IN21" t="e">
        <f>AND('Current Index'!I543,"AAAAAG/t/fc=")</f>
        <v>#VALUE!</v>
      </c>
      <c r="IO21">
        <f>IF('Current Index'!544:544,"AAAAAG/t/fg=",0)</f>
        <v>0</v>
      </c>
      <c r="IP21" t="e">
        <f>AND('Current Index'!A544,"AAAAAG/t/fk=")</f>
        <v>#VALUE!</v>
      </c>
      <c r="IQ21" t="e">
        <f>AND('Current Index'!#REF!,"AAAAAG/t/fo=")</f>
        <v>#REF!</v>
      </c>
      <c r="IR21" t="e">
        <f>AND('Current Index'!B544,"AAAAAG/t/fs=")</f>
        <v>#VALUE!</v>
      </c>
      <c r="IS21" t="e">
        <f>AND('Current Index'!C544,"AAAAAG/t/fw=")</f>
        <v>#VALUE!</v>
      </c>
      <c r="IT21" t="e">
        <f>AND('Current Index'!D544,"AAAAAG/t/f0=")</f>
        <v>#VALUE!</v>
      </c>
      <c r="IU21" t="e">
        <f>AND('Current Index'!E544,"AAAAAG/t/f4=")</f>
        <v>#VALUE!</v>
      </c>
      <c r="IV21" t="e">
        <f>AND('Current Index'!F544,"AAAAAG/t/f8=")</f>
        <v>#VALUE!</v>
      </c>
    </row>
    <row r="22" spans="1:256" x14ac:dyDescent="0.25">
      <c r="A22" t="e">
        <f>AND('Current Index'!G544,"AAAAAF//9AA=")</f>
        <v>#VALUE!</v>
      </c>
      <c r="B22" t="e">
        <f>AND('Current Index'!H544,"AAAAAF//9AE=")</f>
        <v>#VALUE!</v>
      </c>
      <c r="C22" t="e">
        <f>AND('Current Index'!I544,"AAAAAF//9AI=")</f>
        <v>#VALUE!</v>
      </c>
      <c r="D22" t="e">
        <f>IF('Current Index'!545:545,"AAAAAF//9AM=",0)</f>
        <v>#VALUE!</v>
      </c>
      <c r="E22" t="e">
        <f>AND('Current Index'!A545,"AAAAAF//9AQ=")</f>
        <v>#VALUE!</v>
      </c>
      <c r="F22" t="e">
        <f>AND('Current Index'!#REF!,"AAAAAF//9AU=")</f>
        <v>#REF!</v>
      </c>
      <c r="G22" t="e">
        <f>AND('Current Index'!B545,"AAAAAF//9AY=")</f>
        <v>#VALUE!</v>
      </c>
      <c r="H22" t="e">
        <f>AND('Current Index'!C545,"AAAAAF//9Ac=")</f>
        <v>#VALUE!</v>
      </c>
      <c r="I22" t="e">
        <f>AND('Current Index'!D545,"AAAAAF//9Ag=")</f>
        <v>#VALUE!</v>
      </c>
      <c r="J22" t="e">
        <f>AND('Current Index'!E545,"AAAAAF//9Ak=")</f>
        <v>#VALUE!</v>
      </c>
      <c r="K22" t="e">
        <f>AND('Current Index'!F545,"AAAAAF//9Ao=")</f>
        <v>#VALUE!</v>
      </c>
      <c r="L22" t="e">
        <f>AND('Current Index'!G545,"AAAAAF//9As=")</f>
        <v>#VALUE!</v>
      </c>
      <c r="M22" t="e">
        <f>AND('Current Index'!H545,"AAAAAF//9Aw=")</f>
        <v>#VALUE!</v>
      </c>
      <c r="N22" t="e">
        <f>AND('Current Index'!I545,"AAAAAF//9A0=")</f>
        <v>#VALUE!</v>
      </c>
      <c r="O22">
        <f>IF('Current Index'!546:546,"AAAAAF//9A4=",0)</f>
        <v>0</v>
      </c>
      <c r="P22" t="e">
        <f>AND('Current Index'!A546,"AAAAAF//9A8=")</f>
        <v>#VALUE!</v>
      </c>
      <c r="Q22" t="e">
        <f>AND('Current Index'!#REF!,"AAAAAF//9BA=")</f>
        <v>#REF!</v>
      </c>
      <c r="R22" t="e">
        <f>AND('Current Index'!B546,"AAAAAF//9BE=")</f>
        <v>#VALUE!</v>
      </c>
      <c r="S22" t="e">
        <f>AND('Current Index'!C546,"AAAAAF//9BI=")</f>
        <v>#VALUE!</v>
      </c>
      <c r="T22" t="e">
        <f>AND('Current Index'!D546,"AAAAAF//9BM=")</f>
        <v>#VALUE!</v>
      </c>
      <c r="U22" t="e">
        <f>AND('Current Index'!E546,"AAAAAF//9BQ=")</f>
        <v>#VALUE!</v>
      </c>
      <c r="V22" t="e">
        <f>AND('Current Index'!F546,"AAAAAF//9BU=")</f>
        <v>#VALUE!</v>
      </c>
      <c r="W22" t="e">
        <f>AND('Current Index'!G546,"AAAAAF//9BY=")</f>
        <v>#VALUE!</v>
      </c>
      <c r="X22" t="e">
        <f>AND('Current Index'!H546,"AAAAAF//9Bc=")</f>
        <v>#VALUE!</v>
      </c>
      <c r="Y22" t="e">
        <f>AND('Current Index'!I546,"AAAAAF//9Bg=")</f>
        <v>#VALUE!</v>
      </c>
      <c r="Z22">
        <f>IF('Current Index'!547:547,"AAAAAF//9Bk=",0)</f>
        <v>0</v>
      </c>
      <c r="AA22" t="e">
        <f>AND('Current Index'!A547,"AAAAAF//9Bo=")</f>
        <v>#VALUE!</v>
      </c>
      <c r="AB22" t="e">
        <f>AND('Current Index'!#REF!,"AAAAAF//9Bs=")</f>
        <v>#REF!</v>
      </c>
      <c r="AC22" t="e">
        <f>AND('Current Index'!B547,"AAAAAF//9Bw=")</f>
        <v>#VALUE!</v>
      </c>
      <c r="AD22" t="e">
        <f>AND('Current Index'!C547,"AAAAAF//9B0=")</f>
        <v>#VALUE!</v>
      </c>
      <c r="AE22" t="e">
        <f>AND('Current Index'!D547,"AAAAAF//9B4=")</f>
        <v>#VALUE!</v>
      </c>
      <c r="AF22" t="e">
        <f>AND('Current Index'!E547,"AAAAAF//9B8=")</f>
        <v>#VALUE!</v>
      </c>
      <c r="AG22" t="e">
        <f>AND('Current Index'!F547,"AAAAAF//9CA=")</f>
        <v>#VALUE!</v>
      </c>
      <c r="AH22" t="e">
        <f>AND('Current Index'!G547,"AAAAAF//9CE=")</f>
        <v>#VALUE!</v>
      </c>
      <c r="AI22" t="e">
        <f>AND('Current Index'!H547,"AAAAAF//9CI=")</f>
        <v>#VALUE!</v>
      </c>
      <c r="AJ22" t="e">
        <f>AND('Current Index'!I547,"AAAAAF//9CM=")</f>
        <v>#VALUE!</v>
      </c>
      <c r="AK22">
        <f>IF('Current Index'!548:548,"AAAAAF//9CQ=",0)</f>
        <v>0</v>
      </c>
      <c r="AL22" t="e">
        <f>AND('Current Index'!A548,"AAAAAF//9CU=")</f>
        <v>#VALUE!</v>
      </c>
      <c r="AM22" t="e">
        <f>AND('Current Index'!#REF!,"AAAAAF//9CY=")</f>
        <v>#REF!</v>
      </c>
      <c r="AN22" t="e">
        <f>AND('Current Index'!B548,"AAAAAF//9Cc=")</f>
        <v>#VALUE!</v>
      </c>
      <c r="AO22" t="e">
        <f>AND('Current Index'!C548,"AAAAAF//9Cg=")</f>
        <v>#VALUE!</v>
      </c>
      <c r="AP22" t="e">
        <f>AND('Current Index'!D548,"AAAAAF//9Ck=")</f>
        <v>#VALUE!</v>
      </c>
      <c r="AQ22" t="e">
        <f>AND('Current Index'!E548,"AAAAAF//9Co=")</f>
        <v>#VALUE!</v>
      </c>
      <c r="AR22" t="e">
        <f>AND('Current Index'!F548,"AAAAAF//9Cs=")</f>
        <v>#VALUE!</v>
      </c>
      <c r="AS22" t="e">
        <f>AND('Current Index'!G548,"AAAAAF//9Cw=")</f>
        <v>#VALUE!</v>
      </c>
      <c r="AT22" t="e">
        <f>AND('Current Index'!H548,"AAAAAF//9C0=")</f>
        <v>#VALUE!</v>
      </c>
      <c r="AU22" t="e">
        <f>AND('Current Index'!I548,"AAAAAF//9C4=")</f>
        <v>#VALUE!</v>
      </c>
      <c r="AV22">
        <f>IF('Current Index'!549:549,"AAAAAF//9C8=",0)</f>
        <v>0</v>
      </c>
      <c r="AW22" t="e">
        <f>AND('Current Index'!A549,"AAAAAF//9DA=")</f>
        <v>#VALUE!</v>
      </c>
      <c r="AX22" t="e">
        <f>AND('Current Index'!#REF!,"AAAAAF//9DE=")</f>
        <v>#REF!</v>
      </c>
      <c r="AY22" t="e">
        <f>AND('Current Index'!B549,"AAAAAF//9DI=")</f>
        <v>#VALUE!</v>
      </c>
      <c r="AZ22" t="e">
        <f>AND('Current Index'!C549,"AAAAAF//9DM=")</f>
        <v>#VALUE!</v>
      </c>
      <c r="BA22" t="e">
        <f>AND('Current Index'!D549,"AAAAAF//9DQ=")</f>
        <v>#VALUE!</v>
      </c>
      <c r="BB22" t="e">
        <f>AND('Current Index'!E549,"AAAAAF//9DU=")</f>
        <v>#VALUE!</v>
      </c>
      <c r="BC22" t="e">
        <f>AND('Current Index'!F549,"AAAAAF//9DY=")</f>
        <v>#VALUE!</v>
      </c>
      <c r="BD22" t="e">
        <f>AND('Current Index'!G549,"AAAAAF//9Dc=")</f>
        <v>#VALUE!</v>
      </c>
      <c r="BE22" t="e">
        <f>AND('Current Index'!H549,"AAAAAF//9Dg=")</f>
        <v>#VALUE!</v>
      </c>
      <c r="BF22" t="e">
        <f>AND('Current Index'!I549,"AAAAAF//9Dk=")</f>
        <v>#VALUE!</v>
      </c>
      <c r="BG22">
        <f>IF('Current Index'!550:550,"AAAAAF//9Do=",0)</f>
        <v>0</v>
      </c>
      <c r="BH22" t="e">
        <f>AND('Current Index'!A550,"AAAAAF//9Ds=")</f>
        <v>#VALUE!</v>
      </c>
      <c r="BI22" t="e">
        <f>AND('Current Index'!#REF!,"AAAAAF//9Dw=")</f>
        <v>#REF!</v>
      </c>
      <c r="BJ22" t="e">
        <f>AND('Current Index'!B550,"AAAAAF//9D0=")</f>
        <v>#VALUE!</v>
      </c>
      <c r="BK22" t="e">
        <f>AND('Current Index'!C550,"AAAAAF//9D4=")</f>
        <v>#VALUE!</v>
      </c>
      <c r="BL22" t="e">
        <f>AND('Current Index'!D550,"AAAAAF//9D8=")</f>
        <v>#VALUE!</v>
      </c>
      <c r="BM22" t="e">
        <f>AND('Current Index'!E550,"AAAAAF//9EA=")</f>
        <v>#VALUE!</v>
      </c>
      <c r="BN22" t="e">
        <f>AND('Current Index'!F550,"AAAAAF//9EE=")</f>
        <v>#VALUE!</v>
      </c>
      <c r="BO22" t="e">
        <f>AND('Current Index'!G550,"AAAAAF//9EI=")</f>
        <v>#VALUE!</v>
      </c>
      <c r="BP22" t="e">
        <f>AND('Current Index'!H550,"AAAAAF//9EM=")</f>
        <v>#VALUE!</v>
      </c>
      <c r="BQ22" t="e">
        <f>AND('Current Index'!I550,"AAAAAF//9EQ=")</f>
        <v>#VALUE!</v>
      </c>
      <c r="BR22">
        <f>IF('Current Index'!551:551,"AAAAAF//9EU=",0)</f>
        <v>0</v>
      </c>
      <c r="BS22" t="e">
        <f>AND('Current Index'!A551,"AAAAAF//9EY=")</f>
        <v>#VALUE!</v>
      </c>
      <c r="BT22" t="e">
        <f>AND('Current Index'!#REF!,"AAAAAF//9Ec=")</f>
        <v>#REF!</v>
      </c>
      <c r="BU22" t="e">
        <f>AND('Current Index'!B551,"AAAAAF//9Eg=")</f>
        <v>#VALUE!</v>
      </c>
      <c r="BV22" t="e">
        <f>AND('Current Index'!C551,"AAAAAF//9Ek=")</f>
        <v>#VALUE!</v>
      </c>
      <c r="BW22" t="e">
        <f>AND('Current Index'!D551,"AAAAAF//9Eo=")</f>
        <v>#VALUE!</v>
      </c>
      <c r="BX22" t="e">
        <f>AND('Current Index'!E551,"AAAAAF//9Es=")</f>
        <v>#VALUE!</v>
      </c>
      <c r="BY22" t="e">
        <f>AND('Current Index'!F551,"AAAAAF//9Ew=")</f>
        <v>#VALUE!</v>
      </c>
      <c r="BZ22" t="e">
        <f>AND('Current Index'!G551,"AAAAAF//9E0=")</f>
        <v>#VALUE!</v>
      </c>
      <c r="CA22" t="e">
        <f>AND('Current Index'!H551,"AAAAAF//9E4=")</f>
        <v>#VALUE!</v>
      </c>
      <c r="CB22" t="e">
        <f>AND('Current Index'!I551,"AAAAAF//9E8=")</f>
        <v>#VALUE!</v>
      </c>
      <c r="CC22">
        <f>IF('Current Index'!552:552,"AAAAAF//9FA=",0)</f>
        <v>0</v>
      </c>
      <c r="CD22" t="e">
        <f>AND('Current Index'!A552,"AAAAAF//9FE=")</f>
        <v>#VALUE!</v>
      </c>
      <c r="CE22" t="e">
        <f>AND('Current Index'!#REF!,"AAAAAF//9FI=")</f>
        <v>#REF!</v>
      </c>
      <c r="CF22" t="e">
        <f>AND('Current Index'!B552,"AAAAAF//9FM=")</f>
        <v>#VALUE!</v>
      </c>
      <c r="CG22" t="e">
        <f>AND('Current Index'!C552,"AAAAAF//9FQ=")</f>
        <v>#VALUE!</v>
      </c>
      <c r="CH22" t="e">
        <f>AND('Current Index'!D552,"AAAAAF//9FU=")</f>
        <v>#VALUE!</v>
      </c>
      <c r="CI22" t="e">
        <f>AND('Current Index'!E552,"AAAAAF//9FY=")</f>
        <v>#VALUE!</v>
      </c>
      <c r="CJ22" t="e">
        <f>AND('Current Index'!F552,"AAAAAF//9Fc=")</f>
        <v>#VALUE!</v>
      </c>
      <c r="CK22" t="e">
        <f>AND('Current Index'!G552,"AAAAAF//9Fg=")</f>
        <v>#VALUE!</v>
      </c>
      <c r="CL22" t="e">
        <f>AND('Current Index'!H552,"AAAAAF//9Fk=")</f>
        <v>#VALUE!</v>
      </c>
      <c r="CM22" t="e">
        <f>AND('Current Index'!I552,"AAAAAF//9Fo=")</f>
        <v>#VALUE!</v>
      </c>
      <c r="CN22">
        <f>IF('Current Index'!553:553,"AAAAAF//9Fs=",0)</f>
        <v>0</v>
      </c>
      <c r="CO22" t="e">
        <f>AND('Current Index'!A553,"AAAAAF//9Fw=")</f>
        <v>#VALUE!</v>
      </c>
      <c r="CP22" t="e">
        <f>AND('Current Index'!#REF!,"AAAAAF//9F0=")</f>
        <v>#REF!</v>
      </c>
      <c r="CQ22" t="e">
        <f>AND('Current Index'!B553,"AAAAAF//9F4=")</f>
        <v>#VALUE!</v>
      </c>
      <c r="CR22" t="e">
        <f>AND('Current Index'!C553,"AAAAAF//9F8=")</f>
        <v>#VALUE!</v>
      </c>
      <c r="CS22" t="e">
        <f>AND('Current Index'!D553,"AAAAAF//9GA=")</f>
        <v>#VALUE!</v>
      </c>
      <c r="CT22" t="e">
        <f>AND('Current Index'!E553,"AAAAAF//9GE=")</f>
        <v>#VALUE!</v>
      </c>
      <c r="CU22" t="e">
        <f>AND('Current Index'!F553,"AAAAAF//9GI=")</f>
        <v>#VALUE!</v>
      </c>
      <c r="CV22" t="e">
        <f>AND('Current Index'!G553,"AAAAAF//9GM=")</f>
        <v>#VALUE!</v>
      </c>
      <c r="CW22" t="e">
        <f>AND('Current Index'!H553,"AAAAAF//9GQ=")</f>
        <v>#VALUE!</v>
      </c>
      <c r="CX22" t="e">
        <f>AND('Current Index'!I553,"AAAAAF//9GU=")</f>
        <v>#VALUE!</v>
      </c>
      <c r="CY22">
        <f>IF('Current Index'!554:554,"AAAAAF//9GY=",0)</f>
        <v>0</v>
      </c>
      <c r="CZ22" t="e">
        <f>AND('Current Index'!A554,"AAAAAF//9Gc=")</f>
        <v>#VALUE!</v>
      </c>
      <c r="DA22" t="e">
        <f>AND('Current Index'!#REF!,"AAAAAF//9Gg=")</f>
        <v>#REF!</v>
      </c>
      <c r="DB22" t="e">
        <f>AND('Current Index'!B554,"AAAAAF//9Gk=")</f>
        <v>#VALUE!</v>
      </c>
      <c r="DC22" t="e">
        <f>AND('Current Index'!C554,"AAAAAF//9Go=")</f>
        <v>#VALUE!</v>
      </c>
      <c r="DD22" t="e">
        <f>AND('Current Index'!D554,"AAAAAF//9Gs=")</f>
        <v>#VALUE!</v>
      </c>
      <c r="DE22" t="e">
        <f>AND('Current Index'!E554,"AAAAAF//9Gw=")</f>
        <v>#VALUE!</v>
      </c>
      <c r="DF22" t="e">
        <f>AND('Current Index'!F554,"AAAAAF//9G0=")</f>
        <v>#VALUE!</v>
      </c>
      <c r="DG22" t="e">
        <f>AND('Current Index'!G554,"AAAAAF//9G4=")</f>
        <v>#VALUE!</v>
      </c>
      <c r="DH22" t="e">
        <f>AND('Current Index'!H554,"AAAAAF//9G8=")</f>
        <v>#VALUE!</v>
      </c>
      <c r="DI22" t="e">
        <f>AND('Current Index'!I554,"AAAAAF//9HA=")</f>
        <v>#VALUE!</v>
      </c>
      <c r="DJ22">
        <f>IF('Current Index'!555:555,"AAAAAF//9HE=",0)</f>
        <v>0</v>
      </c>
      <c r="DK22" t="e">
        <f>AND('Current Index'!A555,"AAAAAF//9HI=")</f>
        <v>#VALUE!</v>
      </c>
      <c r="DL22" t="e">
        <f>AND('Current Index'!#REF!,"AAAAAF//9HM=")</f>
        <v>#REF!</v>
      </c>
      <c r="DM22" t="e">
        <f>AND('Current Index'!B555,"AAAAAF//9HQ=")</f>
        <v>#VALUE!</v>
      </c>
      <c r="DN22" t="e">
        <f>AND('Current Index'!C555,"AAAAAF//9HU=")</f>
        <v>#VALUE!</v>
      </c>
      <c r="DO22" t="e">
        <f>AND('Current Index'!D555,"AAAAAF//9HY=")</f>
        <v>#VALUE!</v>
      </c>
      <c r="DP22" t="e">
        <f>AND('Current Index'!E555,"AAAAAF//9Hc=")</f>
        <v>#VALUE!</v>
      </c>
      <c r="DQ22" t="e">
        <f>AND('Current Index'!F555,"AAAAAF//9Hg=")</f>
        <v>#VALUE!</v>
      </c>
      <c r="DR22" t="e">
        <f>AND('Current Index'!G555,"AAAAAF//9Hk=")</f>
        <v>#VALUE!</v>
      </c>
      <c r="DS22" t="e">
        <f>AND('Current Index'!H555,"AAAAAF//9Ho=")</f>
        <v>#VALUE!</v>
      </c>
      <c r="DT22" t="e">
        <f>AND('Current Index'!I555,"AAAAAF//9Hs=")</f>
        <v>#VALUE!</v>
      </c>
      <c r="DU22">
        <f>IF('Current Index'!556:556,"AAAAAF//9Hw=",0)</f>
        <v>0</v>
      </c>
      <c r="DV22" t="e">
        <f>AND('Current Index'!A556,"AAAAAF//9H0=")</f>
        <v>#VALUE!</v>
      </c>
      <c r="DW22" t="e">
        <f>AND('Current Index'!#REF!,"AAAAAF//9H4=")</f>
        <v>#REF!</v>
      </c>
      <c r="DX22" t="e">
        <f>AND('Current Index'!B556,"AAAAAF//9H8=")</f>
        <v>#VALUE!</v>
      </c>
      <c r="DY22" t="e">
        <f>AND('Current Index'!C556,"AAAAAF//9IA=")</f>
        <v>#VALUE!</v>
      </c>
      <c r="DZ22" t="e">
        <f>AND('Current Index'!D556,"AAAAAF//9IE=")</f>
        <v>#VALUE!</v>
      </c>
      <c r="EA22" t="e">
        <f>AND('Current Index'!E556,"AAAAAF//9II=")</f>
        <v>#VALUE!</v>
      </c>
      <c r="EB22" t="e">
        <f>AND('Current Index'!F556,"AAAAAF//9IM=")</f>
        <v>#VALUE!</v>
      </c>
      <c r="EC22" t="e">
        <f>AND('Current Index'!G556,"AAAAAF//9IQ=")</f>
        <v>#VALUE!</v>
      </c>
      <c r="ED22" t="e">
        <f>AND('Current Index'!H556,"AAAAAF//9IU=")</f>
        <v>#VALUE!</v>
      </c>
      <c r="EE22" t="e">
        <f>AND('Current Index'!I556,"AAAAAF//9IY=")</f>
        <v>#VALUE!</v>
      </c>
      <c r="EF22">
        <f>IF('Current Index'!557:557,"AAAAAF//9Ic=",0)</f>
        <v>0</v>
      </c>
      <c r="EG22" t="e">
        <f>AND('Current Index'!A557,"AAAAAF//9Ig=")</f>
        <v>#VALUE!</v>
      </c>
      <c r="EH22" t="e">
        <f>AND('Current Index'!#REF!,"AAAAAF//9Ik=")</f>
        <v>#REF!</v>
      </c>
      <c r="EI22" t="e">
        <f>AND('Current Index'!B557,"AAAAAF//9Io=")</f>
        <v>#VALUE!</v>
      </c>
      <c r="EJ22" t="e">
        <f>AND('Current Index'!C557,"AAAAAF//9Is=")</f>
        <v>#VALUE!</v>
      </c>
      <c r="EK22" t="e">
        <f>AND('Current Index'!D557,"AAAAAF//9Iw=")</f>
        <v>#VALUE!</v>
      </c>
      <c r="EL22" t="e">
        <f>AND('Current Index'!E557,"AAAAAF//9I0=")</f>
        <v>#VALUE!</v>
      </c>
      <c r="EM22" t="e">
        <f>AND('Current Index'!F557,"AAAAAF//9I4=")</f>
        <v>#VALUE!</v>
      </c>
      <c r="EN22" t="e">
        <f>AND('Current Index'!G557,"AAAAAF//9I8=")</f>
        <v>#VALUE!</v>
      </c>
      <c r="EO22" t="e">
        <f>AND('Current Index'!H557,"AAAAAF//9JA=")</f>
        <v>#VALUE!</v>
      </c>
      <c r="EP22" t="e">
        <f>AND('Current Index'!I557,"AAAAAF//9JE=")</f>
        <v>#VALUE!</v>
      </c>
      <c r="EQ22">
        <f>IF('Current Index'!558:558,"AAAAAF//9JI=",0)</f>
        <v>0</v>
      </c>
      <c r="ER22" t="e">
        <f>AND('Current Index'!A558,"AAAAAF//9JM=")</f>
        <v>#VALUE!</v>
      </c>
      <c r="ES22" t="e">
        <f>AND('Current Index'!#REF!,"AAAAAF//9JQ=")</f>
        <v>#REF!</v>
      </c>
      <c r="ET22" t="e">
        <f>AND('Current Index'!B558,"AAAAAF//9JU=")</f>
        <v>#VALUE!</v>
      </c>
      <c r="EU22" t="e">
        <f>AND('Current Index'!C558,"AAAAAF//9JY=")</f>
        <v>#VALUE!</v>
      </c>
      <c r="EV22" t="e">
        <f>AND('Current Index'!D558,"AAAAAF//9Jc=")</f>
        <v>#VALUE!</v>
      </c>
      <c r="EW22" t="e">
        <f>AND('Current Index'!E558,"AAAAAF//9Jg=")</f>
        <v>#VALUE!</v>
      </c>
      <c r="EX22" t="e">
        <f>AND('Current Index'!F558,"AAAAAF//9Jk=")</f>
        <v>#VALUE!</v>
      </c>
      <c r="EY22" t="e">
        <f>AND('Current Index'!G558,"AAAAAF//9Jo=")</f>
        <v>#VALUE!</v>
      </c>
      <c r="EZ22" t="e">
        <f>AND('Current Index'!H558,"AAAAAF//9Js=")</f>
        <v>#VALUE!</v>
      </c>
      <c r="FA22" t="e">
        <f>AND('Current Index'!I558,"AAAAAF//9Jw=")</f>
        <v>#VALUE!</v>
      </c>
      <c r="FB22">
        <f>IF('Current Index'!559:559,"AAAAAF//9J0=",0)</f>
        <v>0</v>
      </c>
      <c r="FC22" t="e">
        <f>AND('Current Index'!A559,"AAAAAF//9J4=")</f>
        <v>#VALUE!</v>
      </c>
      <c r="FD22" t="e">
        <f>AND('Current Index'!#REF!,"AAAAAF//9J8=")</f>
        <v>#REF!</v>
      </c>
      <c r="FE22" t="e">
        <f>AND('Current Index'!B559,"AAAAAF//9KA=")</f>
        <v>#VALUE!</v>
      </c>
      <c r="FF22" t="e">
        <f>AND('Current Index'!C559,"AAAAAF//9KE=")</f>
        <v>#VALUE!</v>
      </c>
      <c r="FG22" t="e">
        <f>AND('Current Index'!D559,"AAAAAF//9KI=")</f>
        <v>#VALUE!</v>
      </c>
      <c r="FH22" t="e">
        <f>AND('Current Index'!E559,"AAAAAF//9KM=")</f>
        <v>#VALUE!</v>
      </c>
      <c r="FI22" t="e">
        <f>AND('Current Index'!F559,"AAAAAF//9KQ=")</f>
        <v>#VALUE!</v>
      </c>
      <c r="FJ22" t="e">
        <f>AND('Current Index'!G559,"AAAAAF//9KU=")</f>
        <v>#VALUE!</v>
      </c>
      <c r="FK22" t="e">
        <f>AND('Current Index'!H559,"AAAAAF//9KY=")</f>
        <v>#VALUE!</v>
      </c>
      <c r="FL22" t="e">
        <f>AND('Current Index'!I559,"AAAAAF//9Kc=")</f>
        <v>#VALUE!</v>
      </c>
      <c r="FM22">
        <f>IF('Current Index'!560:560,"AAAAAF//9Kg=",0)</f>
        <v>0</v>
      </c>
      <c r="FN22" t="e">
        <f>AND('Current Index'!A560,"AAAAAF//9Kk=")</f>
        <v>#VALUE!</v>
      </c>
      <c r="FO22" t="e">
        <f>AND('Current Index'!#REF!,"AAAAAF//9Ko=")</f>
        <v>#REF!</v>
      </c>
      <c r="FP22" t="e">
        <f>AND('Current Index'!B560,"AAAAAF//9Ks=")</f>
        <v>#VALUE!</v>
      </c>
      <c r="FQ22" t="e">
        <f>AND('Current Index'!C560,"AAAAAF//9Kw=")</f>
        <v>#VALUE!</v>
      </c>
      <c r="FR22" t="e">
        <f>AND('Current Index'!D560,"AAAAAF//9K0=")</f>
        <v>#VALUE!</v>
      </c>
      <c r="FS22" t="e">
        <f>AND('Current Index'!E560,"AAAAAF//9K4=")</f>
        <v>#VALUE!</v>
      </c>
      <c r="FT22" t="e">
        <f>AND('Current Index'!F560,"AAAAAF//9K8=")</f>
        <v>#VALUE!</v>
      </c>
      <c r="FU22" t="e">
        <f>AND('Current Index'!G560,"AAAAAF//9LA=")</f>
        <v>#VALUE!</v>
      </c>
      <c r="FV22" t="e">
        <f>AND('Current Index'!H560,"AAAAAF//9LE=")</f>
        <v>#VALUE!</v>
      </c>
      <c r="FW22" t="e">
        <f>AND('Current Index'!I560,"AAAAAF//9LI=")</f>
        <v>#VALUE!</v>
      </c>
      <c r="FX22">
        <f>IF('Current Index'!566:566,"AAAAAF//9LM=",0)</f>
        <v>0</v>
      </c>
      <c r="FY22" t="e">
        <f>AND('Current Index'!A566,"AAAAAF//9LQ=")</f>
        <v>#VALUE!</v>
      </c>
      <c r="FZ22" t="e">
        <f>AND('Current Index'!#REF!,"AAAAAF//9LU=")</f>
        <v>#REF!</v>
      </c>
      <c r="GA22" t="e">
        <f>AND('Current Index'!B566,"AAAAAF//9LY=")</f>
        <v>#VALUE!</v>
      </c>
      <c r="GB22" t="e">
        <f>AND('Current Index'!C566,"AAAAAF//9Lc=")</f>
        <v>#VALUE!</v>
      </c>
      <c r="GC22" t="e">
        <f>AND('Current Index'!D566,"AAAAAF//9Lg=")</f>
        <v>#VALUE!</v>
      </c>
      <c r="GD22" t="e">
        <f>AND('Current Index'!E566,"AAAAAF//9Lk=")</f>
        <v>#VALUE!</v>
      </c>
      <c r="GE22" t="e">
        <f>AND('Current Index'!F566,"AAAAAF//9Lo=")</f>
        <v>#VALUE!</v>
      </c>
      <c r="GF22" t="e">
        <f>AND('Current Index'!G566,"AAAAAF//9Ls=")</f>
        <v>#VALUE!</v>
      </c>
      <c r="GG22" t="e">
        <f>AND('Current Index'!H566,"AAAAAF//9Lw=")</f>
        <v>#VALUE!</v>
      </c>
      <c r="GH22" t="e">
        <f>AND('Current Index'!I566,"AAAAAF//9L0=")</f>
        <v>#VALUE!</v>
      </c>
      <c r="GI22">
        <f>IF('Current Index'!567:567,"AAAAAF//9L4=",0)</f>
        <v>0</v>
      </c>
      <c r="GJ22" t="e">
        <f>AND('Current Index'!A567,"AAAAAF//9L8=")</f>
        <v>#VALUE!</v>
      </c>
      <c r="GK22" t="e">
        <f>AND('Current Index'!#REF!,"AAAAAF//9MA=")</f>
        <v>#REF!</v>
      </c>
      <c r="GL22" t="e">
        <f>AND('Current Index'!B567,"AAAAAF//9ME=")</f>
        <v>#VALUE!</v>
      </c>
      <c r="GM22" t="e">
        <f>AND('Current Index'!C567,"AAAAAF//9MI=")</f>
        <v>#VALUE!</v>
      </c>
      <c r="GN22" t="e">
        <f>AND('Current Index'!D567,"AAAAAF//9MM=")</f>
        <v>#VALUE!</v>
      </c>
      <c r="GO22" t="e">
        <f>AND('Current Index'!E567,"AAAAAF//9MQ=")</f>
        <v>#VALUE!</v>
      </c>
      <c r="GP22" t="e">
        <f>AND('Current Index'!F567,"AAAAAF//9MU=")</f>
        <v>#VALUE!</v>
      </c>
      <c r="GQ22" t="e">
        <f>AND('Current Index'!G567,"AAAAAF//9MY=")</f>
        <v>#VALUE!</v>
      </c>
      <c r="GR22" t="e">
        <f>AND('Current Index'!H567,"AAAAAF//9Mc=")</f>
        <v>#VALUE!</v>
      </c>
      <c r="GS22" t="e">
        <f>AND('Current Index'!I567,"AAAAAF//9Mg=")</f>
        <v>#VALUE!</v>
      </c>
      <c r="GT22">
        <f>IF('Current Index'!568:568,"AAAAAF//9Mk=",0)</f>
        <v>0</v>
      </c>
      <c r="GU22" t="e">
        <f>AND('Current Index'!A568,"AAAAAF//9Mo=")</f>
        <v>#VALUE!</v>
      </c>
      <c r="GV22" t="e">
        <f>AND('Current Index'!#REF!,"AAAAAF//9Ms=")</f>
        <v>#REF!</v>
      </c>
      <c r="GW22" t="e">
        <f>AND('Current Index'!B568,"AAAAAF//9Mw=")</f>
        <v>#VALUE!</v>
      </c>
      <c r="GX22" t="e">
        <f>AND('Current Index'!C568,"AAAAAF//9M0=")</f>
        <v>#VALUE!</v>
      </c>
      <c r="GY22" t="e">
        <f>AND('Current Index'!D568,"AAAAAF//9M4=")</f>
        <v>#VALUE!</v>
      </c>
      <c r="GZ22" t="e">
        <f>AND('Current Index'!E568,"AAAAAF//9M8=")</f>
        <v>#VALUE!</v>
      </c>
      <c r="HA22" t="e">
        <f>AND('Current Index'!F568,"AAAAAF//9NA=")</f>
        <v>#VALUE!</v>
      </c>
      <c r="HB22" t="e">
        <f>AND('Current Index'!G568,"AAAAAF//9NE=")</f>
        <v>#VALUE!</v>
      </c>
      <c r="HC22" t="e">
        <f>AND('Current Index'!H568,"AAAAAF//9NI=")</f>
        <v>#VALUE!</v>
      </c>
      <c r="HD22" t="e">
        <f>AND('Current Index'!I568,"AAAAAF//9NM=")</f>
        <v>#VALUE!</v>
      </c>
      <c r="HE22">
        <f>IF('Current Index'!569:569,"AAAAAF//9NQ=",0)</f>
        <v>0</v>
      </c>
      <c r="HF22" t="e">
        <f>AND('Current Index'!A569,"AAAAAF//9NU=")</f>
        <v>#VALUE!</v>
      </c>
      <c r="HG22" t="e">
        <f>AND('Current Index'!#REF!,"AAAAAF//9NY=")</f>
        <v>#REF!</v>
      </c>
      <c r="HH22" t="e">
        <f>AND('Current Index'!B569,"AAAAAF//9Nc=")</f>
        <v>#VALUE!</v>
      </c>
      <c r="HI22" t="e">
        <f>AND('Current Index'!C569,"AAAAAF//9Ng=")</f>
        <v>#VALUE!</v>
      </c>
      <c r="HJ22" t="e">
        <f>AND('Current Index'!D569,"AAAAAF//9Nk=")</f>
        <v>#VALUE!</v>
      </c>
      <c r="HK22" t="e">
        <f>AND('Current Index'!E569,"AAAAAF//9No=")</f>
        <v>#VALUE!</v>
      </c>
      <c r="HL22" t="e">
        <f>AND('Current Index'!F569,"AAAAAF//9Ns=")</f>
        <v>#VALUE!</v>
      </c>
      <c r="HM22" t="e">
        <f>AND('Current Index'!G569,"AAAAAF//9Nw=")</f>
        <v>#VALUE!</v>
      </c>
      <c r="HN22" t="e">
        <f>AND('Current Index'!H569,"AAAAAF//9N0=")</f>
        <v>#VALUE!</v>
      </c>
      <c r="HO22" t="e">
        <f>AND('Current Index'!I569,"AAAAAF//9N4=")</f>
        <v>#VALUE!</v>
      </c>
      <c r="HP22">
        <f>IF('Current Index'!570:570,"AAAAAF//9N8=",0)</f>
        <v>0</v>
      </c>
      <c r="HQ22" t="e">
        <f>AND('Current Index'!A570,"AAAAAF//9OA=")</f>
        <v>#VALUE!</v>
      </c>
      <c r="HR22" t="e">
        <f>AND('Current Index'!#REF!,"AAAAAF//9OE=")</f>
        <v>#REF!</v>
      </c>
      <c r="HS22" t="e">
        <f>AND('Current Index'!B570,"AAAAAF//9OI=")</f>
        <v>#VALUE!</v>
      </c>
      <c r="HT22" t="e">
        <f>AND('Current Index'!C570,"AAAAAF//9OM=")</f>
        <v>#VALUE!</v>
      </c>
      <c r="HU22" t="e">
        <f>AND('Current Index'!D570,"AAAAAF//9OQ=")</f>
        <v>#VALUE!</v>
      </c>
      <c r="HV22" t="e">
        <f>AND('Current Index'!E570,"AAAAAF//9OU=")</f>
        <v>#VALUE!</v>
      </c>
      <c r="HW22" t="e">
        <f>AND('Current Index'!F570,"AAAAAF//9OY=")</f>
        <v>#VALUE!</v>
      </c>
      <c r="HX22" t="e">
        <f>AND('Current Index'!G570,"AAAAAF//9Oc=")</f>
        <v>#VALUE!</v>
      </c>
      <c r="HY22" t="e">
        <f>AND('Current Index'!H570,"AAAAAF//9Og=")</f>
        <v>#VALUE!</v>
      </c>
      <c r="HZ22" t="e">
        <f>AND('Current Index'!I570,"AAAAAF//9Ok=")</f>
        <v>#VALUE!</v>
      </c>
      <c r="IA22">
        <f>IF('Current Index'!571:571,"AAAAAF//9Oo=",0)</f>
        <v>0</v>
      </c>
      <c r="IB22" t="e">
        <f>AND('Current Index'!A571,"AAAAAF//9Os=")</f>
        <v>#VALUE!</v>
      </c>
      <c r="IC22" t="e">
        <f>AND('Current Index'!#REF!,"AAAAAF//9Ow=")</f>
        <v>#REF!</v>
      </c>
      <c r="ID22" t="e">
        <f>AND('Current Index'!B571,"AAAAAF//9O0=")</f>
        <v>#VALUE!</v>
      </c>
      <c r="IE22" t="e">
        <f>AND('Current Index'!C571,"AAAAAF//9O4=")</f>
        <v>#VALUE!</v>
      </c>
      <c r="IF22" t="e">
        <f>AND('Current Index'!D571,"AAAAAF//9O8=")</f>
        <v>#VALUE!</v>
      </c>
      <c r="IG22" t="e">
        <f>AND('Current Index'!E571,"AAAAAF//9PA=")</f>
        <v>#VALUE!</v>
      </c>
      <c r="IH22" t="e">
        <f>AND('Current Index'!F571,"AAAAAF//9PE=")</f>
        <v>#VALUE!</v>
      </c>
      <c r="II22" t="e">
        <f>AND('Current Index'!G571,"AAAAAF//9PI=")</f>
        <v>#VALUE!</v>
      </c>
      <c r="IJ22" t="e">
        <f>AND('Current Index'!H571,"AAAAAF//9PM=")</f>
        <v>#VALUE!</v>
      </c>
      <c r="IK22" t="e">
        <f>AND('Current Index'!I571,"AAAAAF//9PQ=")</f>
        <v>#VALUE!</v>
      </c>
      <c r="IL22">
        <f>IF('Current Index'!572:572,"AAAAAF//9PU=",0)</f>
        <v>0</v>
      </c>
      <c r="IM22" t="e">
        <f>AND('Current Index'!A572,"AAAAAF//9PY=")</f>
        <v>#VALUE!</v>
      </c>
      <c r="IN22" t="e">
        <f>AND('Current Index'!#REF!,"AAAAAF//9Pc=")</f>
        <v>#REF!</v>
      </c>
      <c r="IO22" t="e">
        <f>AND('Current Index'!B572,"AAAAAF//9Pg=")</f>
        <v>#VALUE!</v>
      </c>
      <c r="IP22" t="e">
        <f>AND('Current Index'!C572,"AAAAAF//9Pk=")</f>
        <v>#VALUE!</v>
      </c>
      <c r="IQ22" t="e">
        <f>AND('Current Index'!D572,"AAAAAF//9Po=")</f>
        <v>#VALUE!</v>
      </c>
      <c r="IR22" t="e">
        <f>AND('Current Index'!E572,"AAAAAF//9Ps=")</f>
        <v>#VALUE!</v>
      </c>
      <c r="IS22" t="e">
        <f>AND('Current Index'!F572,"AAAAAF//9Pw=")</f>
        <v>#VALUE!</v>
      </c>
      <c r="IT22" t="e">
        <f>AND('Current Index'!G572,"AAAAAF//9P0=")</f>
        <v>#VALUE!</v>
      </c>
      <c r="IU22" t="e">
        <f>AND('Current Index'!H572,"AAAAAF//9P4=")</f>
        <v>#VALUE!</v>
      </c>
      <c r="IV22" t="e">
        <f>AND('Current Index'!I572,"AAAAAF//9P8=")</f>
        <v>#VALUE!</v>
      </c>
    </row>
    <row r="23" spans="1:256" x14ac:dyDescent="0.25">
      <c r="A23">
        <f>IF('Current Index'!573:573,"AAAAAHb5OwA=",0)</f>
        <v>0</v>
      </c>
      <c r="B23" t="e">
        <f>AND('Current Index'!A573,"AAAAAHb5OwE=")</f>
        <v>#VALUE!</v>
      </c>
      <c r="C23" t="e">
        <f>AND('Current Index'!#REF!,"AAAAAHb5OwI=")</f>
        <v>#REF!</v>
      </c>
      <c r="D23" t="e">
        <f>AND('Current Index'!B573,"AAAAAHb5OwM=")</f>
        <v>#VALUE!</v>
      </c>
      <c r="E23" t="e">
        <f>AND('Current Index'!C573,"AAAAAHb5OwQ=")</f>
        <v>#VALUE!</v>
      </c>
      <c r="F23" t="e">
        <f>AND('Current Index'!D573,"AAAAAHb5OwU=")</f>
        <v>#VALUE!</v>
      </c>
      <c r="G23" t="e">
        <f>AND('Current Index'!E573,"AAAAAHb5OwY=")</f>
        <v>#VALUE!</v>
      </c>
      <c r="H23" t="e">
        <f>AND('Current Index'!F573,"AAAAAHb5Owc=")</f>
        <v>#VALUE!</v>
      </c>
      <c r="I23" t="e">
        <f>AND('Current Index'!G573,"AAAAAHb5Owg=")</f>
        <v>#VALUE!</v>
      </c>
      <c r="J23" t="e">
        <f>AND('Current Index'!H573,"AAAAAHb5Owk=")</f>
        <v>#VALUE!</v>
      </c>
      <c r="K23" t="e">
        <f>AND('Current Index'!I573,"AAAAAHb5Owo=")</f>
        <v>#VALUE!</v>
      </c>
      <c r="L23">
        <f>IF('Current Index'!574:574,"AAAAAHb5Ows=",0)</f>
        <v>0</v>
      </c>
      <c r="M23" t="e">
        <f>AND('Current Index'!A574,"AAAAAHb5Oww=")</f>
        <v>#VALUE!</v>
      </c>
      <c r="N23" t="e">
        <f>AND('Current Index'!#REF!,"AAAAAHb5Ow0=")</f>
        <v>#REF!</v>
      </c>
      <c r="O23" t="e">
        <f>AND('Current Index'!B574,"AAAAAHb5Ow4=")</f>
        <v>#VALUE!</v>
      </c>
      <c r="P23" t="e">
        <f>AND('Current Index'!C574,"AAAAAHb5Ow8=")</f>
        <v>#VALUE!</v>
      </c>
      <c r="Q23" t="e">
        <f>AND('Current Index'!D574,"AAAAAHb5OxA=")</f>
        <v>#VALUE!</v>
      </c>
      <c r="R23" t="e">
        <f>AND('Current Index'!E574,"AAAAAHb5OxE=")</f>
        <v>#VALUE!</v>
      </c>
      <c r="S23" t="e">
        <f>AND('Current Index'!F574,"AAAAAHb5OxI=")</f>
        <v>#VALUE!</v>
      </c>
      <c r="T23" t="e">
        <f>AND('Current Index'!G574,"AAAAAHb5OxM=")</f>
        <v>#VALUE!</v>
      </c>
      <c r="U23" t="e">
        <f>AND('Current Index'!H574,"AAAAAHb5OxQ=")</f>
        <v>#VALUE!</v>
      </c>
      <c r="V23" t="e">
        <f>AND('Current Index'!I574,"AAAAAHb5OxU=")</f>
        <v>#VALUE!</v>
      </c>
      <c r="W23">
        <f>IF('Current Index'!575:575,"AAAAAHb5OxY=",0)</f>
        <v>0</v>
      </c>
      <c r="X23" t="e">
        <f>AND('Current Index'!A575,"AAAAAHb5Oxc=")</f>
        <v>#VALUE!</v>
      </c>
      <c r="Y23" t="e">
        <f>AND('Current Index'!#REF!,"AAAAAHb5Oxg=")</f>
        <v>#REF!</v>
      </c>
      <c r="Z23" t="e">
        <f>AND('Current Index'!B575,"AAAAAHb5Oxk=")</f>
        <v>#VALUE!</v>
      </c>
      <c r="AA23" t="e">
        <f>AND('Current Index'!C575,"AAAAAHb5Oxo=")</f>
        <v>#VALUE!</v>
      </c>
      <c r="AB23" t="e">
        <f>AND('Current Index'!D575,"AAAAAHb5Oxs=")</f>
        <v>#VALUE!</v>
      </c>
      <c r="AC23" t="e">
        <f>AND('Current Index'!E575,"AAAAAHb5Oxw=")</f>
        <v>#VALUE!</v>
      </c>
      <c r="AD23" t="e">
        <f>AND('Current Index'!F575,"AAAAAHb5Ox0=")</f>
        <v>#VALUE!</v>
      </c>
      <c r="AE23" t="e">
        <f>AND('Current Index'!G575,"AAAAAHb5Ox4=")</f>
        <v>#VALUE!</v>
      </c>
      <c r="AF23" t="e">
        <f>AND('Current Index'!H575,"AAAAAHb5Ox8=")</f>
        <v>#VALUE!</v>
      </c>
      <c r="AG23" t="e">
        <f>AND('Current Index'!I575,"AAAAAHb5OyA=")</f>
        <v>#VALUE!</v>
      </c>
      <c r="AH23">
        <f>IF('Current Index'!576:576,"AAAAAHb5OyE=",0)</f>
        <v>0</v>
      </c>
      <c r="AI23" t="e">
        <f>AND('Current Index'!A576,"AAAAAHb5OyI=")</f>
        <v>#VALUE!</v>
      </c>
      <c r="AJ23" t="e">
        <f>AND('Current Index'!#REF!,"AAAAAHb5OyM=")</f>
        <v>#REF!</v>
      </c>
      <c r="AK23" t="e">
        <f>AND('Current Index'!B576,"AAAAAHb5OyQ=")</f>
        <v>#VALUE!</v>
      </c>
      <c r="AL23" t="e">
        <f>AND('Current Index'!C576,"AAAAAHb5OyU=")</f>
        <v>#VALUE!</v>
      </c>
      <c r="AM23" t="e">
        <f>AND('Current Index'!D576,"AAAAAHb5OyY=")</f>
        <v>#VALUE!</v>
      </c>
      <c r="AN23" t="e">
        <f>AND('Current Index'!E576,"AAAAAHb5Oyc=")</f>
        <v>#VALUE!</v>
      </c>
      <c r="AO23" t="e">
        <f>AND('Current Index'!F576,"AAAAAHb5Oyg=")</f>
        <v>#VALUE!</v>
      </c>
      <c r="AP23" t="e">
        <f>AND('Current Index'!G576,"AAAAAHb5Oyk=")</f>
        <v>#VALUE!</v>
      </c>
      <c r="AQ23" t="e">
        <f>AND('Current Index'!H576,"AAAAAHb5Oyo=")</f>
        <v>#VALUE!</v>
      </c>
      <c r="AR23" t="e">
        <f>AND('Current Index'!I576,"AAAAAHb5Oys=")</f>
        <v>#VALUE!</v>
      </c>
      <c r="AS23">
        <f>IF('Current Index'!577:577,"AAAAAHb5Oyw=",0)</f>
        <v>0</v>
      </c>
      <c r="AT23" t="e">
        <f>AND('Current Index'!A577,"AAAAAHb5Oy0=")</f>
        <v>#VALUE!</v>
      </c>
      <c r="AU23" t="e">
        <f>AND('Current Index'!#REF!,"AAAAAHb5Oy4=")</f>
        <v>#REF!</v>
      </c>
      <c r="AV23" t="e">
        <f>AND('Current Index'!B577,"AAAAAHb5Oy8=")</f>
        <v>#VALUE!</v>
      </c>
      <c r="AW23" t="e">
        <f>AND('Current Index'!C577,"AAAAAHb5OzA=")</f>
        <v>#VALUE!</v>
      </c>
      <c r="AX23" t="e">
        <f>AND('Current Index'!D577,"AAAAAHb5OzE=")</f>
        <v>#VALUE!</v>
      </c>
      <c r="AY23" t="e">
        <f>AND('Current Index'!E577,"AAAAAHb5OzI=")</f>
        <v>#VALUE!</v>
      </c>
      <c r="AZ23" t="e">
        <f>AND('Current Index'!F577,"AAAAAHb5OzM=")</f>
        <v>#VALUE!</v>
      </c>
      <c r="BA23" t="e">
        <f>AND('Current Index'!G577,"AAAAAHb5OzQ=")</f>
        <v>#VALUE!</v>
      </c>
      <c r="BB23" t="e">
        <f>AND('Current Index'!H577,"AAAAAHb5OzU=")</f>
        <v>#VALUE!</v>
      </c>
      <c r="BC23" t="e">
        <f>AND('Current Index'!I577,"AAAAAHb5OzY=")</f>
        <v>#VALUE!</v>
      </c>
      <c r="BD23">
        <f>IF('Current Index'!578:578,"AAAAAHb5Ozc=",0)</f>
        <v>0</v>
      </c>
      <c r="BE23" t="e">
        <f>AND('Current Index'!A578,"AAAAAHb5Ozg=")</f>
        <v>#VALUE!</v>
      </c>
      <c r="BF23" t="e">
        <f>AND('Current Index'!#REF!,"AAAAAHb5Ozk=")</f>
        <v>#REF!</v>
      </c>
      <c r="BG23" t="e">
        <f>AND('Current Index'!B578,"AAAAAHb5Ozo=")</f>
        <v>#VALUE!</v>
      </c>
      <c r="BH23" t="e">
        <f>AND('Current Index'!C578,"AAAAAHb5Ozs=")</f>
        <v>#VALUE!</v>
      </c>
      <c r="BI23" t="e">
        <f>AND('Current Index'!D578,"AAAAAHb5Ozw=")</f>
        <v>#VALUE!</v>
      </c>
      <c r="BJ23" t="e">
        <f>AND('Current Index'!E578,"AAAAAHb5Oz0=")</f>
        <v>#VALUE!</v>
      </c>
      <c r="BK23" t="e">
        <f>AND('Current Index'!F578,"AAAAAHb5Oz4=")</f>
        <v>#VALUE!</v>
      </c>
      <c r="BL23" t="e">
        <f>AND('Current Index'!G578,"AAAAAHb5Oz8=")</f>
        <v>#VALUE!</v>
      </c>
      <c r="BM23" t="e">
        <f>AND('Current Index'!H578,"AAAAAHb5O0A=")</f>
        <v>#VALUE!</v>
      </c>
      <c r="BN23" t="e">
        <f>AND('Current Index'!I578,"AAAAAHb5O0E=")</f>
        <v>#VALUE!</v>
      </c>
      <c r="BO23">
        <f>IF('Current Index'!579:579,"AAAAAHb5O0I=",0)</f>
        <v>0</v>
      </c>
      <c r="BP23" t="e">
        <f>AND('Current Index'!A579,"AAAAAHb5O0M=")</f>
        <v>#VALUE!</v>
      </c>
      <c r="BQ23" t="e">
        <f>AND('Current Index'!#REF!,"AAAAAHb5O0Q=")</f>
        <v>#REF!</v>
      </c>
      <c r="BR23" t="e">
        <f>AND('Current Index'!B579,"AAAAAHb5O0U=")</f>
        <v>#VALUE!</v>
      </c>
      <c r="BS23" t="e">
        <f>AND('Current Index'!C579,"AAAAAHb5O0Y=")</f>
        <v>#VALUE!</v>
      </c>
      <c r="BT23" t="e">
        <f>AND('Current Index'!D579,"AAAAAHb5O0c=")</f>
        <v>#VALUE!</v>
      </c>
      <c r="BU23" t="e">
        <f>AND('Current Index'!E579,"AAAAAHb5O0g=")</f>
        <v>#VALUE!</v>
      </c>
      <c r="BV23" t="e">
        <f>AND('Current Index'!F579,"AAAAAHb5O0k=")</f>
        <v>#VALUE!</v>
      </c>
      <c r="BW23" t="e">
        <f>AND('Current Index'!G579,"AAAAAHb5O0o=")</f>
        <v>#VALUE!</v>
      </c>
      <c r="BX23" t="e">
        <f>AND('Current Index'!H579,"AAAAAHb5O0s=")</f>
        <v>#VALUE!</v>
      </c>
      <c r="BY23" t="e">
        <f>AND('Current Index'!I579,"AAAAAHb5O0w=")</f>
        <v>#VALUE!</v>
      </c>
      <c r="BZ23">
        <f>IF('Current Index'!580:580,"AAAAAHb5O00=",0)</f>
        <v>0</v>
      </c>
      <c r="CA23" t="e">
        <f>AND('Current Index'!A580,"AAAAAHb5O04=")</f>
        <v>#VALUE!</v>
      </c>
      <c r="CB23" t="e">
        <f>AND('Current Index'!#REF!,"AAAAAHb5O08=")</f>
        <v>#REF!</v>
      </c>
      <c r="CC23" t="e">
        <f>AND('Current Index'!B580,"AAAAAHb5O1A=")</f>
        <v>#VALUE!</v>
      </c>
      <c r="CD23" t="e">
        <f>AND('Current Index'!C580,"AAAAAHb5O1E=")</f>
        <v>#VALUE!</v>
      </c>
      <c r="CE23" t="e">
        <f>AND('Current Index'!D580,"AAAAAHb5O1I=")</f>
        <v>#VALUE!</v>
      </c>
      <c r="CF23" t="e">
        <f>AND('Current Index'!E580,"AAAAAHb5O1M=")</f>
        <v>#VALUE!</v>
      </c>
      <c r="CG23" t="e">
        <f>AND('Current Index'!F580,"AAAAAHb5O1Q=")</f>
        <v>#VALUE!</v>
      </c>
      <c r="CH23" t="e">
        <f>AND('Current Index'!G580,"AAAAAHb5O1U=")</f>
        <v>#VALUE!</v>
      </c>
      <c r="CI23" t="e">
        <f>AND('Current Index'!H580,"AAAAAHb5O1Y=")</f>
        <v>#VALUE!</v>
      </c>
      <c r="CJ23" t="e">
        <f>AND('Current Index'!I580,"AAAAAHb5O1c=")</f>
        <v>#VALUE!</v>
      </c>
      <c r="CK23">
        <f>IF('Current Index'!582:582,"AAAAAHb5O1g=",0)</f>
        <v>0</v>
      </c>
      <c r="CL23" t="e">
        <f>AND('Current Index'!A582,"AAAAAHb5O1k=")</f>
        <v>#VALUE!</v>
      </c>
      <c r="CM23" t="e">
        <f>AND('Current Index'!#REF!,"AAAAAHb5O1o=")</f>
        <v>#REF!</v>
      </c>
      <c r="CN23" t="e">
        <f>AND('Current Index'!B582,"AAAAAHb5O1s=")</f>
        <v>#VALUE!</v>
      </c>
      <c r="CO23" t="e">
        <f>AND('Current Index'!C582,"AAAAAHb5O1w=")</f>
        <v>#VALUE!</v>
      </c>
      <c r="CP23" t="e">
        <f>AND('Current Index'!D582,"AAAAAHb5O10=")</f>
        <v>#VALUE!</v>
      </c>
      <c r="CQ23" t="e">
        <f>AND('Current Index'!E582,"AAAAAHb5O14=")</f>
        <v>#VALUE!</v>
      </c>
      <c r="CR23" t="e">
        <f>AND('Current Index'!F582,"AAAAAHb5O18=")</f>
        <v>#VALUE!</v>
      </c>
      <c r="CS23" t="e">
        <f>AND('Current Index'!G582,"AAAAAHb5O2A=")</f>
        <v>#VALUE!</v>
      </c>
      <c r="CT23" t="e">
        <f>AND('Current Index'!H582,"AAAAAHb5O2E=")</f>
        <v>#VALUE!</v>
      </c>
      <c r="CU23" t="e">
        <f>AND('Current Index'!I582,"AAAAAHb5O2I=")</f>
        <v>#VALUE!</v>
      </c>
      <c r="CV23">
        <f>IF('Current Index'!583:583,"AAAAAHb5O2M=",0)</f>
        <v>0</v>
      </c>
      <c r="CW23" t="e">
        <f>AND('Current Index'!A583,"AAAAAHb5O2Q=")</f>
        <v>#VALUE!</v>
      </c>
      <c r="CX23" t="e">
        <f>AND('Current Index'!#REF!,"AAAAAHb5O2U=")</f>
        <v>#REF!</v>
      </c>
      <c r="CY23" t="e">
        <f>AND('Current Index'!B583,"AAAAAHb5O2Y=")</f>
        <v>#VALUE!</v>
      </c>
      <c r="CZ23" t="e">
        <f>AND('Current Index'!C583,"AAAAAHb5O2c=")</f>
        <v>#VALUE!</v>
      </c>
      <c r="DA23" t="e">
        <f>AND('Current Index'!D583,"AAAAAHb5O2g=")</f>
        <v>#VALUE!</v>
      </c>
      <c r="DB23" t="e">
        <f>AND('Current Index'!E583,"AAAAAHb5O2k=")</f>
        <v>#VALUE!</v>
      </c>
      <c r="DC23" t="e">
        <f>AND('Current Index'!F583,"AAAAAHb5O2o=")</f>
        <v>#VALUE!</v>
      </c>
      <c r="DD23" t="e">
        <f>AND('Current Index'!G583,"AAAAAHb5O2s=")</f>
        <v>#VALUE!</v>
      </c>
      <c r="DE23" t="e">
        <f>AND('Current Index'!H583,"AAAAAHb5O2w=")</f>
        <v>#VALUE!</v>
      </c>
      <c r="DF23" t="e">
        <f>AND('Current Index'!I583,"AAAAAHb5O20=")</f>
        <v>#VALUE!</v>
      </c>
      <c r="DG23">
        <f>IF('Current Index'!584:584,"AAAAAHb5O24=",0)</f>
        <v>0</v>
      </c>
      <c r="DH23" t="e">
        <f>AND('Current Index'!A584,"AAAAAHb5O28=")</f>
        <v>#VALUE!</v>
      </c>
      <c r="DI23" t="e">
        <f>AND('Current Index'!#REF!,"AAAAAHb5O3A=")</f>
        <v>#REF!</v>
      </c>
      <c r="DJ23" t="e">
        <f>AND('Current Index'!B584,"AAAAAHb5O3E=")</f>
        <v>#VALUE!</v>
      </c>
      <c r="DK23" t="e">
        <f>AND('Current Index'!C584,"AAAAAHb5O3I=")</f>
        <v>#VALUE!</v>
      </c>
      <c r="DL23" t="e">
        <f>AND('Current Index'!D584,"AAAAAHb5O3M=")</f>
        <v>#VALUE!</v>
      </c>
      <c r="DM23" t="e">
        <f>AND('Current Index'!E584,"AAAAAHb5O3Q=")</f>
        <v>#VALUE!</v>
      </c>
      <c r="DN23" t="e">
        <f>AND('Current Index'!F584,"AAAAAHb5O3U=")</f>
        <v>#VALUE!</v>
      </c>
      <c r="DO23" t="e">
        <f>AND('Current Index'!G584,"AAAAAHb5O3Y=")</f>
        <v>#VALUE!</v>
      </c>
      <c r="DP23" t="e">
        <f>AND('Current Index'!H584,"AAAAAHb5O3c=")</f>
        <v>#VALUE!</v>
      </c>
      <c r="DQ23" t="e">
        <f>AND('Current Index'!I584,"AAAAAHb5O3g=")</f>
        <v>#VALUE!</v>
      </c>
      <c r="DR23">
        <f>IF('Current Index'!585:585,"AAAAAHb5O3k=",0)</f>
        <v>0</v>
      </c>
      <c r="DS23" t="e">
        <f>AND('Current Index'!A585,"AAAAAHb5O3o=")</f>
        <v>#VALUE!</v>
      </c>
      <c r="DT23" t="e">
        <f>AND('Current Index'!#REF!,"AAAAAHb5O3s=")</f>
        <v>#REF!</v>
      </c>
      <c r="DU23" t="e">
        <f>AND('Current Index'!B585,"AAAAAHb5O3w=")</f>
        <v>#VALUE!</v>
      </c>
      <c r="DV23" t="e">
        <f>AND('Current Index'!C585,"AAAAAHb5O30=")</f>
        <v>#VALUE!</v>
      </c>
      <c r="DW23" t="e">
        <f>AND('Current Index'!D585,"AAAAAHb5O34=")</f>
        <v>#VALUE!</v>
      </c>
      <c r="DX23" t="e">
        <f>AND('Current Index'!E585,"AAAAAHb5O38=")</f>
        <v>#VALUE!</v>
      </c>
      <c r="DY23" t="e">
        <f>AND('Current Index'!F585,"AAAAAHb5O4A=")</f>
        <v>#VALUE!</v>
      </c>
      <c r="DZ23" t="e">
        <f>AND('Current Index'!G585,"AAAAAHb5O4E=")</f>
        <v>#VALUE!</v>
      </c>
      <c r="EA23" t="e">
        <f>AND('Current Index'!H585,"AAAAAHb5O4I=")</f>
        <v>#VALUE!</v>
      </c>
      <c r="EB23" t="e">
        <f>AND('Current Index'!I585,"AAAAAHb5O4M=")</f>
        <v>#VALUE!</v>
      </c>
      <c r="EC23">
        <f>IF('Current Index'!586:586,"AAAAAHb5O4Q=",0)</f>
        <v>0</v>
      </c>
      <c r="ED23" t="e">
        <f>AND('Current Index'!A586,"AAAAAHb5O4U=")</f>
        <v>#VALUE!</v>
      </c>
      <c r="EE23" t="e">
        <f>AND('Current Index'!#REF!,"AAAAAHb5O4Y=")</f>
        <v>#REF!</v>
      </c>
      <c r="EF23" t="e">
        <f>AND('Current Index'!B586,"AAAAAHb5O4c=")</f>
        <v>#VALUE!</v>
      </c>
      <c r="EG23" t="e">
        <f>AND('Current Index'!C586,"AAAAAHb5O4g=")</f>
        <v>#VALUE!</v>
      </c>
      <c r="EH23" t="e">
        <f>AND('Current Index'!D586,"AAAAAHb5O4k=")</f>
        <v>#VALUE!</v>
      </c>
      <c r="EI23" t="e">
        <f>AND('Current Index'!E586,"AAAAAHb5O4o=")</f>
        <v>#VALUE!</v>
      </c>
      <c r="EJ23" t="e">
        <f>AND('Current Index'!F586,"AAAAAHb5O4s=")</f>
        <v>#VALUE!</v>
      </c>
      <c r="EK23" t="e">
        <f>AND('Current Index'!G586,"AAAAAHb5O4w=")</f>
        <v>#VALUE!</v>
      </c>
      <c r="EL23" t="e">
        <f>AND('Current Index'!H586,"AAAAAHb5O40=")</f>
        <v>#VALUE!</v>
      </c>
      <c r="EM23" t="e">
        <f>AND('Current Index'!I586,"AAAAAHb5O44=")</f>
        <v>#VALUE!</v>
      </c>
      <c r="EN23">
        <f>IF('Current Index'!587:587,"AAAAAHb5O48=",0)</f>
        <v>0</v>
      </c>
      <c r="EO23" t="e">
        <f>AND('Current Index'!A587,"AAAAAHb5O5A=")</f>
        <v>#VALUE!</v>
      </c>
      <c r="EP23" t="e">
        <f>AND('Current Index'!#REF!,"AAAAAHb5O5E=")</f>
        <v>#REF!</v>
      </c>
      <c r="EQ23" t="e">
        <f>AND('Current Index'!B587,"AAAAAHb5O5I=")</f>
        <v>#VALUE!</v>
      </c>
      <c r="ER23" t="e">
        <f>AND('Current Index'!C587,"AAAAAHb5O5M=")</f>
        <v>#VALUE!</v>
      </c>
      <c r="ES23" t="e">
        <f>AND('Current Index'!D587,"AAAAAHb5O5Q=")</f>
        <v>#VALUE!</v>
      </c>
      <c r="ET23" t="e">
        <f>AND('Current Index'!E587,"AAAAAHb5O5U=")</f>
        <v>#VALUE!</v>
      </c>
      <c r="EU23" t="e">
        <f>AND('Current Index'!F587,"AAAAAHb5O5Y=")</f>
        <v>#VALUE!</v>
      </c>
      <c r="EV23" t="e">
        <f>AND('Current Index'!G587,"AAAAAHb5O5c=")</f>
        <v>#VALUE!</v>
      </c>
      <c r="EW23" t="e">
        <f>AND('Current Index'!H587,"AAAAAHb5O5g=")</f>
        <v>#VALUE!</v>
      </c>
      <c r="EX23" t="e">
        <f>AND('Current Index'!I587,"AAAAAHb5O5k=")</f>
        <v>#VALUE!</v>
      </c>
      <c r="EY23">
        <f>IF('Current Index'!588:588,"AAAAAHb5O5o=",0)</f>
        <v>0</v>
      </c>
      <c r="EZ23" t="e">
        <f>AND('Current Index'!A588,"AAAAAHb5O5s=")</f>
        <v>#VALUE!</v>
      </c>
      <c r="FA23" t="e">
        <f>AND('Current Index'!#REF!,"AAAAAHb5O5w=")</f>
        <v>#REF!</v>
      </c>
      <c r="FB23" t="e">
        <f>AND('Current Index'!B588,"AAAAAHb5O50=")</f>
        <v>#VALUE!</v>
      </c>
      <c r="FC23" t="e">
        <f>AND('Current Index'!C588,"AAAAAHb5O54=")</f>
        <v>#VALUE!</v>
      </c>
      <c r="FD23" t="e">
        <f>AND('Current Index'!D588,"AAAAAHb5O58=")</f>
        <v>#VALUE!</v>
      </c>
      <c r="FE23" t="e">
        <f>AND('Current Index'!E588,"AAAAAHb5O6A=")</f>
        <v>#VALUE!</v>
      </c>
      <c r="FF23" t="e">
        <f>AND('Current Index'!F588,"AAAAAHb5O6E=")</f>
        <v>#VALUE!</v>
      </c>
      <c r="FG23" t="e">
        <f>AND('Current Index'!G588,"AAAAAHb5O6I=")</f>
        <v>#VALUE!</v>
      </c>
      <c r="FH23" t="e">
        <f>AND('Current Index'!H588,"AAAAAHb5O6M=")</f>
        <v>#VALUE!</v>
      </c>
      <c r="FI23" t="e">
        <f>AND('Current Index'!I588,"AAAAAHb5O6Q=")</f>
        <v>#VALUE!</v>
      </c>
      <c r="FJ23">
        <f>IF('Current Index'!589:589,"AAAAAHb5O6U=",0)</f>
        <v>0</v>
      </c>
      <c r="FK23" t="e">
        <f>AND('Current Index'!A589,"AAAAAHb5O6Y=")</f>
        <v>#VALUE!</v>
      </c>
      <c r="FL23" t="e">
        <f>AND('Current Index'!#REF!,"AAAAAHb5O6c=")</f>
        <v>#REF!</v>
      </c>
      <c r="FM23" t="e">
        <f>AND('Current Index'!B589,"AAAAAHb5O6g=")</f>
        <v>#VALUE!</v>
      </c>
      <c r="FN23" t="e">
        <f>AND('Current Index'!C589,"AAAAAHb5O6k=")</f>
        <v>#VALUE!</v>
      </c>
      <c r="FO23" t="e">
        <f>AND('Current Index'!D589,"AAAAAHb5O6o=")</f>
        <v>#VALUE!</v>
      </c>
      <c r="FP23" t="e">
        <f>AND('Current Index'!E589,"AAAAAHb5O6s=")</f>
        <v>#VALUE!</v>
      </c>
      <c r="FQ23" t="e">
        <f>AND('Current Index'!F589,"AAAAAHb5O6w=")</f>
        <v>#VALUE!</v>
      </c>
      <c r="FR23" t="e">
        <f>AND('Current Index'!G589,"AAAAAHb5O60=")</f>
        <v>#VALUE!</v>
      </c>
      <c r="FS23" t="e">
        <f>AND('Current Index'!H589,"AAAAAHb5O64=")</f>
        <v>#VALUE!</v>
      </c>
      <c r="FT23" t="e">
        <f>AND('Current Index'!I589,"AAAAAHb5O68=")</f>
        <v>#VALUE!</v>
      </c>
      <c r="FU23">
        <f>IF('Current Index'!590:590,"AAAAAHb5O7A=",0)</f>
        <v>0</v>
      </c>
      <c r="FV23" t="e">
        <f>AND('Current Index'!A590,"AAAAAHb5O7E=")</f>
        <v>#VALUE!</v>
      </c>
      <c r="FW23" t="e">
        <f>AND('Current Index'!#REF!,"AAAAAHb5O7I=")</f>
        <v>#REF!</v>
      </c>
      <c r="FX23" t="e">
        <f>AND('Current Index'!B590,"AAAAAHb5O7M=")</f>
        <v>#VALUE!</v>
      </c>
      <c r="FY23" t="e">
        <f>AND('Current Index'!C590,"AAAAAHb5O7Q=")</f>
        <v>#VALUE!</v>
      </c>
      <c r="FZ23" t="e">
        <f>AND('Current Index'!D590,"AAAAAHb5O7U=")</f>
        <v>#VALUE!</v>
      </c>
      <c r="GA23" t="e">
        <f>AND('Current Index'!E590,"AAAAAHb5O7Y=")</f>
        <v>#VALUE!</v>
      </c>
      <c r="GB23" t="e">
        <f>AND('Current Index'!F590,"AAAAAHb5O7c=")</f>
        <v>#VALUE!</v>
      </c>
      <c r="GC23" t="e">
        <f>AND('Current Index'!G590,"AAAAAHb5O7g=")</f>
        <v>#VALUE!</v>
      </c>
      <c r="GD23" t="e">
        <f>AND('Current Index'!H590,"AAAAAHb5O7k=")</f>
        <v>#VALUE!</v>
      </c>
      <c r="GE23" t="e">
        <f>AND('Current Index'!I590,"AAAAAHb5O7o=")</f>
        <v>#VALUE!</v>
      </c>
      <c r="GF23">
        <f>IF('Current Index'!591:591,"AAAAAHb5O7s=",0)</f>
        <v>0</v>
      </c>
      <c r="GG23" t="e">
        <f>AND('Current Index'!A591,"AAAAAHb5O7w=")</f>
        <v>#VALUE!</v>
      </c>
      <c r="GH23" t="e">
        <f>AND('Current Index'!#REF!,"AAAAAHb5O70=")</f>
        <v>#REF!</v>
      </c>
      <c r="GI23" t="e">
        <f>AND('Current Index'!B591,"AAAAAHb5O74=")</f>
        <v>#VALUE!</v>
      </c>
      <c r="GJ23" t="e">
        <f>AND('Current Index'!C591,"AAAAAHb5O78=")</f>
        <v>#VALUE!</v>
      </c>
      <c r="GK23" t="e">
        <f>AND('Current Index'!D591,"AAAAAHb5O8A=")</f>
        <v>#VALUE!</v>
      </c>
      <c r="GL23" t="e">
        <f>AND('Current Index'!E591,"AAAAAHb5O8E=")</f>
        <v>#VALUE!</v>
      </c>
      <c r="GM23" t="e">
        <f>AND('Current Index'!F591,"AAAAAHb5O8I=")</f>
        <v>#VALUE!</v>
      </c>
      <c r="GN23" t="e">
        <f>AND('Current Index'!G591,"AAAAAHb5O8M=")</f>
        <v>#VALUE!</v>
      </c>
      <c r="GO23" t="e">
        <f>AND('Current Index'!H591,"AAAAAHb5O8Q=")</f>
        <v>#VALUE!</v>
      </c>
      <c r="GP23" t="e">
        <f>AND('Current Index'!I591,"AAAAAHb5O8U=")</f>
        <v>#VALUE!</v>
      </c>
      <c r="GQ23">
        <f>IF('Current Index'!592:592,"AAAAAHb5O8Y=",0)</f>
        <v>0</v>
      </c>
      <c r="GR23" t="e">
        <f>AND('Current Index'!A592,"AAAAAHb5O8c=")</f>
        <v>#VALUE!</v>
      </c>
      <c r="GS23" t="e">
        <f>AND('Current Index'!#REF!,"AAAAAHb5O8g=")</f>
        <v>#REF!</v>
      </c>
      <c r="GT23" t="e">
        <f>AND('Current Index'!B592,"AAAAAHb5O8k=")</f>
        <v>#VALUE!</v>
      </c>
      <c r="GU23" t="e">
        <f>AND('Current Index'!C592,"AAAAAHb5O8o=")</f>
        <v>#VALUE!</v>
      </c>
      <c r="GV23" t="e">
        <f>AND('Current Index'!D592,"AAAAAHb5O8s=")</f>
        <v>#VALUE!</v>
      </c>
      <c r="GW23" t="e">
        <f>AND('Current Index'!E592,"AAAAAHb5O8w=")</f>
        <v>#VALUE!</v>
      </c>
      <c r="GX23" t="e">
        <f>AND('Current Index'!F592,"AAAAAHb5O80=")</f>
        <v>#VALUE!</v>
      </c>
      <c r="GY23" t="e">
        <f>AND('Current Index'!G592,"AAAAAHb5O84=")</f>
        <v>#VALUE!</v>
      </c>
      <c r="GZ23" t="e">
        <f>AND('Current Index'!H592,"AAAAAHb5O88=")</f>
        <v>#VALUE!</v>
      </c>
      <c r="HA23" t="e">
        <f>AND('Current Index'!I592,"AAAAAHb5O9A=")</f>
        <v>#VALUE!</v>
      </c>
      <c r="HB23">
        <f>IF('Current Index'!593:593,"AAAAAHb5O9E=",0)</f>
        <v>0</v>
      </c>
      <c r="HC23" t="e">
        <f>AND('Current Index'!A593,"AAAAAHb5O9I=")</f>
        <v>#VALUE!</v>
      </c>
      <c r="HD23" t="e">
        <f>AND('Current Index'!#REF!,"AAAAAHb5O9M=")</f>
        <v>#REF!</v>
      </c>
      <c r="HE23" t="e">
        <f>AND('Current Index'!B593,"AAAAAHb5O9Q=")</f>
        <v>#VALUE!</v>
      </c>
      <c r="HF23" t="e">
        <f>AND('Current Index'!C593,"AAAAAHb5O9U=")</f>
        <v>#VALUE!</v>
      </c>
      <c r="HG23" t="e">
        <f>AND('Current Index'!D593,"AAAAAHb5O9Y=")</f>
        <v>#VALUE!</v>
      </c>
      <c r="HH23" t="e">
        <f>AND('Current Index'!E593,"AAAAAHb5O9c=")</f>
        <v>#VALUE!</v>
      </c>
      <c r="HI23" t="e">
        <f>AND('Current Index'!F593,"AAAAAHb5O9g=")</f>
        <v>#VALUE!</v>
      </c>
      <c r="HJ23" t="e">
        <f>AND('Current Index'!G593,"AAAAAHb5O9k=")</f>
        <v>#VALUE!</v>
      </c>
      <c r="HK23" t="e">
        <f>AND('Current Index'!H593,"AAAAAHb5O9o=")</f>
        <v>#VALUE!</v>
      </c>
      <c r="HL23" t="e">
        <f>AND('Current Index'!I593,"AAAAAHb5O9s=")</f>
        <v>#VALUE!</v>
      </c>
      <c r="HM23">
        <f>IF('Current Index'!594:594,"AAAAAHb5O9w=",0)</f>
        <v>0</v>
      </c>
      <c r="HN23" t="e">
        <f>AND('Current Index'!A594,"AAAAAHb5O90=")</f>
        <v>#VALUE!</v>
      </c>
      <c r="HO23" t="e">
        <f>AND('Current Index'!#REF!,"AAAAAHb5O94=")</f>
        <v>#REF!</v>
      </c>
      <c r="HP23" t="e">
        <f>AND('Current Index'!B594,"AAAAAHb5O98=")</f>
        <v>#VALUE!</v>
      </c>
      <c r="HQ23" t="e">
        <f>AND('Current Index'!C594,"AAAAAHb5O+A=")</f>
        <v>#VALUE!</v>
      </c>
      <c r="HR23" t="e">
        <f>AND('Current Index'!D594,"AAAAAHb5O+E=")</f>
        <v>#VALUE!</v>
      </c>
      <c r="HS23" t="e">
        <f>AND('Current Index'!E594,"AAAAAHb5O+I=")</f>
        <v>#VALUE!</v>
      </c>
      <c r="HT23" t="e">
        <f>AND('Current Index'!F594,"AAAAAHb5O+M=")</f>
        <v>#VALUE!</v>
      </c>
      <c r="HU23" t="e">
        <f>AND('Current Index'!G594,"AAAAAHb5O+Q=")</f>
        <v>#VALUE!</v>
      </c>
      <c r="HV23" t="e">
        <f>AND('Current Index'!H594,"AAAAAHb5O+U=")</f>
        <v>#VALUE!</v>
      </c>
      <c r="HW23" t="e">
        <f>AND('Current Index'!I594,"AAAAAHb5O+Y=")</f>
        <v>#VALUE!</v>
      </c>
      <c r="HX23">
        <f>IF('Current Index'!595:595,"AAAAAHb5O+c=",0)</f>
        <v>0</v>
      </c>
      <c r="HY23" t="e">
        <f>AND('Current Index'!A595,"AAAAAHb5O+g=")</f>
        <v>#VALUE!</v>
      </c>
      <c r="HZ23" t="e">
        <f>AND('Current Index'!#REF!,"AAAAAHb5O+k=")</f>
        <v>#REF!</v>
      </c>
      <c r="IA23" t="e">
        <f>AND('Current Index'!B595,"AAAAAHb5O+o=")</f>
        <v>#VALUE!</v>
      </c>
      <c r="IB23" t="e">
        <f>AND('Current Index'!C595,"AAAAAHb5O+s=")</f>
        <v>#VALUE!</v>
      </c>
      <c r="IC23" t="e">
        <f>AND('Current Index'!D595,"AAAAAHb5O+w=")</f>
        <v>#VALUE!</v>
      </c>
      <c r="ID23" t="e">
        <f>AND('Current Index'!E595,"AAAAAHb5O+0=")</f>
        <v>#VALUE!</v>
      </c>
      <c r="IE23" t="e">
        <f>AND('Current Index'!F595,"AAAAAHb5O+4=")</f>
        <v>#VALUE!</v>
      </c>
      <c r="IF23" t="e">
        <f>AND('Current Index'!G595,"AAAAAHb5O+8=")</f>
        <v>#VALUE!</v>
      </c>
      <c r="IG23" t="e">
        <f>AND('Current Index'!H595,"AAAAAHb5O/A=")</f>
        <v>#VALUE!</v>
      </c>
      <c r="IH23" t="e">
        <f>AND('Current Index'!I595,"AAAAAHb5O/E=")</f>
        <v>#VALUE!</v>
      </c>
      <c r="II23">
        <f>IF('Current Index'!596:596,"AAAAAHb5O/I=",0)</f>
        <v>0</v>
      </c>
      <c r="IJ23" t="e">
        <f>AND('Current Index'!A596,"AAAAAHb5O/M=")</f>
        <v>#VALUE!</v>
      </c>
      <c r="IK23" t="e">
        <f>AND('Current Index'!#REF!,"AAAAAHb5O/Q=")</f>
        <v>#REF!</v>
      </c>
      <c r="IL23" t="e">
        <f>AND('Current Index'!B596,"AAAAAHb5O/U=")</f>
        <v>#VALUE!</v>
      </c>
      <c r="IM23" t="e">
        <f>AND('Current Index'!C596,"AAAAAHb5O/Y=")</f>
        <v>#VALUE!</v>
      </c>
      <c r="IN23" t="e">
        <f>AND('Current Index'!D596,"AAAAAHb5O/c=")</f>
        <v>#VALUE!</v>
      </c>
      <c r="IO23" t="e">
        <f>AND('Current Index'!E596,"AAAAAHb5O/g=")</f>
        <v>#VALUE!</v>
      </c>
      <c r="IP23" t="e">
        <f>AND('Current Index'!F596,"AAAAAHb5O/k=")</f>
        <v>#VALUE!</v>
      </c>
      <c r="IQ23" t="e">
        <f>AND('Current Index'!G596,"AAAAAHb5O/o=")</f>
        <v>#VALUE!</v>
      </c>
      <c r="IR23" t="e">
        <f>AND('Current Index'!H596,"AAAAAHb5O/s=")</f>
        <v>#VALUE!</v>
      </c>
      <c r="IS23" t="e">
        <f>AND('Current Index'!I596,"AAAAAHb5O/w=")</f>
        <v>#VALUE!</v>
      </c>
      <c r="IT23">
        <f>IF('Current Index'!597:597,"AAAAAHb5O/0=",0)</f>
        <v>0</v>
      </c>
      <c r="IU23" t="e">
        <f>AND('Current Index'!A597,"AAAAAHb5O/4=")</f>
        <v>#VALUE!</v>
      </c>
      <c r="IV23" t="e">
        <f>AND('Current Index'!#REF!,"AAAAAHb5O/8=")</f>
        <v>#REF!</v>
      </c>
    </row>
    <row r="24" spans="1:256" x14ac:dyDescent="0.25">
      <c r="A24" t="e">
        <f>AND('Current Index'!B597,"AAAAAC//lgA=")</f>
        <v>#VALUE!</v>
      </c>
      <c r="B24" t="e">
        <f>AND('Current Index'!C597,"AAAAAC//lgE=")</f>
        <v>#VALUE!</v>
      </c>
      <c r="C24" t="e">
        <f>AND('Current Index'!D597,"AAAAAC//lgI=")</f>
        <v>#VALUE!</v>
      </c>
      <c r="D24" t="e">
        <f>AND('Current Index'!E597,"AAAAAC//lgM=")</f>
        <v>#VALUE!</v>
      </c>
      <c r="E24" t="e">
        <f>AND('Current Index'!F597,"AAAAAC//lgQ=")</f>
        <v>#VALUE!</v>
      </c>
      <c r="F24" t="e">
        <f>AND('Current Index'!G597,"AAAAAC//lgU=")</f>
        <v>#VALUE!</v>
      </c>
      <c r="G24" t="e">
        <f>AND('Current Index'!H597,"AAAAAC//lgY=")</f>
        <v>#VALUE!</v>
      </c>
      <c r="H24" t="e">
        <f>AND('Current Index'!I597,"AAAAAC//lgc=")</f>
        <v>#VALUE!</v>
      </c>
      <c r="I24">
        <f>IF('Current Index'!599:599,"AAAAAC//lgg=",0)</f>
        <v>0</v>
      </c>
      <c r="J24" t="e">
        <f>AND('Current Index'!A599,"AAAAAC//lgk=")</f>
        <v>#VALUE!</v>
      </c>
      <c r="K24" t="e">
        <f>AND('Current Index'!#REF!,"AAAAAC//lgo=")</f>
        <v>#REF!</v>
      </c>
      <c r="L24" t="e">
        <f>AND('Current Index'!B599,"AAAAAC//lgs=")</f>
        <v>#VALUE!</v>
      </c>
      <c r="M24" t="e">
        <f>AND('Current Index'!C599,"AAAAAC//lgw=")</f>
        <v>#VALUE!</v>
      </c>
      <c r="N24" t="e">
        <f>AND('Current Index'!D599,"AAAAAC//lg0=")</f>
        <v>#VALUE!</v>
      </c>
      <c r="O24" t="e">
        <f>AND('Current Index'!E599,"AAAAAC//lg4=")</f>
        <v>#VALUE!</v>
      </c>
      <c r="P24" t="e">
        <f>AND('Current Index'!F599,"AAAAAC//lg8=")</f>
        <v>#VALUE!</v>
      </c>
      <c r="Q24" t="e">
        <f>AND('Current Index'!G599,"AAAAAC//lhA=")</f>
        <v>#VALUE!</v>
      </c>
      <c r="R24" t="e">
        <f>AND('Current Index'!H599,"AAAAAC//lhE=")</f>
        <v>#VALUE!</v>
      </c>
      <c r="S24" t="e">
        <f>AND('Current Index'!I599,"AAAAAC//lhI=")</f>
        <v>#VALUE!</v>
      </c>
      <c r="T24">
        <f>IF('Current Index'!600:600,"AAAAAC//lhM=",0)</f>
        <v>0</v>
      </c>
      <c r="U24" t="e">
        <f>AND('Current Index'!A600,"AAAAAC//lhQ=")</f>
        <v>#VALUE!</v>
      </c>
      <c r="V24" t="e">
        <f>AND('Current Index'!#REF!,"AAAAAC//lhU=")</f>
        <v>#REF!</v>
      </c>
      <c r="W24" t="e">
        <f>AND('Current Index'!B600,"AAAAAC//lhY=")</f>
        <v>#VALUE!</v>
      </c>
      <c r="X24" t="e">
        <f>AND('Current Index'!C600,"AAAAAC//lhc=")</f>
        <v>#VALUE!</v>
      </c>
      <c r="Y24" t="e">
        <f>AND('Current Index'!D600,"AAAAAC//lhg=")</f>
        <v>#VALUE!</v>
      </c>
      <c r="Z24" t="e">
        <f>AND('Current Index'!E600,"AAAAAC//lhk=")</f>
        <v>#VALUE!</v>
      </c>
      <c r="AA24" t="e">
        <f>AND('Current Index'!F600,"AAAAAC//lho=")</f>
        <v>#VALUE!</v>
      </c>
      <c r="AB24" t="e">
        <f>AND('Current Index'!G600,"AAAAAC//lhs=")</f>
        <v>#VALUE!</v>
      </c>
      <c r="AC24" t="e">
        <f>AND('Current Index'!H600,"AAAAAC//lhw=")</f>
        <v>#VALUE!</v>
      </c>
      <c r="AD24" t="e">
        <f>AND('Current Index'!I600,"AAAAAC//lh0=")</f>
        <v>#VALUE!</v>
      </c>
      <c r="AE24">
        <f>IF('Current Index'!601:601,"AAAAAC//lh4=",0)</f>
        <v>0</v>
      </c>
      <c r="AF24" t="e">
        <f>AND('Current Index'!A601,"AAAAAC//lh8=")</f>
        <v>#VALUE!</v>
      </c>
      <c r="AG24" t="e">
        <f>AND('Current Index'!#REF!,"AAAAAC//liA=")</f>
        <v>#REF!</v>
      </c>
      <c r="AH24" t="e">
        <f>AND('Current Index'!B601,"AAAAAC//liE=")</f>
        <v>#VALUE!</v>
      </c>
      <c r="AI24" t="e">
        <f>AND('Current Index'!C601,"AAAAAC//liI=")</f>
        <v>#VALUE!</v>
      </c>
      <c r="AJ24" t="e">
        <f>AND('Current Index'!D601,"AAAAAC//liM=")</f>
        <v>#VALUE!</v>
      </c>
      <c r="AK24" t="e">
        <f>AND('Current Index'!E601,"AAAAAC//liQ=")</f>
        <v>#VALUE!</v>
      </c>
      <c r="AL24" t="e">
        <f>AND('Current Index'!F601,"AAAAAC//liU=")</f>
        <v>#VALUE!</v>
      </c>
      <c r="AM24" t="e">
        <f>AND('Current Index'!G601,"AAAAAC//liY=")</f>
        <v>#VALUE!</v>
      </c>
      <c r="AN24" t="e">
        <f>AND('Current Index'!H601,"AAAAAC//lic=")</f>
        <v>#VALUE!</v>
      </c>
      <c r="AO24" t="e">
        <f>AND('Current Index'!I601,"AAAAAC//lig=")</f>
        <v>#VALUE!</v>
      </c>
      <c r="AP24">
        <f>IF('Current Index'!602:602,"AAAAAC//lik=",0)</f>
        <v>0</v>
      </c>
      <c r="AQ24" t="e">
        <f>AND('Current Index'!A602,"AAAAAC//lio=")</f>
        <v>#VALUE!</v>
      </c>
      <c r="AR24" t="e">
        <f>AND('Current Index'!#REF!,"AAAAAC//lis=")</f>
        <v>#REF!</v>
      </c>
      <c r="AS24" t="e">
        <f>AND('Current Index'!B602,"AAAAAC//liw=")</f>
        <v>#VALUE!</v>
      </c>
      <c r="AT24" t="e">
        <f>AND('Current Index'!C602,"AAAAAC//li0=")</f>
        <v>#VALUE!</v>
      </c>
      <c r="AU24" t="e">
        <f>AND('Current Index'!D602,"AAAAAC//li4=")</f>
        <v>#VALUE!</v>
      </c>
      <c r="AV24" t="e">
        <f>AND('Current Index'!E602,"AAAAAC//li8=")</f>
        <v>#VALUE!</v>
      </c>
      <c r="AW24" t="e">
        <f>AND('Current Index'!F602,"AAAAAC//ljA=")</f>
        <v>#VALUE!</v>
      </c>
      <c r="AX24" t="e">
        <f>AND('Current Index'!G602,"AAAAAC//ljE=")</f>
        <v>#VALUE!</v>
      </c>
      <c r="AY24" t="e">
        <f>AND('Current Index'!H602,"AAAAAC//ljI=")</f>
        <v>#VALUE!</v>
      </c>
      <c r="AZ24" t="e">
        <f>AND('Current Index'!I602,"AAAAAC//ljM=")</f>
        <v>#VALUE!</v>
      </c>
      <c r="BA24">
        <f>IF('Current Index'!603:603,"AAAAAC//ljQ=",0)</f>
        <v>0</v>
      </c>
      <c r="BB24" t="e">
        <f>AND('Current Index'!A603,"AAAAAC//ljU=")</f>
        <v>#VALUE!</v>
      </c>
      <c r="BC24" t="e">
        <f>AND('Current Index'!#REF!,"AAAAAC//ljY=")</f>
        <v>#REF!</v>
      </c>
      <c r="BD24" t="e">
        <f>AND('Current Index'!B603,"AAAAAC//ljc=")</f>
        <v>#VALUE!</v>
      </c>
      <c r="BE24" t="e">
        <f>AND('Current Index'!C603,"AAAAAC//ljg=")</f>
        <v>#VALUE!</v>
      </c>
      <c r="BF24" t="e">
        <f>AND('Current Index'!D603,"AAAAAC//ljk=")</f>
        <v>#VALUE!</v>
      </c>
      <c r="BG24" t="e">
        <f>AND('Current Index'!E603,"AAAAAC//ljo=")</f>
        <v>#VALUE!</v>
      </c>
      <c r="BH24" t="e">
        <f>AND('Current Index'!F603,"AAAAAC//ljs=")</f>
        <v>#VALUE!</v>
      </c>
      <c r="BI24" t="e">
        <f>AND('Current Index'!G603,"AAAAAC//ljw=")</f>
        <v>#VALUE!</v>
      </c>
      <c r="BJ24" t="e">
        <f>AND('Current Index'!H603,"AAAAAC//lj0=")</f>
        <v>#VALUE!</v>
      </c>
      <c r="BK24" t="e">
        <f>AND('Current Index'!I603,"AAAAAC//lj4=")</f>
        <v>#VALUE!</v>
      </c>
      <c r="BL24">
        <f>IF('Current Index'!604:604,"AAAAAC//lj8=",0)</f>
        <v>0</v>
      </c>
      <c r="BM24" t="e">
        <f>AND('Current Index'!A604,"AAAAAC//lkA=")</f>
        <v>#VALUE!</v>
      </c>
      <c r="BN24" t="e">
        <f>AND('Current Index'!#REF!,"AAAAAC//lkE=")</f>
        <v>#REF!</v>
      </c>
      <c r="BO24" t="e">
        <f>AND('Current Index'!B604,"AAAAAC//lkI=")</f>
        <v>#VALUE!</v>
      </c>
      <c r="BP24" t="e">
        <f>AND('Current Index'!C604,"AAAAAC//lkM=")</f>
        <v>#VALUE!</v>
      </c>
      <c r="BQ24" t="e">
        <f>AND('Current Index'!D604,"AAAAAC//lkQ=")</f>
        <v>#VALUE!</v>
      </c>
      <c r="BR24" t="e">
        <f>AND('Current Index'!E604,"AAAAAC//lkU=")</f>
        <v>#VALUE!</v>
      </c>
      <c r="BS24" t="e">
        <f>AND('Current Index'!F604,"AAAAAC//lkY=")</f>
        <v>#VALUE!</v>
      </c>
      <c r="BT24" t="e">
        <f>AND('Current Index'!G604,"AAAAAC//lkc=")</f>
        <v>#VALUE!</v>
      </c>
      <c r="BU24" t="e">
        <f>AND('Current Index'!H604,"AAAAAC//lkg=")</f>
        <v>#VALUE!</v>
      </c>
      <c r="BV24" t="e">
        <f>AND('Current Index'!I604,"AAAAAC//lkk=")</f>
        <v>#VALUE!</v>
      </c>
      <c r="BW24">
        <f>IF('Current Index'!605:605,"AAAAAC//lko=",0)</f>
        <v>0</v>
      </c>
      <c r="BX24" t="e">
        <f>AND('Current Index'!A605,"AAAAAC//lks=")</f>
        <v>#VALUE!</v>
      </c>
      <c r="BY24" t="e">
        <f>AND('Current Index'!#REF!,"AAAAAC//lkw=")</f>
        <v>#REF!</v>
      </c>
      <c r="BZ24" t="e">
        <f>AND('Current Index'!B605,"AAAAAC//lk0=")</f>
        <v>#VALUE!</v>
      </c>
      <c r="CA24" t="e">
        <f>AND('Current Index'!C605,"AAAAAC//lk4=")</f>
        <v>#VALUE!</v>
      </c>
      <c r="CB24" t="e">
        <f>AND('Current Index'!D605,"AAAAAC//lk8=")</f>
        <v>#VALUE!</v>
      </c>
      <c r="CC24" t="e">
        <f>AND('Current Index'!E605,"AAAAAC//llA=")</f>
        <v>#VALUE!</v>
      </c>
      <c r="CD24" t="e">
        <f>AND('Current Index'!F605,"AAAAAC//llE=")</f>
        <v>#VALUE!</v>
      </c>
      <c r="CE24" t="e">
        <f>AND('Current Index'!G605,"AAAAAC//llI=")</f>
        <v>#VALUE!</v>
      </c>
      <c r="CF24" t="e">
        <f>AND('Current Index'!H605,"AAAAAC//llM=")</f>
        <v>#VALUE!</v>
      </c>
      <c r="CG24" t="e">
        <f>AND('Current Index'!I605,"AAAAAC//llQ=")</f>
        <v>#VALUE!</v>
      </c>
      <c r="CH24">
        <f>IF('Current Index'!606:606,"AAAAAC//llU=",0)</f>
        <v>0</v>
      </c>
      <c r="CI24" t="e">
        <f>AND('Current Index'!A606,"AAAAAC//llY=")</f>
        <v>#VALUE!</v>
      </c>
      <c r="CJ24" t="e">
        <f>AND('Current Index'!#REF!,"AAAAAC//llc=")</f>
        <v>#REF!</v>
      </c>
      <c r="CK24" t="e">
        <f>AND('Current Index'!B606,"AAAAAC//llg=")</f>
        <v>#VALUE!</v>
      </c>
      <c r="CL24" t="e">
        <f>AND('Current Index'!C606,"AAAAAC//llk=")</f>
        <v>#VALUE!</v>
      </c>
      <c r="CM24" t="e">
        <f>AND('Current Index'!D606,"AAAAAC//llo=")</f>
        <v>#VALUE!</v>
      </c>
      <c r="CN24" t="e">
        <f>AND('Current Index'!E606,"AAAAAC//lls=")</f>
        <v>#VALUE!</v>
      </c>
      <c r="CO24" t="e">
        <f>AND('Current Index'!F606,"AAAAAC//llw=")</f>
        <v>#VALUE!</v>
      </c>
      <c r="CP24" t="e">
        <f>AND('Current Index'!G606,"AAAAAC//ll0=")</f>
        <v>#VALUE!</v>
      </c>
      <c r="CQ24" t="e">
        <f>AND('Current Index'!H606,"AAAAAC//ll4=")</f>
        <v>#VALUE!</v>
      </c>
      <c r="CR24" t="e">
        <f>AND('Current Index'!I606,"AAAAAC//ll8=")</f>
        <v>#VALUE!</v>
      </c>
      <c r="CS24">
        <f>IF('Current Index'!607:607,"AAAAAC//lmA=",0)</f>
        <v>0</v>
      </c>
      <c r="CT24" t="e">
        <f>AND('Current Index'!A607,"AAAAAC//lmE=")</f>
        <v>#VALUE!</v>
      </c>
      <c r="CU24" t="e">
        <f>AND('Current Index'!#REF!,"AAAAAC//lmI=")</f>
        <v>#REF!</v>
      </c>
      <c r="CV24" t="e">
        <f>AND('Current Index'!B607,"AAAAAC//lmM=")</f>
        <v>#VALUE!</v>
      </c>
      <c r="CW24" t="e">
        <f>AND('Current Index'!C607,"AAAAAC//lmQ=")</f>
        <v>#VALUE!</v>
      </c>
      <c r="CX24" t="e">
        <f>AND('Current Index'!D607,"AAAAAC//lmU=")</f>
        <v>#VALUE!</v>
      </c>
      <c r="CY24" t="e">
        <f>AND('Current Index'!E607,"AAAAAC//lmY=")</f>
        <v>#VALUE!</v>
      </c>
      <c r="CZ24" t="e">
        <f>AND('Current Index'!F607,"AAAAAC//lmc=")</f>
        <v>#VALUE!</v>
      </c>
      <c r="DA24" t="e">
        <f>AND('Current Index'!G607,"AAAAAC//lmg=")</f>
        <v>#VALUE!</v>
      </c>
      <c r="DB24" t="e">
        <f>AND('Current Index'!H607,"AAAAAC//lmk=")</f>
        <v>#VALUE!</v>
      </c>
      <c r="DC24" t="e">
        <f>AND('Current Index'!I607,"AAAAAC//lmo=")</f>
        <v>#VALUE!</v>
      </c>
      <c r="DD24">
        <f>IF('Current Index'!608:608,"AAAAAC//lms=",0)</f>
        <v>0</v>
      </c>
      <c r="DE24" t="e">
        <f>AND('Current Index'!A608,"AAAAAC//lmw=")</f>
        <v>#VALUE!</v>
      </c>
      <c r="DF24" t="e">
        <f>AND('Current Index'!#REF!,"AAAAAC//lm0=")</f>
        <v>#REF!</v>
      </c>
      <c r="DG24" t="e">
        <f>AND('Current Index'!B608,"AAAAAC//lm4=")</f>
        <v>#VALUE!</v>
      </c>
      <c r="DH24" t="e">
        <f>AND('Current Index'!C608,"AAAAAC//lm8=")</f>
        <v>#VALUE!</v>
      </c>
      <c r="DI24" t="e">
        <f>AND('Current Index'!D608,"AAAAAC//lnA=")</f>
        <v>#VALUE!</v>
      </c>
      <c r="DJ24" t="e">
        <f>AND('Current Index'!E608,"AAAAAC//lnE=")</f>
        <v>#VALUE!</v>
      </c>
      <c r="DK24" t="e">
        <f>AND('Current Index'!F608,"AAAAAC//lnI=")</f>
        <v>#VALUE!</v>
      </c>
      <c r="DL24" t="e">
        <f>AND('Current Index'!G608,"AAAAAC//lnM=")</f>
        <v>#VALUE!</v>
      </c>
      <c r="DM24" t="e">
        <f>AND('Current Index'!H608,"AAAAAC//lnQ=")</f>
        <v>#VALUE!</v>
      </c>
      <c r="DN24" t="e">
        <f>AND('Current Index'!I608,"AAAAAC//lnU=")</f>
        <v>#VALUE!</v>
      </c>
      <c r="DO24" t="e">
        <f>IF('Current Index'!#REF!,"AAAAAC//lnY=",0)</f>
        <v>#REF!</v>
      </c>
      <c r="DP24" t="e">
        <f>AND('Current Index'!#REF!,"AAAAAC//lnc=")</f>
        <v>#REF!</v>
      </c>
      <c r="DQ24" t="e">
        <f>AND('Current Index'!#REF!,"AAAAAC//lng=")</f>
        <v>#REF!</v>
      </c>
      <c r="DR24" t="e">
        <f>AND('Current Index'!#REF!,"AAAAAC//lnk=")</f>
        <v>#REF!</v>
      </c>
      <c r="DS24" t="e">
        <f>AND('Current Index'!#REF!,"AAAAAC//lno=")</f>
        <v>#REF!</v>
      </c>
      <c r="DT24" t="e">
        <f>AND('Current Index'!#REF!,"AAAAAC//lns=")</f>
        <v>#REF!</v>
      </c>
      <c r="DU24" t="e">
        <f>AND('Current Index'!#REF!,"AAAAAC//lnw=")</f>
        <v>#REF!</v>
      </c>
      <c r="DV24" t="e">
        <f>AND('Current Index'!#REF!,"AAAAAC//ln0=")</f>
        <v>#REF!</v>
      </c>
      <c r="DW24" t="e">
        <f>AND('Current Index'!#REF!,"AAAAAC//ln4=")</f>
        <v>#REF!</v>
      </c>
      <c r="DX24" t="e">
        <f>AND('Current Index'!#REF!,"AAAAAC//ln8=")</f>
        <v>#REF!</v>
      </c>
      <c r="DY24" t="e">
        <f>AND('Current Index'!#REF!,"AAAAAC//loA=")</f>
        <v>#REF!</v>
      </c>
      <c r="DZ24">
        <f>IF('Current Index'!609:609,"AAAAAC//loE=",0)</f>
        <v>0</v>
      </c>
      <c r="EA24" t="e">
        <f>AND('Current Index'!A609,"AAAAAC//loI=")</f>
        <v>#VALUE!</v>
      </c>
      <c r="EB24" t="e">
        <f>AND('Current Index'!#REF!,"AAAAAC//loM=")</f>
        <v>#REF!</v>
      </c>
      <c r="EC24" t="e">
        <f>AND('Current Index'!B609,"AAAAAC//loQ=")</f>
        <v>#VALUE!</v>
      </c>
      <c r="ED24" t="e">
        <f>AND('Current Index'!C609,"AAAAAC//loU=")</f>
        <v>#VALUE!</v>
      </c>
      <c r="EE24" t="e">
        <f>AND('Current Index'!D609,"AAAAAC//loY=")</f>
        <v>#VALUE!</v>
      </c>
      <c r="EF24" t="e">
        <f>AND('Current Index'!E609,"AAAAAC//loc=")</f>
        <v>#VALUE!</v>
      </c>
      <c r="EG24" t="e">
        <f>AND('Current Index'!F609,"AAAAAC//log=")</f>
        <v>#VALUE!</v>
      </c>
      <c r="EH24" t="e">
        <f>AND('Current Index'!G609,"AAAAAC//lok=")</f>
        <v>#VALUE!</v>
      </c>
      <c r="EI24" t="e">
        <f>AND('Current Index'!H609,"AAAAAC//loo=")</f>
        <v>#VALUE!</v>
      </c>
      <c r="EJ24" t="e">
        <f>AND('Current Index'!I609,"AAAAAC//los=")</f>
        <v>#VALUE!</v>
      </c>
      <c r="EK24">
        <f>IF('Current Index'!610:610,"AAAAAC//low=",0)</f>
        <v>0</v>
      </c>
      <c r="EL24" t="e">
        <f>AND('Current Index'!A610,"AAAAAC//lo0=")</f>
        <v>#VALUE!</v>
      </c>
      <c r="EM24" t="e">
        <f>AND('Current Index'!#REF!,"AAAAAC//lo4=")</f>
        <v>#REF!</v>
      </c>
      <c r="EN24" t="e">
        <f>AND('Current Index'!B610,"AAAAAC//lo8=")</f>
        <v>#VALUE!</v>
      </c>
      <c r="EO24" t="e">
        <f>AND('Current Index'!C610,"AAAAAC//lpA=")</f>
        <v>#VALUE!</v>
      </c>
      <c r="EP24" t="e">
        <f>AND('Current Index'!D610,"AAAAAC//lpE=")</f>
        <v>#VALUE!</v>
      </c>
      <c r="EQ24" t="e">
        <f>AND('Current Index'!E610,"AAAAAC//lpI=")</f>
        <v>#VALUE!</v>
      </c>
      <c r="ER24" t="e">
        <f>AND('Current Index'!F610,"AAAAAC//lpM=")</f>
        <v>#VALUE!</v>
      </c>
      <c r="ES24" t="e">
        <f>AND('Current Index'!G610,"AAAAAC//lpQ=")</f>
        <v>#VALUE!</v>
      </c>
      <c r="ET24" t="e">
        <f>AND('Current Index'!H610,"AAAAAC//lpU=")</f>
        <v>#VALUE!</v>
      </c>
      <c r="EU24" t="e">
        <f>AND('Current Index'!I610,"AAAAAC//lpY=")</f>
        <v>#VALUE!</v>
      </c>
      <c r="EV24">
        <f>IF('Current Index'!611:611,"AAAAAC//lpc=",0)</f>
        <v>0</v>
      </c>
      <c r="EW24" t="e">
        <f>AND('Current Index'!A611,"AAAAAC//lpg=")</f>
        <v>#VALUE!</v>
      </c>
      <c r="EX24" t="e">
        <f>AND('Current Index'!#REF!,"AAAAAC//lpk=")</f>
        <v>#REF!</v>
      </c>
      <c r="EY24" t="e">
        <f>AND('Current Index'!B611,"AAAAAC//lpo=")</f>
        <v>#VALUE!</v>
      </c>
      <c r="EZ24" t="e">
        <f>AND('Current Index'!C611,"AAAAAC//lps=")</f>
        <v>#VALUE!</v>
      </c>
      <c r="FA24" t="e">
        <f>AND('Current Index'!D611,"AAAAAC//lpw=")</f>
        <v>#VALUE!</v>
      </c>
      <c r="FB24" t="e">
        <f>AND('Current Index'!E611,"AAAAAC//lp0=")</f>
        <v>#VALUE!</v>
      </c>
      <c r="FC24" t="e">
        <f>AND('Current Index'!F611,"AAAAAC//lp4=")</f>
        <v>#VALUE!</v>
      </c>
      <c r="FD24" t="e">
        <f>AND('Current Index'!G611,"AAAAAC//lp8=")</f>
        <v>#VALUE!</v>
      </c>
      <c r="FE24" t="e">
        <f>AND('Current Index'!H611,"AAAAAC//lqA=")</f>
        <v>#VALUE!</v>
      </c>
      <c r="FF24" t="e">
        <f>AND('Current Index'!I611,"AAAAAC//lqE=")</f>
        <v>#VALUE!</v>
      </c>
      <c r="FG24">
        <f>IF('Current Index'!612:612,"AAAAAC//lqI=",0)</f>
        <v>0</v>
      </c>
      <c r="FH24" t="e">
        <f>AND('Current Index'!A612,"AAAAAC//lqM=")</f>
        <v>#VALUE!</v>
      </c>
      <c r="FI24" t="e">
        <f>AND('Current Index'!#REF!,"AAAAAC//lqQ=")</f>
        <v>#REF!</v>
      </c>
      <c r="FJ24" t="e">
        <f>AND('Current Index'!B612,"AAAAAC//lqU=")</f>
        <v>#VALUE!</v>
      </c>
      <c r="FK24" t="e">
        <f>AND('Current Index'!C612,"AAAAAC//lqY=")</f>
        <v>#VALUE!</v>
      </c>
      <c r="FL24" t="e">
        <f>AND('Current Index'!D612,"AAAAAC//lqc=")</f>
        <v>#VALUE!</v>
      </c>
      <c r="FM24" t="e">
        <f>AND('Current Index'!E612,"AAAAAC//lqg=")</f>
        <v>#VALUE!</v>
      </c>
      <c r="FN24" t="e">
        <f>AND('Current Index'!F612,"AAAAAC//lqk=")</f>
        <v>#VALUE!</v>
      </c>
      <c r="FO24" t="e">
        <f>AND('Current Index'!G612,"AAAAAC//lqo=")</f>
        <v>#VALUE!</v>
      </c>
      <c r="FP24" t="e">
        <f>AND('Current Index'!H612,"AAAAAC//lqs=")</f>
        <v>#VALUE!</v>
      </c>
      <c r="FQ24" t="e">
        <f>AND('Current Index'!I612,"AAAAAC//lqw=")</f>
        <v>#VALUE!</v>
      </c>
      <c r="FR24">
        <f>IF('Current Index'!613:613,"AAAAAC//lq0=",0)</f>
        <v>0</v>
      </c>
      <c r="FS24" t="e">
        <f>AND('Current Index'!A613,"AAAAAC//lq4=")</f>
        <v>#VALUE!</v>
      </c>
      <c r="FT24" t="e">
        <f>AND('Current Index'!#REF!,"AAAAAC//lq8=")</f>
        <v>#REF!</v>
      </c>
      <c r="FU24" t="e">
        <f>AND('Current Index'!B613,"AAAAAC//lrA=")</f>
        <v>#VALUE!</v>
      </c>
      <c r="FV24" t="e">
        <f>AND('Current Index'!C613,"AAAAAC//lrE=")</f>
        <v>#VALUE!</v>
      </c>
      <c r="FW24" t="e">
        <f>AND('Current Index'!D613,"AAAAAC//lrI=")</f>
        <v>#VALUE!</v>
      </c>
      <c r="FX24" t="e">
        <f>AND('Current Index'!E613,"AAAAAC//lrM=")</f>
        <v>#VALUE!</v>
      </c>
      <c r="FY24" t="e">
        <f>AND('Current Index'!F613,"AAAAAC//lrQ=")</f>
        <v>#VALUE!</v>
      </c>
      <c r="FZ24" t="e">
        <f>AND('Current Index'!G613,"AAAAAC//lrU=")</f>
        <v>#VALUE!</v>
      </c>
      <c r="GA24" t="e">
        <f>AND('Current Index'!H613,"AAAAAC//lrY=")</f>
        <v>#VALUE!</v>
      </c>
      <c r="GB24" t="e">
        <f>AND('Current Index'!I613,"AAAAAC//lrc=")</f>
        <v>#VALUE!</v>
      </c>
      <c r="GC24">
        <f>IF('Current Index'!614:614,"AAAAAC//lrg=",0)</f>
        <v>0</v>
      </c>
      <c r="GD24" t="e">
        <f>AND('Current Index'!A614,"AAAAAC//lrk=")</f>
        <v>#VALUE!</v>
      </c>
      <c r="GE24" t="e">
        <f>AND('Current Index'!#REF!,"AAAAAC//lro=")</f>
        <v>#REF!</v>
      </c>
      <c r="GF24" t="e">
        <f>AND('Current Index'!B614,"AAAAAC//lrs=")</f>
        <v>#VALUE!</v>
      </c>
      <c r="GG24" t="e">
        <f>AND('Current Index'!C614,"AAAAAC//lrw=")</f>
        <v>#VALUE!</v>
      </c>
      <c r="GH24" t="e">
        <f>AND('Current Index'!D614,"AAAAAC//lr0=")</f>
        <v>#VALUE!</v>
      </c>
      <c r="GI24" t="e">
        <f>AND('Current Index'!E614,"AAAAAC//lr4=")</f>
        <v>#VALUE!</v>
      </c>
      <c r="GJ24" t="e">
        <f>AND('Current Index'!F614,"AAAAAC//lr8=")</f>
        <v>#VALUE!</v>
      </c>
      <c r="GK24" t="e">
        <f>AND('Current Index'!G614,"AAAAAC//lsA=")</f>
        <v>#VALUE!</v>
      </c>
      <c r="GL24" t="e">
        <f>AND('Current Index'!H614,"AAAAAC//lsE=")</f>
        <v>#VALUE!</v>
      </c>
      <c r="GM24" t="e">
        <f>AND('Current Index'!I614,"AAAAAC//lsI=")</f>
        <v>#VALUE!</v>
      </c>
      <c r="GN24">
        <f>IF('Current Index'!615:615,"AAAAAC//lsM=",0)</f>
        <v>0</v>
      </c>
      <c r="GO24" t="e">
        <f>AND('Current Index'!A615,"AAAAAC//lsQ=")</f>
        <v>#VALUE!</v>
      </c>
      <c r="GP24" t="e">
        <f>AND('Current Index'!#REF!,"AAAAAC//lsU=")</f>
        <v>#REF!</v>
      </c>
      <c r="GQ24" t="e">
        <f>AND('Current Index'!B615,"AAAAAC//lsY=")</f>
        <v>#VALUE!</v>
      </c>
      <c r="GR24" t="e">
        <f>AND('Current Index'!C615,"AAAAAC//lsc=")</f>
        <v>#VALUE!</v>
      </c>
      <c r="GS24" t="e">
        <f>AND('Current Index'!D615,"AAAAAC//lsg=")</f>
        <v>#VALUE!</v>
      </c>
      <c r="GT24" t="e">
        <f>AND('Current Index'!E615,"AAAAAC//lsk=")</f>
        <v>#VALUE!</v>
      </c>
      <c r="GU24" t="e">
        <f>AND('Current Index'!F615,"AAAAAC//lso=")</f>
        <v>#VALUE!</v>
      </c>
      <c r="GV24" t="e">
        <f>AND('Current Index'!G615,"AAAAAC//lss=")</f>
        <v>#VALUE!</v>
      </c>
      <c r="GW24" t="e">
        <f>AND('Current Index'!H615,"AAAAAC//lsw=")</f>
        <v>#VALUE!</v>
      </c>
      <c r="GX24" t="e">
        <f>AND('Current Index'!I615,"AAAAAC//ls0=")</f>
        <v>#VALUE!</v>
      </c>
      <c r="GY24" t="e">
        <f>IF('Current Index'!#REF!,"AAAAAC//ls4=",0)</f>
        <v>#REF!</v>
      </c>
      <c r="GZ24" t="e">
        <f>AND('Current Index'!#REF!,"AAAAAC//ls8=")</f>
        <v>#REF!</v>
      </c>
      <c r="HA24" t="e">
        <f>AND('Current Index'!#REF!,"AAAAAC//ltA=")</f>
        <v>#REF!</v>
      </c>
      <c r="HB24" t="e">
        <f>AND('Current Index'!#REF!,"AAAAAC//ltE=")</f>
        <v>#REF!</v>
      </c>
      <c r="HC24" t="e">
        <f>AND('Current Index'!#REF!,"AAAAAC//ltI=")</f>
        <v>#REF!</v>
      </c>
      <c r="HD24" t="e">
        <f>AND('Current Index'!#REF!,"AAAAAC//ltM=")</f>
        <v>#REF!</v>
      </c>
      <c r="HE24" t="e">
        <f>AND('Current Index'!#REF!,"AAAAAC//ltQ=")</f>
        <v>#REF!</v>
      </c>
      <c r="HF24" t="e">
        <f>AND('Current Index'!#REF!,"AAAAAC//ltU=")</f>
        <v>#REF!</v>
      </c>
      <c r="HG24" t="e">
        <f>AND('Current Index'!#REF!,"AAAAAC//ltY=")</f>
        <v>#REF!</v>
      </c>
      <c r="HH24" t="e">
        <f>AND('Current Index'!#REF!,"AAAAAC//ltc=")</f>
        <v>#REF!</v>
      </c>
      <c r="HI24" t="e">
        <f>AND('Current Index'!#REF!,"AAAAAC//ltg=")</f>
        <v>#REF!</v>
      </c>
      <c r="HJ24">
        <f>IF('Current Index'!616:616,"AAAAAC//ltk=",0)</f>
        <v>0</v>
      </c>
      <c r="HK24" t="e">
        <f>AND('Current Index'!A616,"AAAAAC//lto=")</f>
        <v>#VALUE!</v>
      </c>
      <c r="HL24" t="e">
        <f>AND('Current Index'!#REF!,"AAAAAC//lts=")</f>
        <v>#REF!</v>
      </c>
      <c r="HM24" t="e">
        <f>AND('Current Index'!B616,"AAAAAC//ltw=")</f>
        <v>#VALUE!</v>
      </c>
      <c r="HN24" t="e">
        <f>AND('Current Index'!C616,"AAAAAC//lt0=")</f>
        <v>#VALUE!</v>
      </c>
      <c r="HO24" t="e">
        <f>AND('Current Index'!D616,"AAAAAC//lt4=")</f>
        <v>#VALUE!</v>
      </c>
      <c r="HP24" t="e">
        <f>AND('Current Index'!E616,"AAAAAC//lt8=")</f>
        <v>#VALUE!</v>
      </c>
      <c r="HQ24" t="e">
        <f>AND('Current Index'!F616,"AAAAAC//luA=")</f>
        <v>#VALUE!</v>
      </c>
      <c r="HR24" t="e">
        <f>AND('Current Index'!G616,"AAAAAC//luE=")</f>
        <v>#VALUE!</v>
      </c>
      <c r="HS24" t="e">
        <f>AND('Current Index'!H616,"AAAAAC//luI=")</f>
        <v>#VALUE!</v>
      </c>
      <c r="HT24" t="e">
        <f>AND('Current Index'!I616,"AAAAAC//luM=")</f>
        <v>#VALUE!</v>
      </c>
      <c r="HU24">
        <f>IF('Current Index'!617:617,"AAAAAC//luQ=",0)</f>
        <v>0</v>
      </c>
      <c r="HV24" t="e">
        <f>AND('Current Index'!A617,"AAAAAC//luU=")</f>
        <v>#VALUE!</v>
      </c>
      <c r="HW24" t="e">
        <f>AND('Current Index'!#REF!,"AAAAAC//luY=")</f>
        <v>#REF!</v>
      </c>
      <c r="HX24" t="e">
        <f>AND('Current Index'!B617,"AAAAAC//luc=")</f>
        <v>#VALUE!</v>
      </c>
      <c r="HY24" t="e">
        <f>AND('Current Index'!C617,"AAAAAC//lug=")</f>
        <v>#VALUE!</v>
      </c>
      <c r="HZ24" t="e">
        <f>AND('Current Index'!D617,"AAAAAC//luk=")</f>
        <v>#VALUE!</v>
      </c>
      <c r="IA24" t="e">
        <f>AND('Current Index'!E617,"AAAAAC//luo=")</f>
        <v>#VALUE!</v>
      </c>
      <c r="IB24" t="e">
        <f>AND('Current Index'!F617,"AAAAAC//lus=")</f>
        <v>#VALUE!</v>
      </c>
      <c r="IC24" t="e">
        <f>AND('Current Index'!G617,"AAAAAC//luw=")</f>
        <v>#VALUE!</v>
      </c>
      <c r="ID24" t="e">
        <f>AND('Current Index'!H617,"AAAAAC//lu0=")</f>
        <v>#VALUE!</v>
      </c>
      <c r="IE24" t="e">
        <f>AND('Current Index'!I617,"AAAAAC//lu4=")</f>
        <v>#VALUE!</v>
      </c>
      <c r="IF24">
        <f>IF('Current Index'!618:618,"AAAAAC//lu8=",0)</f>
        <v>0</v>
      </c>
      <c r="IG24" t="e">
        <f>AND('Current Index'!A618,"AAAAAC//lvA=")</f>
        <v>#VALUE!</v>
      </c>
      <c r="IH24" t="e">
        <f>AND('Current Index'!#REF!,"AAAAAC//lvE=")</f>
        <v>#REF!</v>
      </c>
      <c r="II24" t="e">
        <f>AND('Current Index'!B618,"AAAAAC//lvI=")</f>
        <v>#VALUE!</v>
      </c>
      <c r="IJ24" t="e">
        <f>AND('Current Index'!C618,"AAAAAC//lvM=")</f>
        <v>#VALUE!</v>
      </c>
      <c r="IK24" t="e">
        <f>AND('Current Index'!D618,"AAAAAC//lvQ=")</f>
        <v>#VALUE!</v>
      </c>
      <c r="IL24" t="e">
        <f>AND('Current Index'!E618,"AAAAAC//lvU=")</f>
        <v>#VALUE!</v>
      </c>
      <c r="IM24" t="e">
        <f>AND('Current Index'!F618,"AAAAAC//lvY=")</f>
        <v>#VALUE!</v>
      </c>
      <c r="IN24" t="e">
        <f>AND('Current Index'!G618,"AAAAAC//lvc=")</f>
        <v>#VALUE!</v>
      </c>
      <c r="IO24" t="e">
        <f>AND('Current Index'!H618,"AAAAAC//lvg=")</f>
        <v>#VALUE!</v>
      </c>
      <c r="IP24" t="e">
        <f>AND('Current Index'!I618,"AAAAAC//lvk=")</f>
        <v>#VALUE!</v>
      </c>
      <c r="IQ24">
        <f>IF('Current Index'!619:619,"AAAAAC//lvo=",0)</f>
        <v>0</v>
      </c>
      <c r="IR24" t="e">
        <f>AND('Current Index'!A619,"AAAAAC//lvs=")</f>
        <v>#VALUE!</v>
      </c>
      <c r="IS24" t="e">
        <f>AND('Current Index'!#REF!,"AAAAAC//lvw=")</f>
        <v>#REF!</v>
      </c>
      <c r="IT24" t="e">
        <f>AND('Current Index'!B619,"AAAAAC//lv0=")</f>
        <v>#VALUE!</v>
      </c>
      <c r="IU24" t="e">
        <f>AND('Current Index'!C619,"AAAAAC//lv4=")</f>
        <v>#VALUE!</v>
      </c>
      <c r="IV24" t="e">
        <f>AND('Current Index'!D619,"AAAAAC//lv8=")</f>
        <v>#VALUE!</v>
      </c>
    </row>
    <row r="25" spans="1:256" x14ac:dyDescent="0.25">
      <c r="A25" t="e">
        <f>AND('Current Index'!E619,"AAAAAFWX/wA=")</f>
        <v>#VALUE!</v>
      </c>
      <c r="B25" t="e">
        <f>AND('Current Index'!F619,"AAAAAFWX/wE=")</f>
        <v>#VALUE!</v>
      </c>
      <c r="C25" t="e">
        <f>AND('Current Index'!G619,"AAAAAFWX/wI=")</f>
        <v>#VALUE!</v>
      </c>
      <c r="D25" t="e">
        <f>AND('Current Index'!H619,"AAAAAFWX/wM=")</f>
        <v>#VALUE!</v>
      </c>
      <c r="E25" t="e">
        <f>AND('Current Index'!I619,"AAAAAFWX/wQ=")</f>
        <v>#VALUE!</v>
      </c>
      <c r="F25" t="str">
        <f>IF('Current Index'!620:620,"AAAAAFWX/wU=",0)</f>
        <v>AAAAAFWX/wU=</v>
      </c>
      <c r="G25" t="e">
        <f>AND('Current Index'!A620,"AAAAAFWX/wY=")</f>
        <v>#VALUE!</v>
      </c>
      <c r="H25" t="e">
        <f>AND('Current Index'!#REF!,"AAAAAFWX/wc=")</f>
        <v>#REF!</v>
      </c>
      <c r="I25" t="e">
        <f>AND('Current Index'!B620,"AAAAAFWX/wg=")</f>
        <v>#VALUE!</v>
      </c>
      <c r="J25" t="e">
        <f>AND('Current Index'!C620,"AAAAAFWX/wk=")</f>
        <v>#VALUE!</v>
      </c>
      <c r="K25" t="e">
        <f>AND('Current Index'!D620,"AAAAAFWX/wo=")</f>
        <v>#VALUE!</v>
      </c>
      <c r="L25" t="e">
        <f>AND('Current Index'!E620,"AAAAAFWX/ws=")</f>
        <v>#VALUE!</v>
      </c>
      <c r="M25" t="e">
        <f>AND('Current Index'!F620,"AAAAAFWX/ww=")</f>
        <v>#VALUE!</v>
      </c>
      <c r="N25" t="e">
        <f>AND('Current Index'!G620,"AAAAAFWX/w0=")</f>
        <v>#VALUE!</v>
      </c>
      <c r="O25" t="e">
        <f>AND('Current Index'!H620,"AAAAAFWX/w4=")</f>
        <v>#VALUE!</v>
      </c>
      <c r="P25" t="e">
        <f>AND('Current Index'!I620,"AAAAAFWX/w8=")</f>
        <v>#VALUE!</v>
      </c>
      <c r="Q25">
        <f>IF('Current Index'!621:621,"AAAAAFWX/xA=",0)</f>
        <v>0</v>
      </c>
      <c r="R25" t="e">
        <f>AND('Current Index'!A621,"AAAAAFWX/xE=")</f>
        <v>#VALUE!</v>
      </c>
      <c r="S25" t="e">
        <f>AND('Current Index'!#REF!,"AAAAAFWX/xI=")</f>
        <v>#REF!</v>
      </c>
      <c r="T25" t="e">
        <f>AND('Current Index'!B621,"AAAAAFWX/xM=")</f>
        <v>#VALUE!</v>
      </c>
      <c r="U25" t="e">
        <f>AND('Current Index'!C621,"AAAAAFWX/xQ=")</f>
        <v>#VALUE!</v>
      </c>
      <c r="V25" t="e">
        <f>AND('Current Index'!D621,"AAAAAFWX/xU=")</f>
        <v>#VALUE!</v>
      </c>
      <c r="W25" t="e">
        <f>AND('Current Index'!E621,"AAAAAFWX/xY=")</f>
        <v>#VALUE!</v>
      </c>
      <c r="X25" t="e">
        <f>AND('Current Index'!F621,"AAAAAFWX/xc=")</f>
        <v>#VALUE!</v>
      </c>
      <c r="Y25" t="e">
        <f>AND('Current Index'!G621,"AAAAAFWX/xg=")</f>
        <v>#VALUE!</v>
      </c>
      <c r="Z25" t="e">
        <f>AND('Current Index'!H621,"AAAAAFWX/xk=")</f>
        <v>#VALUE!</v>
      </c>
      <c r="AA25" t="e">
        <f>AND('Current Index'!I621,"AAAAAFWX/xo=")</f>
        <v>#VALUE!</v>
      </c>
      <c r="AB25">
        <f>IF('Current Index'!622:622,"AAAAAFWX/xs=",0)</f>
        <v>0</v>
      </c>
      <c r="AC25" t="e">
        <f>AND('Current Index'!A622,"AAAAAFWX/xw=")</f>
        <v>#VALUE!</v>
      </c>
      <c r="AD25" t="e">
        <f>AND('Current Index'!#REF!,"AAAAAFWX/x0=")</f>
        <v>#REF!</v>
      </c>
      <c r="AE25" t="e">
        <f>AND('Current Index'!B622,"AAAAAFWX/x4=")</f>
        <v>#VALUE!</v>
      </c>
      <c r="AF25" t="e">
        <f>AND('Current Index'!C622,"AAAAAFWX/x8=")</f>
        <v>#VALUE!</v>
      </c>
      <c r="AG25" t="e">
        <f>AND('Current Index'!D622,"AAAAAFWX/yA=")</f>
        <v>#VALUE!</v>
      </c>
      <c r="AH25" t="e">
        <f>AND('Current Index'!E622,"AAAAAFWX/yE=")</f>
        <v>#VALUE!</v>
      </c>
      <c r="AI25" t="e">
        <f>AND('Current Index'!F622,"AAAAAFWX/yI=")</f>
        <v>#VALUE!</v>
      </c>
      <c r="AJ25" t="e">
        <f>AND('Current Index'!G622,"AAAAAFWX/yM=")</f>
        <v>#VALUE!</v>
      </c>
      <c r="AK25" t="e">
        <f>AND('Current Index'!H622,"AAAAAFWX/yQ=")</f>
        <v>#VALUE!</v>
      </c>
      <c r="AL25" t="e">
        <f>AND('Current Index'!I622,"AAAAAFWX/yU=")</f>
        <v>#VALUE!</v>
      </c>
      <c r="AM25">
        <f>IF('Current Index'!623:623,"AAAAAFWX/yY=",0)</f>
        <v>0</v>
      </c>
      <c r="AN25" t="e">
        <f>AND('Current Index'!A623,"AAAAAFWX/yc=")</f>
        <v>#VALUE!</v>
      </c>
      <c r="AO25" t="e">
        <f>AND('Current Index'!#REF!,"AAAAAFWX/yg=")</f>
        <v>#REF!</v>
      </c>
      <c r="AP25" t="e">
        <f>AND('Current Index'!B623,"AAAAAFWX/yk=")</f>
        <v>#VALUE!</v>
      </c>
      <c r="AQ25" t="e">
        <f>AND('Current Index'!C623,"AAAAAFWX/yo=")</f>
        <v>#VALUE!</v>
      </c>
      <c r="AR25" t="e">
        <f>AND('Current Index'!D623,"AAAAAFWX/ys=")</f>
        <v>#VALUE!</v>
      </c>
      <c r="AS25" t="e">
        <f>AND('Current Index'!E623,"AAAAAFWX/yw=")</f>
        <v>#VALUE!</v>
      </c>
      <c r="AT25" t="e">
        <f>AND('Current Index'!F623,"AAAAAFWX/y0=")</f>
        <v>#VALUE!</v>
      </c>
      <c r="AU25" t="e">
        <f>AND('Current Index'!G623,"AAAAAFWX/y4=")</f>
        <v>#VALUE!</v>
      </c>
      <c r="AV25" t="e">
        <f>AND('Current Index'!H623,"AAAAAFWX/y8=")</f>
        <v>#VALUE!</v>
      </c>
      <c r="AW25" t="e">
        <f>AND('Current Index'!I623,"AAAAAFWX/zA=")</f>
        <v>#VALUE!</v>
      </c>
      <c r="AX25">
        <f>IF('Current Index'!624:624,"AAAAAFWX/zE=",0)</f>
        <v>0</v>
      </c>
      <c r="AY25" t="e">
        <f>AND('Current Index'!A624,"AAAAAFWX/zI=")</f>
        <v>#VALUE!</v>
      </c>
      <c r="AZ25" t="e">
        <f>AND('Current Index'!#REF!,"AAAAAFWX/zM=")</f>
        <v>#REF!</v>
      </c>
      <c r="BA25" t="e">
        <f>AND('Current Index'!B624,"AAAAAFWX/zQ=")</f>
        <v>#VALUE!</v>
      </c>
      <c r="BB25" t="e">
        <f>AND('Current Index'!C624,"AAAAAFWX/zU=")</f>
        <v>#VALUE!</v>
      </c>
      <c r="BC25" t="e">
        <f>AND('Current Index'!D624,"AAAAAFWX/zY=")</f>
        <v>#VALUE!</v>
      </c>
      <c r="BD25" t="e">
        <f>AND('Current Index'!E624,"AAAAAFWX/zc=")</f>
        <v>#VALUE!</v>
      </c>
      <c r="BE25" t="e">
        <f>AND('Current Index'!F624,"AAAAAFWX/zg=")</f>
        <v>#VALUE!</v>
      </c>
      <c r="BF25" t="e">
        <f>AND('Current Index'!G624,"AAAAAFWX/zk=")</f>
        <v>#VALUE!</v>
      </c>
      <c r="BG25" t="e">
        <f>AND('Current Index'!H624,"AAAAAFWX/zo=")</f>
        <v>#VALUE!</v>
      </c>
      <c r="BH25" t="e">
        <f>AND('Current Index'!I624,"AAAAAFWX/zs=")</f>
        <v>#VALUE!</v>
      </c>
      <c r="BI25">
        <f>IF('Current Index'!625:625,"AAAAAFWX/zw=",0)</f>
        <v>0</v>
      </c>
      <c r="BJ25" t="e">
        <f>AND('Current Index'!A625,"AAAAAFWX/z0=")</f>
        <v>#VALUE!</v>
      </c>
      <c r="BK25" t="e">
        <f>AND('Current Index'!#REF!,"AAAAAFWX/z4=")</f>
        <v>#REF!</v>
      </c>
      <c r="BL25" t="e">
        <f>AND('Current Index'!B625,"AAAAAFWX/z8=")</f>
        <v>#VALUE!</v>
      </c>
      <c r="BM25" t="e">
        <f>AND('Current Index'!C625,"AAAAAFWX/0A=")</f>
        <v>#VALUE!</v>
      </c>
      <c r="BN25" t="e">
        <f>AND('Current Index'!D625,"AAAAAFWX/0E=")</f>
        <v>#VALUE!</v>
      </c>
      <c r="BO25" t="e">
        <f>AND('Current Index'!E625,"AAAAAFWX/0I=")</f>
        <v>#VALUE!</v>
      </c>
      <c r="BP25" t="e">
        <f>AND('Current Index'!F625,"AAAAAFWX/0M=")</f>
        <v>#VALUE!</v>
      </c>
      <c r="BQ25" t="e">
        <f>AND('Current Index'!G625,"AAAAAFWX/0Q=")</f>
        <v>#VALUE!</v>
      </c>
      <c r="BR25" t="e">
        <f>AND('Current Index'!H625,"AAAAAFWX/0U=")</f>
        <v>#VALUE!</v>
      </c>
      <c r="BS25" t="e">
        <f>AND('Current Index'!I625,"AAAAAFWX/0Y=")</f>
        <v>#VALUE!</v>
      </c>
      <c r="BT25">
        <f>IF('Current Index'!626:626,"AAAAAFWX/0c=",0)</f>
        <v>0</v>
      </c>
      <c r="BU25" t="e">
        <f>AND('Current Index'!A626,"AAAAAFWX/0g=")</f>
        <v>#VALUE!</v>
      </c>
      <c r="BV25" t="e">
        <f>AND('Current Index'!#REF!,"AAAAAFWX/0k=")</f>
        <v>#REF!</v>
      </c>
      <c r="BW25" t="e">
        <f>AND('Current Index'!B626,"AAAAAFWX/0o=")</f>
        <v>#VALUE!</v>
      </c>
      <c r="BX25" t="e">
        <f>AND('Current Index'!C626,"AAAAAFWX/0s=")</f>
        <v>#VALUE!</v>
      </c>
      <c r="BY25" t="e">
        <f>AND('Current Index'!D626,"AAAAAFWX/0w=")</f>
        <v>#VALUE!</v>
      </c>
      <c r="BZ25" t="e">
        <f>AND('Current Index'!E626,"AAAAAFWX/00=")</f>
        <v>#VALUE!</v>
      </c>
      <c r="CA25" t="e">
        <f>AND('Current Index'!F626,"AAAAAFWX/04=")</f>
        <v>#VALUE!</v>
      </c>
      <c r="CB25" t="e">
        <f>AND('Current Index'!G626,"AAAAAFWX/08=")</f>
        <v>#VALUE!</v>
      </c>
      <c r="CC25" t="e">
        <f>AND('Current Index'!H626,"AAAAAFWX/1A=")</f>
        <v>#VALUE!</v>
      </c>
      <c r="CD25" t="e">
        <f>AND('Current Index'!I626,"AAAAAFWX/1E=")</f>
        <v>#VALUE!</v>
      </c>
      <c r="CE25">
        <f>IF('Current Index'!627:627,"AAAAAFWX/1I=",0)</f>
        <v>0</v>
      </c>
      <c r="CF25" t="e">
        <f>AND('Current Index'!A627,"AAAAAFWX/1M=")</f>
        <v>#VALUE!</v>
      </c>
      <c r="CG25" t="e">
        <f>AND('Current Index'!#REF!,"AAAAAFWX/1Q=")</f>
        <v>#REF!</v>
      </c>
      <c r="CH25" t="e">
        <f>AND('Current Index'!B627,"AAAAAFWX/1U=")</f>
        <v>#VALUE!</v>
      </c>
      <c r="CI25" t="e">
        <f>AND('Current Index'!C627,"AAAAAFWX/1Y=")</f>
        <v>#VALUE!</v>
      </c>
      <c r="CJ25" t="e">
        <f>AND('Current Index'!D627,"AAAAAFWX/1c=")</f>
        <v>#VALUE!</v>
      </c>
      <c r="CK25" t="e">
        <f>AND('Current Index'!E627,"AAAAAFWX/1g=")</f>
        <v>#VALUE!</v>
      </c>
      <c r="CL25" t="e">
        <f>AND('Current Index'!F627,"AAAAAFWX/1k=")</f>
        <v>#VALUE!</v>
      </c>
      <c r="CM25" t="e">
        <f>AND('Current Index'!G627,"AAAAAFWX/1o=")</f>
        <v>#VALUE!</v>
      </c>
      <c r="CN25" t="e">
        <f>AND('Current Index'!H627,"AAAAAFWX/1s=")</f>
        <v>#VALUE!</v>
      </c>
      <c r="CO25" t="e">
        <f>AND('Current Index'!I627,"AAAAAFWX/1w=")</f>
        <v>#VALUE!</v>
      </c>
      <c r="CP25">
        <f>IF('Current Index'!628:628,"AAAAAFWX/10=",0)</f>
        <v>0</v>
      </c>
      <c r="CQ25" t="e">
        <f>AND('Current Index'!A628,"AAAAAFWX/14=")</f>
        <v>#VALUE!</v>
      </c>
      <c r="CR25" t="e">
        <f>AND('Current Index'!#REF!,"AAAAAFWX/18=")</f>
        <v>#REF!</v>
      </c>
      <c r="CS25" t="e">
        <f>AND('Current Index'!B628,"AAAAAFWX/2A=")</f>
        <v>#VALUE!</v>
      </c>
      <c r="CT25" t="e">
        <f>AND('Current Index'!C628,"AAAAAFWX/2E=")</f>
        <v>#VALUE!</v>
      </c>
      <c r="CU25" t="e">
        <f>AND('Current Index'!D628,"AAAAAFWX/2I=")</f>
        <v>#VALUE!</v>
      </c>
      <c r="CV25" t="e">
        <f>AND('Current Index'!E628,"AAAAAFWX/2M=")</f>
        <v>#VALUE!</v>
      </c>
      <c r="CW25" t="e">
        <f>AND('Current Index'!F628,"AAAAAFWX/2Q=")</f>
        <v>#VALUE!</v>
      </c>
      <c r="CX25" t="e">
        <f>AND('Current Index'!G628,"AAAAAFWX/2U=")</f>
        <v>#VALUE!</v>
      </c>
      <c r="CY25" t="e">
        <f>AND('Current Index'!H628,"AAAAAFWX/2Y=")</f>
        <v>#VALUE!</v>
      </c>
      <c r="CZ25" t="e">
        <f>AND('Current Index'!I628,"AAAAAFWX/2c=")</f>
        <v>#VALUE!</v>
      </c>
      <c r="DA25">
        <f>IF('Current Index'!629:629,"AAAAAFWX/2g=",0)</f>
        <v>0</v>
      </c>
      <c r="DB25" t="e">
        <f>AND('Current Index'!A629,"AAAAAFWX/2k=")</f>
        <v>#VALUE!</v>
      </c>
      <c r="DC25" t="e">
        <f>AND('Current Index'!#REF!,"AAAAAFWX/2o=")</f>
        <v>#REF!</v>
      </c>
      <c r="DD25" t="e">
        <f>AND('Current Index'!B629,"AAAAAFWX/2s=")</f>
        <v>#VALUE!</v>
      </c>
      <c r="DE25" t="e">
        <f>AND('Current Index'!C629,"AAAAAFWX/2w=")</f>
        <v>#VALUE!</v>
      </c>
      <c r="DF25" t="e">
        <f>AND('Current Index'!D629,"AAAAAFWX/20=")</f>
        <v>#VALUE!</v>
      </c>
      <c r="DG25" t="e">
        <f>AND('Current Index'!E629,"AAAAAFWX/24=")</f>
        <v>#VALUE!</v>
      </c>
      <c r="DH25" t="e">
        <f>AND('Current Index'!F629,"AAAAAFWX/28=")</f>
        <v>#VALUE!</v>
      </c>
      <c r="DI25" t="e">
        <f>AND('Current Index'!G629,"AAAAAFWX/3A=")</f>
        <v>#VALUE!</v>
      </c>
      <c r="DJ25" t="e">
        <f>AND('Current Index'!H629,"AAAAAFWX/3E=")</f>
        <v>#VALUE!</v>
      </c>
      <c r="DK25" t="e">
        <f>AND('Current Index'!I629,"AAAAAFWX/3I=")</f>
        <v>#VALUE!</v>
      </c>
      <c r="DL25">
        <f>IF('Current Index'!630:630,"AAAAAFWX/3M=",0)</f>
        <v>0</v>
      </c>
      <c r="DM25" t="e">
        <f>AND('Current Index'!A630,"AAAAAFWX/3Q=")</f>
        <v>#VALUE!</v>
      </c>
      <c r="DN25" t="e">
        <f>AND('Current Index'!#REF!,"AAAAAFWX/3U=")</f>
        <v>#REF!</v>
      </c>
      <c r="DO25" t="e">
        <f>AND('Current Index'!B630,"AAAAAFWX/3Y=")</f>
        <v>#VALUE!</v>
      </c>
      <c r="DP25" t="e">
        <f>AND('Current Index'!C630,"AAAAAFWX/3c=")</f>
        <v>#VALUE!</v>
      </c>
      <c r="DQ25" t="e">
        <f>AND('Current Index'!D630,"AAAAAFWX/3g=")</f>
        <v>#VALUE!</v>
      </c>
      <c r="DR25" t="e">
        <f>AND('Current Index'!E630,"AAAAAFWX/3k=")</f>
        <v>#VALUE!</v>
      </c>
      <c r="DS25" t="e">
        <f>AND('Current Index'!F630,"AAAAAFWX/3o=")</f>
        <v>#VALUE!</v>
      </c>
      <c r="DT25" t="e">
        <f>AND('Current Index'!G630,"AAAAAFWX/3s=")</f>
        <v>#VALUE!</v>
      </c>
      <c r="DU25" t="e">
        <f>AND('Current Index'!H630,"AAAAAFWX/3w=")</f>
        <v>#VALUE!</v>
      </c>
      <c r="DV25" t="e">
        <f>AND('Current Index'!I630,"AAAAAFWX/30=")</f>
        <v>#VALUE!</v>
      </c>
      <c r="DW25">
        <f>IF('Current Index'!632:632,"AAAAAFWX/34=",0)</f>
        <v>0</v>
      </c>
      <c r="DX25" t="e">
        <f>AND('Current Index'!A632,"AAAAAFWX/38=")</f>
        <v>#VALUE!</v>
      </c>
      <c r="DY25" t="e">
        <f>AND('Current Index'!#REF!,"AAAAAFWX/4A=")</f>
        <v>#REF!</v>
      </c>
      <c r="DZ25" t="e">
        <f>AND('Current Index'!B632,"AAAAAFWX/4E=")</f>
        <v>#VALUE!</v>
      </c>
      <c r="EA25" t="e">
        <f>AND('Current Index'!C632,"AAAAAFWX/4I=")</f>
        <v>#VALUE!</v>
      </c>
      <c r="EB25" t="e">
        <f>AND('Current Index'!D632,"AAAAAFWX/4M=")</f>
        <v>#VALUE!</v>
      </c>
      <c r="EC25" t="e">
        <f>AND('Current Index'!E632,"AAAAAFWX/4Q=")</f>
        <v>#VALUE!</v>
      </c>
      <c r="ED25" t="e">
        <f>AND('Current Index'!F632,"AAAAAFWX/4U=")</f>
        <v>#VALUE!</v>
      </c>
      <c r="EE25" t="e">
        <f>AND('Current Index'!G632,"AAAAAFWX/4Y=")</f>
        <v>#VALUE!</v>
      </c>
      <c r="EF25" t="e">
        <f>AND('Current Index'!H632,"AAAAAFWX/4c=")</f>
        <v>#VALUE!</v>
      </c>
      <c r="EG25" t="e">
        <f>AND('Current Index'!I632,"AAAAAFWX/4g=")</f>
        <v>#VALUE!</v>
      </c>
      <c r="EH25">
        <f>IF('Current Index'!633:633,"AAAAAFWX/4k=",0)</f>
        <v>0</v>
      </c>
      <c r="EI25" t="e">
        <f>AND('Current Index'!A633,"AAAAAFWX/4o=")</f>
        <v>#VALUE!</v>
      </c>
      <c r="EJ25" t="e">
        <f>AND('Current Index'!#REF!,"AAAAAFWX/4s=")</f>
        <v>#REF!</v>
      </c>
      <c r="EK25" t="e">
        <f>AND('Current Index'!B633,"AAAAAFWX/4w=")</f>
        <v>#VALUE!</v>
      </c>
      <c r="EL25" t="e">
        <f>AND('Current Index'!C633,"AAAAAFWX/40=")</f>
        <v>#VALUE!</v>
      </c>
      <c r="EM25" t="e">
        <f>AND('Current Index'!D633,"AAAAAFWX/44=")</f>
        <v>#VALUE!</v>
      </c>
      <c r="EN25" t="e">
        <f>AND('Current Index'!E633,"AAAAAFWX/48=")</f>
        <v>#VALUE!</v>
      </c>
      <c r="EO25" t="e">
        <f>AND('Current Index'!F633,"AAAAAFWX/5A=")</f>
        <v>#VALUE!</v>
      </c>
      <c r="EP25" t="e">
        <f>AND('Current Index'!G633,"AAAAAFWX/5E=")</f>
        <v>#VALUE!</v>
      </c>
      <c r="EQ25" t="e">
        <f>AND('Current Index'!H633,"AAAAAFWX/5I=")</f>
        <v>#VALUE!</v>
      </c>
      <c r="ER25" t="e">
        <f>AND('Current Index'!I633,"AAAAAFWX/5M=")</f>
        <v>#VALUE!</v>
      </c>
      <c r="ES25">
        <f>IF('Current Index'!634:634,"AAAAAFWX/5Q=",0)</f>
        <v>0</v>
      </c>
      <c r="ET25" t="e">
        <f>AND('Current Index'!A634,"AAAAAFWX/5U=")</f>
        <v>#VALUE!</v>
      </c>
      <c r="EU25" t="e">
        <f>AND('Current Index'!#REF!,"AAAAAFWX/5Y=")</f>
        <v>#REF!</v>
      </c>
      <c r="EV25" t="e">
        <f>AND('Current Index'!B634,"AAAAAFWX/5c=")</f>
        <v>#VALUE!</v>
      </c>
      <c r="EW25" t="e">
        <f>AND('Current Index'!C634,"AAAAAFWX/5g=")</f>
        <v>#VALUE!</v>
      </c>
      <c r="EX25" t="e">
        <f>AND('Current Index'!D634,"AAAAAFWX/5k=")</f>
        <v>#VALUE!</v>
      </c>
      <c r="EY25" t="e">
        <f>AND('Current Index'!E634,"AAAAAFWX/5o=")</f>
        <v>#VALUE!</v>
      </c>
      <c r="EZ25" t="e">
        <f>AND('Current Index'!F634,"AAAAAFWX/5s=")</f>
        <v>#VALUE!</v>
      </c>
      <c r="FA25" t="e">
        <f>AND('Current Index'!G634,"AAAAAFWX/5w=")</f>
        <v>#VALUE!</v>
      </c>
      <c r="FB25" t="e">
        <f>AND('Current Index'!H634,"AAAAAFWX/50=")</f>
        <v>#VALUE!</v>
      </c>
      <c r="FC25" t="e">
        <f>AND('Current Index'!I634,"AAAAAFWX/54=")</f>
        <v>#VALUE!</v>
      </c>
      <c r="FD25">
        <f>IF('Current Index'!635:635,"AAAAAFWX/58=",0)</f>
        <v>0</v>
      </c>
      <c r="FE25" t="e">
        <f>AND('Current Index'!A635,"AAAAAFWX/6A=")</f>
        <v>#VALUE!</v>
      </c>
      <c r="FF25" t="e">
        <f>AND('Current Index'!#REF!,"AAAAAFWX/6E=")</f>
        <v>#REF!</v>
      </c>
      <c r="FG25" t="e">
        <f>AND('Current Index'!B635,"AAAAAFWX/6I=")</f>
        <v>#VALUE!</v>
      </c>
      <c r="FH25" t="e">
        <f>AND('Current Index'!C635,"AAAAAFWX/6M=")</f>
        <v>#VALUE!</v>
      </c>
      <c r="FI25" t="e">
        <f>AND('Current Index'!D635,"AAAAAFWX/6Q=")</f>
        <v>#VALUE!</v>
      </c>
      <c r="FJ25" t="e">
        <f>AND('Current Index'!E635,"AAAAAFWX/6U=")</f>
        <v>#VALUE!</v>
      </c>
      <c r="FK25" t="e">
        <f>AND('Current Index'!F635,"AAAAAFWX/6Y=")</f>
        <v>#VALUE!</v>
      </c>
      <c r="FL25" t="e">
        <f>AND('Current Index'!G635,"AAAAAFWX/6c=")</f>
        <v>#VALUE!</v>
      </c>
      <c r="FM25" t="e">
        <f>AND('Current Index'!H635,"AAAAAFWX/6g=")</f>
        <v>#VALUE!</v>
      </c>
      <c r="FN25" t="e">
        <f>AND('Current Index'!I635,"AAAAAFWX/6k=")</f>
        <v>#VALUE!</v>
      </c>
      <c r="FO25">
        <f>IF('Current Index'!636:636,"AAAAAFWX/6o=",0)</f>
        <v>0</v>
      </c>
      <c r="FP25" t="e">
        <f>AND('Current Index'!A636,"AAAAAFWX/6s=")</f>
        <v>#VALUE!</v>
      </c>
      <c r="FQ25" t="e">
        <f>AND('Current Index'!#REF!,"AAAAAFWX/6w=")</f>
        <v>#REF!</v>
      </c>
      <c r="FR25" t="e">
        <f>AND('Current Index'!B636,"AAAAAFWX/60=")</f>
        <v>#VALUE!</v>
      </c>
      <c r="FS25" t="e">
        <f>AND('Current Index'!C636,"AAAAAFWX/64=")</f>
        <v>#VALUE!</v>
      </c>
      <c r="FT25" t="e">
        <f>AND('Current Index'!D636,"AAAAAFWX/68=")</f>
        <v>#VALUE!</v>
      </c>
      <c r="FU25" t="e">
        <f>AND('Current Index'!E636,"AAAAAFWX/7A=")</f>
        <v>#VALUE!</v>
      </c>
      <c r="FV25" t="e">
        <f>AND('Current Index'!F636,"AAAAAFWX/7E=")</f>
        <v>#VALUE!</v>
      </c>
      <c r="FW25" t="e">
        <f>AND('Current Index'!G636,"AAAAAFWX/7I=")</f>
        <v>#VALUE!</v>
      </c>
      <c r="FX25" t="e">
        <f>AND('Current Index'!H636,"AAAAAFWX/7M=")</f>
        <v>#VALUE!</v>
      </c>
      <c r="FY25" t="e">
        <f>AND('Current Index'!I636,"AAAAAFWX/7Q=")</f>
        <v>#VALUE!</v>
      </c>
      <c r="FZ25">
        <f>IF('Current Index'!637:637,"AAAAAFWX/7U=",0)</f>
        <v>0</v>
      </c>
      <c r="GA25" t="e">
        <f>AND('Current Index'!A637,"AAAAAFWX/7Y=")</f>
        <v>#VALUE!</v>
      </c>
      <c r="GB25" t="e">
        <f>AND('Current Index'!#REF!,"AAAAAFWX/7c=")</f>
        <v>#REF!</v>
      </c>
      <c r="GC25" t="e">
        <f>AND('Current Index'!B637,"AAAAAFWX/7g=")</f>
        <v>#VALUE!</v>
      </c>
      <c r="GD25" t="e">
        <f>AND('Current Index'!C637,"AAAAAFWX/7k=")</f>
        <v>#VALUE!</v>
      </c>
      <c r="GE25" t="e">
        <f>AND('Current Index'!D637,"AAAAAFWX/7o=")</f>
        <v>#VALUE!</v>
      </c>
      <c r="GF25" t="e">
        <f>AND('Current Index'!E637,"AAAAAFWX/7s=")</f>
        <v>#VALUE!</v>
      </c>
      <c r="GG25" t="e">
        <f>AND('Current Index'!F637,"AAAAAFWX/7w=")</f>
        <v>#VALUE!</v>
      </c>
      <c r="GH25" t="e">
        <f>AND('Current Index'!G637,"AAAAAFWX/70=")</f>
        <v>#VALUE!</v>
      </c>
      <c r="GI25" t="e">
        <f>AND('Current Index'!H637,"AAAAAFWX/74=")</f>
        <v>#VALUE!</v>
      </c>
      <c r="GJ25" t="e">
        <f>AND('Current Index'!I637,"AAAAAFWX/78=")</f>
        <v>#VALUE!</v>
      </c>
      <c r="GK25">
        <f>IF('Current Index'!638:638,"AAAAAFWX/8A=",0)</f>
        <v>0</v>
      </c>
      <c r="GL25" t="e">
        <f>AND('Current Index'!A638,"AAAAAFWX/8E=")</f>
        <v>#VALUE!</v>
      </c>
      <c r="GM25" t="e">
        <f>AND('Current Index'!#REF!,"AAAAAFWX/8I=")</f>
        <v>#REF!</v>
      </c>
      <c r="GN25" t="e">
        <f>AND('Current Index'!B638,"AAAAAFWX/8M=")</f>
        <v>#VALUE!</v>
      </c>
      <c r="GO25" t="e">
        <f>AND('Current Index'!C638,"AAAAAFWX/8Q=")</f>
        <v>#VALUE!</v>
      </c>
      <c r="GP25" t="e">
        <f>AND('Current Index'!D638,"AAAAAFWX/8U=")</f>
        <v>#VALUE!</v>
      </c>
      <c r="GQ25" t="e">
        <f>AND('Current Index'!E638,"AAAAAFWX/8Y=")</f>
        <v>#VALUE!</v>
      </c>
      <c r="GR25" t="e">
        <f>AND('Current Index'!F638,"AAAAAFWX/8c=")</f>
        <v>#VALUE!</v>
      </c>
      <c r="GS25" t="e">
        <f>AND('Current Index'!G638,"AAAAAFWX/8g=")</f>
        <v>#VALUE!</v>
      </c>
      <c r="GT25" t="e">
        <f>AND('Current Index'!H638,"AAAAAFWX/8k=")</f>
        <v>#VALUE!</v>
      </c>
      <c r="GU25" t="e">
        <f>AND('Current Index'!I638,"AAAAAFWX/8o=")</f>
        <v>#VALUE!</v>
      </c>
      <c r="GV25">
        <f>IF('Current Index'!639:639,"AAAAAFWX/8s=",0)</f>
        <v>0</v>
      </c>
      <c r="GW25" t="e">
        <f>AND('Current Index'!A639,"AAAAAFWX/8w=")</f>
        <v>#VALUE!</v>
      </c>
      <c r="GX25" t="e">
        <f>AND('Current Index'!#REF!,"AAAAAFWX/80=")</f>
        <v>#REF!</v>
      </c>
      <c r="GY25" t="e">
        <f>AND('Current Index'!B639,"AAAAAFWX/84=")</f>
        <v>#VALUE!</v>
      </c>
      <c r="GZ25" t="e">
        <f>AND('Current Index'!C639,"AAAAAFWX/88=")</f>
        <v>#VALUE!</v>
      </c>
      <c r="HA25" t="e">
        <f>AND('Current Index'!D639,"AAAAAFWX/9A=")</f>
        <v>#VALUE!</v>
      </c>
      <c r="HB25" t="e">
        <f>AND('Current Index'!E639,"AAAAAFWX/9E=")</f>
        <v>#VALUE!</v>
      </c>
      <c r="HC25" t="e">
        <f>AND('Current Index'!F639,"AAAAAFWX/9I=")</f>
        <v>#VALUE!</v>
      </c>
      <c r="HD25" t="e">
        <f>AND('Current Index'!G639,"AAAAAFWX/9M=")</f>
        <v>#VALUE!</v>
      </c>
      <c r="HE25" t="e">
        <f>AND('Current Index'!H639,"AAAAAFWX/9Q=")</f>
        <v>#VALUE!</v>
      </c>
      <c r="HF25" t="e">
        <f>AND('Current Index'!I639,"AAAAAFWX/9U=")</f>
        <v>#VALUE!</v>
      </c>
      <c r="HG25">
        <f>IF('Current Index'!640:640,"AAAAAFWX/9Y=",0)</f>
        <v>0</v>
      </c>
      <c r="HH25" t="e">
        <f>AND('Current Index'!A640,"AAAAAFWX/9c=")</f>
        <v>#VALUE!</v>
      </c>
      <c r="HI25" t="e">
        <f>AND('Current Index'!#REF!,"AAAAAFWX/9g=")</f>
        <v>#REF!</v>
      </c>
      <c r="HJ25" t="e">
        <f>AND('Current Index'!B640,"AAAAAFWX/9k=")</f>
        <v>#VALUE!</v>
      </c>
      <c r="HK25" t="e">
        <f>AND('Current Index'!C640,"AAAAAFWX/9o=")</f>
        <v>#VALUE!</v>
      </c>
      <c r="HL25" t="e">
        <f>AND('Current Index'!D640,"AAAAAFWX/9s=")</f>
        <v>#VALUE!</v>
      </c>
      <c r="HM25" t="e">
        <f>AND('Current Index'!E640,"AAAAAFWX/9w=")</f>
        <v>#VALUE!</v>
      </c>
      <c r="HN25" t="e">
        <f>AND('Current Index'!F640,"AAAAAFWX/90=")</f>
        <v>#VALUE!</v>
      </c>
      <c r="HO25" t="e">
        <f>AND('Current Index'!G640,"AAAAAFWX/94=")</f>
        <v>#VALUE!</v>
      </c>
      <c r="HP25" t="e">
        <f>AND('Current Index'!H640,"AAAAAFWX/98=")</f>
        <v>#VALUE!</v>
      </c>
      <c r="HQ25" t="e">
        <f>AND('Current Index'!I640,"AAAAAFWX/+A=")</f>
        <v>#VALUE!</v>
      </c>
      <c r="HR25">
        <f>IF('Current Index'!641:641,"AAAAAFWX/+E=",0)</f>
        <v>0</v>
      </c>
      <c r="HS25" t="e">
        <f>AND('Current Index'!A641,"AAAAAFWX/+I=")</f>
        <v>#VALUE!</v>
      </c>
      <c r="HT25" t="e">
        <f>AND('Current Index'!#REF!,"AAAAAFWX/+M=")</f>
        <v>#REF!</v>
      </c>
      <c r="HU25" t="e">
        <f>AND('Current Index'!B641,"AAAAAFWX/+Q=")</f>
        <v>#VALUE!</v>
      </c>
      <c r="HV25" t="e">
        <f>AND('Current Index'!C641,"AAAAAFWX/+U=")</f>
        <v>#VALUE!</v>
      </c>
      <c r="HW25" t="e">
        <f>AND('Current Index'!D641,"AAAAAFWX/+Y=")</f>
        <v>#VALUE!</v>
      </c>
      <c r="HX25" t="e">
        <f>AND('Current Index'!E641,"AAAAAFWX/+c=")</f>
        <v>#VALUE!</v>
      </c>
      <c r="HY25" t="e">
        <f>AND('Current Index'!F641,"AAAAAFWX/+g=")</f>
        <v>#VALUE!</v>
      </c>
      <c r="HZ25" t="e">
        <f>AND('Current Index'!G641,"AAAAAFWX/+k=")</f>
        <v>#VALUE!</v>
      </c>
      <c r="IA25" t="e">
        <f>AND('Current Index'!H641,"AAAAAFWX/+o=")</f>
        <v>#VALUE!</v>
      </c>
      <c r="IB25" t="e">
        <f>AND('Current Index'!I641,"AAAAAFWX/+s=")</f>
        <v>#VALUE!</v>
      </c>
      <c r="IC25" t="e">
        <f>IF('Current Index'!#REF!,"AAAAAFWX/+w=",0)</f>
        <v>#REF!</v>
      </c>
      <c r="ID25" t="e">
        <f>AND('Current Index'!#REF!,"AAAAAFWX/+0=")</f>
        <v>#REF!</v>
      </c>
      <c r="IE25" t="e">
        <f>AND('Current Index'!#REF!,"AAAAAFWX/+4=")</f>
        <v>#REF!</v>
      </c>
      <c r="IF25" t="e">
        <f>AND('Current Index'!#REF!,"AAAAAFWX/+8=")</f>
        <v>#REF!</v>
      </c>
      <c r="IG25" t="e">
        <f>AND('Current Index'!#REF!,"AAAAAFWX//A=")</f>
        <v>#REF!</v>
      </c>
      <c r="IH25" t="e">
        <f>AND('Current Index'!#REF!,"AAAAAFWX//E=")</f>
        <v>#REF!</v>
      </c>
      <c r="II25" t="e">
        <f>AND('Current Index'!#REF!,"AAAAAFWX//I=")</f>
        <v>#REF!</v>
      </c>
      <c r="IJ25" t="e">
        <f>AND('Current Index'!#REF!,"AAAAAFWX//M=")</f>
        <v>#REF!</v>
      </c>
      <c r="IK25" t="e">
        <f>AND('Current Index'!#REF!,"AAAAAFWX//Q=")</f>
        <v>#REF!</v>
      </c>
      <c r="IL25" t="e">
        <f>AND('Current Index'!#REF!,"AAAAAFWX//U=")</f>
        <v>#REF!</v>
      </c>
      <c r="IM25" t="e">
        <f>AND('Current Index'!#REF!,"AAAAAFWX//Y=")</f>
        <v>#REF!</v>
      </c>
      <c r="IN25">
        <f>IF('Current Index'!642:642,"AAAAAFWX//c=",0)</f>
        <v>0</v>
      </c>
      <c r="IO25" t="e">
        <f>AND('Current Index'!A642,"AAAAAFWX//g=")</f>
        <v>#VALUE!</v>
      </c>
      <c r="IP25" t="e">
        <f>AND('Current Index'!#REF!,"AAAAAFWX//k=")</f>
        <v>#REF!</v>
      </c>
      <c r="IQ25" t="e">
        <f>AND('Current Index'!B642,"AAAAAFWX//o=")</f>
        <v>#VALUE!</v>
      </c>
      <c r="IR25" t="e">
        <f>AND('Current Index'!C642,"AAAAAFWX//s=")</f>
        <v>#VALUE!</v>
      </c>
      <c r="IS25" t="e">
        <f>AND('Current Index'!D642,"AAAAAFWX//w=")</f>
        <v>#VALUE!</v>
      </c>
      <c r="IT25" t="e">
        <f>AND('Current Index'!E642,"AAAAAFWX//0=")</f>
        <v>#VALUE!</v>
      </c>
      <c r="IU25" t="e">
        <f>AND('Current Index'!F642,"AAAAAFWX//4=")</f>
        <v>#VALUE!</v>
      </c>
      <c r="IV25" t="e">
        <f>AND('Current Index'!G642,"AAAAAFWX//8=")</f>
        <v>#VALUE!</v>
      </c>
    </row>
    <row r="26" spans="1:256" x14ac:dyDescent="0.25">
      <c r="A26" t="e">
        <f>AND('Current Index'!H642,"AAAAAF+fvwA=")</f>
        <v>#VALUE!</v>
      </c>
      <c r="B26" t="e">
        <f>AND('Current Index'!I642,"AAAAAF+fvwE=")</f>
        <v>#VALUE!</v>
      </c>
      <c r="C26" t="e">
        <f>IF('Current Index'!643:643,"AAAAAF+fvwI=",0)</f>
        <v>#VALUE!</v>
      </c>
      <c r="D26" t="e">
        <f>AND('Current Index'!A643,"AAAAAF+fvwM=")</f>
        <v>#VALUE!</v>
      </c>
      <c r="E26" t="e">
        <f>AND('Current Index'!#REF!,"AAAAAF+fvwQ=")</f>
        <v>#REF!</v>
      </c>
      <c r="F26" t="e">
        <f>AND('Current Index'!B643,"AAAAAF+fvwU=")</f>
        <v>#VALUE!</v>
      </c>
      <c r="G26" t="e">
        <f>AND('Current Index'!C643,"AAAAAF+fvwY=")</f>
        <v>#VALUE!</v>
      </c>
      <c r="H26" t="e">
        <f>AND('Current Index'!D643,"AAAAAF+fvwc=")</f>
        <v>#VALUE!</v>
      </c>
      <c r="I26" t="e">
        <f>AND('Current Index'!E643,"AAAAAF+fvwg=")</f>
        <v>#VALUE!</v>
      </c>
      <c r="J26" t="e">
        <f>AND('Current Index'!F643,"AAAAAF+fvwk=")</f>
        <v>#VALUE!</v>
      </c>
      <c r="K26" t="e">
        <f>AND('Current Index'!G643,"AAAAAF+fvwo=")</f>
        <v>#VALUE!</v>
      </c>
      <c r="L26" t="e">
        <f>AND('Current Index'!H643,"AAAAAF+fvws=")</f>
        <v>#VALUE!</v>
      </c>
      <c r="M26" t="e">
        <f>AND('Current Index'!I643,"AAAAAF+fvww=")</f>
        <v>#VALUE!</v>
      </c>
      <c r="N26">
        <f>IF('Current Index'!644:644,"AAAAAF+fvw0=",0)</f>
        <v>0</v>
      </c>
      <c r="O26" t="e">
        <f>AND('Current Index'!A644,"AAAAAF+fvw4=")</f>
        <v>#VALUE!</v>
      </c>
      <c r="P26" t="e">
        <f>AND('Current Index'!#REF!,"AAAAAF+fvw8=")</f>
        <v>#REF!</v>
      </c>
      <c r="Q26" t="e">
        <f>AND('Current Index'!B644,"AAAAAF+fvxA=")</f>
        <v>#VALUE!</v>
      </c>
      <c r="R26" t="e">
        <f>AND('Current Index'!C644,"AAAAAF+fvxE=")</f>
        <v>#VALUE!</v>
      </c>
      <c r="S26" t="e">
        <f>AND('Current Index'!D644,"AAAAAF+fvxI=")</f>
        <v>#VALUE!</v>
      </c>
      <c r="T26" t="e">
        <f>AND('Current Index'!E644,"AAAAAF+fvxM=")</f>
        <v>#VALUE!</v>
      </c>
      <c r="U26" t="e">
        <f>AND('Current Index'!F644,"AAAAAF+fvxQ=")</f>
        <v>#VALUE!</v>
      </c>
      <c r="V26" t="e">
        <f>AND('Current Index'!G644,"AAAAAF+fvxU=")</f>
        <v>#VALUE!</v>
      </c>
      <c r="W26" t="e">
        <f>AND('Current Index'!H644,"AAAAAF+fvxY=")</f>
        <v>#VALUE!</v>
      </c>
      <c r="X26" t="e">
        <f>AND('Current Index'!I644,"AAAAAF+fvxc=")</f>
        <v>#VALUE!</v>
      </c>
      <c r="Y26">
        <f>IF('Current Index'!645:645,"AAAAAF+fvxg=",0)</f>
        <v>0</v>
      </c>
      <c r="Z26" t="e">
        <f>AND('Current Index'!A645,"AAAAAF+fvxk=")</f>
        <v>#VALUE!</v>
      </c>
      <c r="AA26" t="e">
        <f>AND('Current Index'!#REF!,"AAAAAF+fvxo=")</f>
        <v>#REF!</v>
      </c>
      <c r="AB26" t="e">
        <f>AND('Current Index'!B645,"AAAAAF+fvxs=")</f>
        <v>#VALUE!</v>
      </c>
      <c r="AC26" t="e">
        <f>AND('Current Index'!C645,"AAAAAF+fvxw=")</f>
        <v>#VALUE!</v>
      </c>
      <c r="AD26" t="e">
        <f>AND('Current Index'!D645,"AAAAAF+fvx0=")</f>
        <v>#VALUE!</v>
      </c>
      <c r="AE26" t="e">
        <f>AND('Current Index'!E645,"AAAAAF+fvx4=")</f>
        <v>#VALUE!</v>
      </c>
      <c r="AF26" t="e">
        <f>AND('Current Index'!F645,"AAAAAF+fvx8=")</f>
        <v>#VALUE!</v>
      </c>
      <c r="AG26" t="e">
        <f>AND('Current Index'!G645,"AAAAAF+fvyA=")</f>
        <v>#VALUE!</v>
      </c>
      <c r="AH26" t="e">
        <f>AND('Current Index'!H645,"AAAAAF+fvyE=")</f>
        <v>#VALUE!</v>
      </c>
      <c r="AI26" t="e">
        <f>AND('Current Index'!I645,"AAAAAF+fvyI=")</f>
        <v>#VALUE!</v>
      </c>
      <c r="AJ26">
        <f>IF('Current Index'!646:646,"AAAAAF+fvyM=",0)</f>
        <v>0</v>
      </c>
      <c r="AK26" t="e">
        <f>AND('Current Index'!A646,"AAAAAF+fvyQ=")</f>
        <v>#VALUE!</v>
      </c>
      <c r="AL26" t="e">
        <f>AND('Current Index'!#REF!,"AAAAAF+fvyU=")</f>
        <v>#REF!</v>
      </c>
      <c r="AM26" t="e">
        <f>AND('Current Index'!B646,"AAAAAF+fvyY=")</f>
        <v>#VALUE!</v>
      </c>
      <c r="AN26" t="e">
        <f>AND('Current Index'!C646,"AAAAAF+fvyc=")</f>
        <v>#VALUE!</v>
      </c>
      <c r="AO26" t="e">
        <f>AND('Current Index'!D646,"AAAAAF+fvyg=")</f>
        <v>#VALUE!</v>
      </c>
      <c r="AP26" t="e">
        <f>AND('Current Index'!E646,"AAAAAF+fvyk=")</f>
        <v>#VALUE!</v>
      </c>
      <c r="AQ26" t="e">
        <f>AND('Current Index'!F646,"AAAAAF+fvyo=")</f>
        <v>#VALUE!</v>
      </c>
      <c r="AR26" t="e">
        <f>AND('Current Index'!G646,"AAAAAF+fvys=")</f>
        <v>#VALUE!</v>
      </c>
      <c r="AS26" t="e">
        <f>AND('Current Index'!H646,"AAAAAF+fvyw=")</f>
        <v>#VALUE!</v>
      </c>
      <c r="AT26" t="e">
        <f>AND('Current Index'!I646,"AAAAAF+fvy0=")</f>
        <v>#VALUE!</v>
      </c>
      <c r="AU26">
        <f>IF('Current Index'!647:647,"AAAAAF+fvy4=",0)</f>
        <v>0</v>
      </c>
      <c r="AV26" t="e">
        <f>AND('Current Index'!A647,"AAAAAF+fvy8=")</f>
        <v>#VALUE!</v>
      </c>
      <c r="AW26" t="e">
        <f>AND('Current Index'!#REF!,"AAAAAF+fvzA=")</f>
        <v>#REF!</v>
      </c>
      <c r="AX26" t="e">
        <f>AND('Current Index'!B647,"AAAAAF+fvzE=")</f>
        <v>#VALUE!</v>
      </c>
      <c r="AY26" t="e">
        <f>AND('Current Index'!C647,"AAAAAF+fvzI=")</f>
        <v>#VALUE!</v>
      </c>
      <c r="AZ26" t="e">
        <f>AND('Current Index'!D647,"AAAAAF+fvzM=")</f>
        <v>#VALUE!</v>
      </c>
      <c r="BA26" t="e">
        <f>AND('Current Index'!E647,"AAAAAF+fvzQ=")</f>
        <v>#VALUE!</v>
      </c>
      <c r="BB26" t="e">
        <f>AND('Current Index'!F647,"AAAAAF+fvzU=")</f>
        <v>#VALUE!</v>
      </c>
      <c r="BC26" t="e">
        <f>AND('Current Index'!G647,"AAAAAF+fvzY=")</f>
        <v>#VALUE!</v>
      </c>
      <c r="BD26" t="e">
        <f>AND('Current Index'!H647,"AAAAAF+fvzc=")</f>
        <v>#VALUE!</v>
      </c>
      <c r="BE26" t="e">
        <f>AND('Current Index'!I647,"AAAAAF+fvzg=")</f>
        <v>#VALUE!</v>
      </c>
      <c r="BF26">
        <f>IF('Current Index'!648:648,"AAAAAF+fvzk=",0)</f>
        <v>0</v>
      </c>
      <c r="BG26" t="e">
        <f>AND('Current Index'!A648,"AAAAAF+fvzo=")</f>
        <v>#VALUE!</v>
      </c>
      <c r="BH26" t="e">
        <f>AND('Current Index'!#REF!,"AAAAAF+fvzs=")</f>
        <v>#REF!</v>
      </c>
      <c r="BI26" t="e">
        <f>AND('Current Index'!B648,"AAAAAF+fvzw=")</f>
        <v>#VALUE!</v>
      </c>
      <c r="BJ26" t="e">
        <f>AND('Current Index'!C648,"AAAAAF+fvz0=")</f>
        <v>#VALUE!</v>
      </c>
      <c r="BK26" t="e">
        <f>AND('Current Index'!D648,"AAAAAF+fvz4=")</f>
        <v>#VALUE!</v>
      </c>
      <c r="BL26" t="e">
        <f>AND('Current Index'!E648,"AAAAAF+fvz8=")</f>
        <v>#VALUE!</v>
      </c>
      <c r="BM26" t="e">
        <f>AND('Current Index'!F648,"AAAAAF+fv0A=")</f>
        <v>#VALUE!</v>
      </c>
      <c r="BN26" t="e">
        <f>AND('Current Index'!G648,"AAAAAF+fv0E=")</f>
        <v>#VALUE!</v>
      </c>
      <c r="BO26" t="e">
        <f>AND('Current Index'!H648,"AAAAAF+fv0I=")</f>
        <v>#VALUE!</v>
      </c>
      <c r="BP26" t="e">
        <f>AND('Current Index'!I648,"AAAAAF+fv0M=")</f>
        <v>#VALUE!</v>
      </c>
      <c r="BQ26">
        <f>IF('Current Index'!649:649,"AAAAAF+fv0Q=",0)</f>
        <v>0</v>
      </c>
      <c r="BR26" t="e">
        <f>AND('Current Index'!A649,"AAAAAF+fv0U=")</f>
        <v>#VALUE!</v>
      </c>
      <c r="BS26" t="e">
        <f>AND('Current Index'!#REF!,"AAAAAF+fv0Y=")</f>
        <v>#REF!</v>
      </c>
      <c r="BT26" t="e">
        <f>AND('Current Index'!B649,"AAAAAF+fv0c=")</f>
        <v>#VALUE!</v>
      </c>
      <c r="BU26" t="e">
        <f>AND('Current Index'!C649,"AAAAAF+fv0g=")</f>
        <v>#VALUE!</v>
      </c>
      <c r="BV26" t="e">
        <f>AND('Current Index'!D649,"AAAAAF+fv0k=")</f>
        <v>#VALUE!</v>
      </c>
      <c r="BW26" t="e">
        <f>AND('Current Index'!E649,"AAAAAF+fv0o=")</f>
        <v>#VALUE!</v>
      </c>
      <c r="BX26" t="e">
        <f>AND('Current Index'!F649,"AAAAAF+fv0s=")</f>
        <v>#VALUE!</v>
      </c>
      <c r="BY26" t="e">
        <f>AND('Current Index'!G649,"AAAAAF+fv0w=")</f>
        <v>#VALUE!</v>
      </c>
      <c r="BZ26" t="e">
        <f>AND('Current Index'!H649,"AAAAAF+fv00=")</f>
        <v>#VALUE!</v>
      </c>
      <c r="CA26" t="e">
        <f>AND('Current Index'!I649,"AAAAAF+fv04=")</f>
        <v>#VALUE!</v>
      </c>
      <c r="CB26">
        <f>IF('Current Index'!650:650,"AAAAAF+fv08=",0)</f>
        <v>0</v>
      </c>
      <c r="CC26" t="e">
        <f>AND('Current Index'!A650,"AAAAAF+fv1A=")</f>
        <v>#VALUE!</v>
      </c>
      <c r="CD26" t="e">
        <f>AND('Current Index'!#REF!,"AAAAAF+fv1E=")</f>
        <v>#REF!</v>
      </c>
      <c r="CE26" t="e">
        <f>AND('Current Index'!B650,"AAAAAF+fv1I=")</f>
        <v>#VALUE!</v>
      </c>
      <c r="CF26" t="e">
        <f>AND('Current Index'!C650,"AAAAAF+fv1M=")</f>
        <v>#VALUE!</v>
      </c>
      <c r="CG26" t="e">
        <f>AND('Current Index'!D650,"AAAAAF+fv1Q=")</f>
        <v>#VALUE!</v>
      </c>
      <c r="CH26" t="e">
        <f>AND('Current Index'!E650,"AAAAAF+fv1U=")</f>
        <v>#VALUE!</v>
      </c>
      <c r="CI26" t="e">
        <f>AND('Current Index'!F650,"AAAAAF+fv1Y=")</f>
        <v>#VALUE!</v>
      </c>
      <c r="CJ26" t="e">
        <f>AND('Current Index'!G650,"AAAAAF+fv1c=")</f>
        <v>#VALUE!</v>
      </c>
      <c r="CK26" t="e">
        <f>AND('Current Index'!H650,"AAAAAF+fv1g=")</f>
        <v>#VALUE!</v>
      </c>
      <c r="CL26" t="e">
        <f>AND('Current Index'!I650,"AAAAAF+fv1k=")</f>
        <v>#VALUE!</v>
      </c>
      <c r="CM26">
        <f>IF('Current Index'!651:651,"AAAAAF+fv1o=",0)</f>
        <v>0</v>
      </c>
      <c r="CN26" t="e">
        <f>AND('Current Index'!A651,"AAAAAF+fv1s=")</f>
        <v>#VALUE!</v>
      </c>
      <c r="CO26" t="e">
        <f>AND('Current Index'!#REF!,"AAAAAF+fv1w=")</f>
        <v>#REF!</v>
      </c>
      <c r="CP26" t="e">
        <f>AND('Current Index'!B651,"AAAAAF+fv10=")</f>
        <v>#VALUE!</v>
      </c>
      <c r="CQ26" t="e">
        <f>AND('Current Index'!C651,"AAAAAF+fv14=")</f>
        <v>#VALUE!</v>
      </c>
      <c r="CR26" t="e">
        <f>AND('Current Index'!D651,"AAAAAF+fv18=")</f>
        <v>#VALUE!</v>
      </c>
      <c r="CS26" t="e">
        <f>AND('Current Index'!E651,"AAAAAF+fv2A=")</f>
        <v>#VALUE!</v>
      </c>
      <c r="CT26" t="e">
        <f>AND('Current Index'!F651,"AAAAAF+fv2E=")</f>
        <v>#VALUE!</v>
      </c>
      <c r="CU26" t="e">
        <f>AND('Current Index'!G651,"AAAAAF+fv2I=")</f>
        <v>#VALUE!</v>
      </c>
      <c r="CV26" t="e">
        <f>AND('Current Index'!H651,"AAAAAF+fv2M=")</f>
        <v>#VALUE!</v>
      </c>
      <c r="CW26" t="e">
        <f>AND('Current Index'!I651,"AAAAAF+fv2Q=")</f>
        <v>#VALUE!</v>
      </c>
      <c r="CX26">
        <f>IF('Current Index'!652:652,"AAAAAF+fv2U=",0)</f>
        <v>0</v>
      </c>
      <c r="CY26" t="e">
        <f>AND('Current Index'!A652,"AAAAAF+fv2Y=")</f>
        <v>#VALUE!</v>
      </c>
      <c r="CZ26" t="e">
        <f>AND('Current Index'!#REF!,"AAAAAF+fv2c=")</f>
        <v>#REF!</v>
      </c>
      <c r="DA26" t="e">
        <f>AND('Current Index'!B652,"AAAAAF+fv2g=")</f>
        <v>#VALUE!</v>
      </c>
      <c r="DB26" t="e">
        <f>AND('Current Index'!C652,"AAAAAF+fv2k=")</f>
        <v>#VALUE!</v>
      </c>
      <c r="DC26" t="e">
        <f>AND('Current Index'!D652,"AAAAAF+fv2o=")</f>
        <v>#VALUE!</v>
      </c>
      <c r="DD26" t="e">
        <f>AND('Current Index'!E652,"AAAAAF+fv2s=")</f>
        <v>#VALUE!</v>
      </c>
      <c r="DE26" t="e">
        <f>AND('Current Index'!F652,"AAAAAF+fv2w=")</f>
        <v>#VALUE!</v>
      </c>
      <c r="DF26" t="e">
        <f>AND('Current Index'!G652,"AAAAAF+fv20=")</f>
        <v>#VALUE!</v>
      </c>
      <c r="DG26" t="e">
        <f>AND('Current Index'!H652,"AAAAAF+fv24=")</f>
        <v>#VALUE!</v>
      </c>
      <c r="DH26" t="e">
        <f>AND('Current Index'!I652,"AAAAAF+fv28=")</f>
        <v>#VALUE!</v>
      </c>
      <c r="DI26">
        <f>IF('Current Index'!653:653,"AAAAAF+fv3A=",0)</f>
        <v>0</v>
      </c>
      <c r="DJ26" t="e">
        <f>AND('Current Index'!A653,"AAAAAF+fv3E=")</f>
        <v>#VALUE!</v>
      </c>
      <c r="DK26" t="e">
        <f>AND('Current Index'!#REF!,"AAAAAF+fv3I=")</f>
        <v>#REF!</v>
      </c>
      <c r="DL26" t="e">
        <f>AND('Current Index'!B653,"AAAAAF+fv3M=")</f>
        <v>#VALUE!</v>
      </c>
      <c r="DM26" t="e">
        <f>AND('Current Index'!C653,"AAAAAF+fv3Q=")</f>
        <v>#VALUE!</v>
      </c>
      <c r="DN26" t="e">
        <f>AND('Current Index'!D653,"AAAAAF+fv3U=")</f>
        <v>#VALUE!</v>
      </c>
      <c r="DO26" t="e">
        <f>AND('Current Index'!E653,"AAAAAF+fv3Y=")</f>
        <v>#VALUE!</v>
      </c>
      <c r="DP26" t="e">
        <f>AND('Current Index'!F653,"AAAAAF+fv3c=")</f>
        <v>#VALUE!</v>
      </c>
      <c r="DQ26" t="e">
        <f>AND('Current Index'!G653,"AAAAAF+fv3g=")</f>
        <v>#VALUE!</v>
      </c>
      <c r="DR26" t="e">
        <f>AND('Current Index'!H653,"AAAAAF+fv3k=")</f>
        <v>#VALUE!</v>
      </c>
      <c r="DS26" t="e">
        <f>AND('Current Index'!I653,"AAAAAF+fv3o=")</f>
        <v>#VALUE!</v>
      </c>
      <c r="DT26">
        <f>IF('Current Index'!654:654,"AAAAAF+fv3s=",0)</f>
        <v>0</v>
      </c>
      <c r="DU26" t="e">
        <f>AND('Current Index'!A654,"AAAAAF+fv3w=")</f>
        <v>#VALUE!</v>
      </c>
      <c r="DV26" t="e">
        <f>AND('Current Index'!#REF!,"AAAAAF+fv30=")</f>
        <v>#REF!</v>
      </c>
      <c r="DW26" t="e">
        <f>AND('Current Index'!B654,"AAAAAF+fv34=")</f>
        <v>#VALUE!</v>
      </c>
      <c r="DX26" t="e">
        <f>AND('Current Index'!C654,"AAAAAF+fv38=")</f>
        <v>#VALUE!</v>
      </c>
      <c r="DY26" t="e">
        <f>AND('Current Index'!D654,"AAAAAF+fv4A=")</f>
        <v>#VALUE!</v>
      </c>
      <c r="DZ26" t="e">
        <f>AND('Current Index'!E654,"AAAAAF+fv4E=")</f>
        <v>#VALUE!</v>
      </c>
      <c r="EA26" t="e">
        <f>AND('Current Index'!F654,"AAAAAF+fv4I=")</f>
        <v>#VALUE!</v>
      </c>
      <c r="EB26" t="e">
        <f>AND('Current Index'!G654,"AAAAAF+fv4M=")</f>
        <v>#VALUE!</v>
      </c>
      <c r="EC26" t="e">
        <f>AND('Current Index'!H654,"AAAAAF+fv4Q=")</f>
        <v>#VALUE!</v>
      </c>
      <c r="ED26" t="e">
        <f>AND('Current Index'!I654,"AAAAAF+fv4U=")</f>
        <v>#VALUE!</v>
      </c>
      <c r="EE26">
        <f>IF('Current Index'!655:655,"AAAAAF+fv4Y=",0)</f>
        <v>0</v>
      </c>
      <c r="EF26" t="e">
        <f>AND('Current Index'!A655,"AAAAAF+fv4c=")</f>
        <v>#VALUE!</v>
      </c>
      <c r="EG26" t="e">
        <f>AND('Current Index'!#REF!,"AAAAAF+fv4g=")</f>
        <v>#REF!</v>
      </c>
      <c r="EH26" t="e">
        <f>AND('Current Index'!B655,"AAAAAF+fv4k=")</f>
        <v>#VALUE!</v>
      </c>
      <c r="EI26" t="e">
        <f>AND('Current Index'!C655,"AAAAAF+fv4o=")</f>
        <v>#VALUE!</v>
      </c>
      <c r="EJ26" t="e">
        <f>AND('Current Index'!D655,"AAAAAF+fv4s=")</f>
        <v>#VALUE!</v>
      </c>
      <c r="EK26" t="e">
        <f>AND('Current Index'!E655,"AAAAAF+fv4w=")</f>
        <v>#VALUE!</v>
      </c>
      <c r="EL26" t="e">
        <f>AND('Current Index'!F655,"AAAAAF+fv40=")</f>
        <v>#VALUE!</v>
      </c>
      <c r="EM26" t="e">
        <f>AND('Current Index'!G655,"AAAAAF+fv44=")</f>
        <v>#VALUE!</v>
      </c>
      <c r="EN26" t="e">
        <f>AND('Current Index'!H655,"AAAAAF+fv48=")</f>
        <v>#VALUE!</v>
      </c>
      <c r="EO26" t="e">
        <f>AND('Current Index'!I655,"AAAAAF+fv5A=")</f>
        <v>#VALUE!</v>
      </c>
      <c r="EP26">
        <f>IF('Current Index'!656:656,"AAAAAF+fv5E=",0)</f>
        <v>0</v>
      </c>
      <c r="EQ26" t="e">
        <f>AND('Current Index'!A656,"AAAAAF+fv5I=")</f>
        <v>#VALUE!</v>
      </c>
      <c r="ER26" t="e">
        <f>AND('Current Index'!#REF!,"AAAAAF+fv5M=")</f>
        <v>#REF!</v>
      </c>
      <c r="ES26" t="e">
        <f>AND('Current Index'!B656,"AAAAAF+fv5Q=")</f>
        <v>#VALUE!</v>
      </c>
      <c r="ET26" t="e">
        <f>AND('Current Index'!C656,"AAAAAF+fv5U=")</f>
        <v>#VALUE!</v>
      </c>
      <c r="EU26" t="e">
        <f>AND('Current Index'!D656,"AAAAAF+fv5Y=")</f>
        <v>#VALUE!</v>
      </c>
      <c r="EV26" t="e">
        <f>AND('Current Index'!E656,"AAAAAF+fv5c=")</f>
        <v>#VALUE!</v>
      </c>
      <c r="EW26" t="e">
        <f>AND('Current Index'!F656,"AAAAAF+fv5g=")</f>
        <v>#VALUE!</v>
      </c>
      <c r="EX26" t="e">
        <f>AND('Current Index'!G656,"AAAAAF+fv5k=")</f>
        <v>#VALUE!</v>
      </c>
      <c r="EY26" t="e">
        <f>AND('Current Index'!H656,"AAAAAF+fv5o=")</f>
        <v>#VALUE!</v>
      </c>
      <c r="EZ26" t="e">
        <f>AND('Current Index'!I656,"AAAAAF+fv5s=")</f>
        <v>#VALUE!</v>
      </c>
      <c r="FA26">
        <f>IF('Current Index'!657:657,"AAAAAF+fv5w=",0)</f>
        <v>0</v>
      </c>
      <c r="FB26" t="e">
        <f>AND('Current Index'!A657,"AAAAAF+fv50=")</f>
        <v>#VALUE!</v>
      </c>
      <c r="FC26" t="e">
        <f>AND('Current Index'!#REF!,"AAAAAF+fv54=")</f>
        <v>#REF!</v>
      </c>
      <c r="FD26" t="e">
        <f>AND('Current Index'!B657,"AAAAAF+fv58=")</f>
        <v>#VALUE!</v>
      </c>
      <c r="FE26" t="e">
        <f>AND('Current Index'!C657,"AAAAAF+fv6A=")</f>
        <v>#VALUE!</v>
      </c>
      <c r="FF26" t="e">
        <f>AND('Current Index'!D657,"AAAAAF+fv6E=")</f>
        <v>#VALUE!</v>
      </c>
      <c r="FG26" t="e">
        <f>AND('Current Index'!E657,"AAAAAF+fv6I=")</f>
        <v>#VALUE!</v>
      </c>
      <c r="FH26" t="e">
        <f>AND('Current Index'!F657,"AAAAAF+fv6M=")</f>
        <v>#VALUE!</v>
      </c>
      <c r="FI26" t="e">
        <f>AND('Current Index'!G657,"AAAAAF+fv6Q=")</f>
        <v>#VALUE!</v>
      </c>
      <c r="FJ26" t="e">
        <f>AND('Current Index'!H657,"AAAAAF+fv6U=")</f>
        <v>#VALUE!</v>
      </c>
      <c r="FK26" t="e">
        <f>AND('Current Index'!I657,"AAAAAF+fv6Y=")</f>
        <v>#VALUE!</v>
      </c>
      <c r="FL26">
        <f>IF('Current Index'!658:658,"AAAAAF+fv6c=",0)</f>
        <v>0</v>
      </c>
      <c r="FM26" t="e">
        <f>AND('Current Index'!A658,"AAAAAF+fv6g=")</f>
        <v>#VALUE!</v>
      </c>
      <c r="FN26" t="e">
        <f>AND('Current Index'!#REF!,"AAAAAF+fv6k=")</f>
        <v>#REF!</v>
      </c>
      <c r="FO26" t="e">
        <f>AND('Current Index'!B658,"AAAAAF+fv6o=")</f>
        <v>#VALUE!</v>
      </c>
      <c r="FP26" t="e">
        <f>AND('Current Index'!C658,"AAAAAF+fv6s=")</f>
        <v>#VALUE!</v>
      </c>
      <c r="FQ26" t="e">
        <f>AND('Current Index'!D658,"AAAAAF+fv6w=")</f>
        <v>#VALUE!</v>
      </c>
      <c r="FR26" t="e">
        <f>AND('Current Index'!E658,"AAAAAF+fv60=")</f>
        <v>#VALUE!</v>
      </c>
      <c r="FS26" t="e">
        <f>AND('Current Index'!F658,"AAAAAF+fv64=")</f>
        <v>#VALUE!</v>
      </c>
      <c r="FT26" t="e">
        <f>AND('Current Index'!G658,"AAAAAF+fv68=")</f>
        <v>#VALUE!</v>
      </c>
      <c r="FU26" t="e">
        <f>AND('Current Index'!H658,"AAAAAF+fv7A=")</f>
        <v>#VALUE!</v>
      </c>
      <c r="FV26" t="e">
        <f>AND('Current Index'!I658,"AAAAAF+fv7E=")</f>
        <v>#VALUE!</v>
      </c>
      <c r="FW26">
        <f>IF('Current Index'!659:659,"AAAAAF+fv7I=",0)</f>
        <v>0</v>
      </c>
      <c r="FX26" t="e">
        <f>AND('Current Index'!A659,"AAAAAF+fv7M=")</f>
        <v>#VALUE!</v>
      </c>
      <c r="FY26" t="e">
        <f>AND('Current Index'!#REF!,"AAAAAF+fv7Q=")</f>
        <v>#REF!</v>
      </c>
      <c r="FZ26" t="e">
        <f>AND('Current Index'!B659,"AAAAAF+fv7U=")</f>
        <v>#VALUE!</v>
      </c>
      <c r="GA26" t="e">
        <f>AND('Current Index'!C659,"AAAAAF+fv7Y=")</f>
        <v>#VALUE!</v>
      </c>
      <c r="GB26" t="e">
        <f>AND('Current Index'!D659,"AAAAAF+fv7c=")</f>
        <v>#VALUE!</v>
      </c>
      <c r="GC26" t="e">
        <f>AND('Current Index'!E659,"AAAAAF+fv7g=")</f>
        <v>#VALUE!</v>
      </c>
      <c r="GD26" t="e">
        <f>AND('Current Index'!F659,"AAAAAF+fv7k=")</f>
        <v>#VALUE!</v>
      </c>
      <c r="GE26" t="e">
        <f>AND('Current Index'!G659,"AAAAAF+fv7o=")</f>
        <v>#VALUE!</v>
      </c>
      <c r="GF26" t="e">
        <f>AND('Current Index'!H659,"AAAAAF+fv7s=")</f>
        <v>#VALUE!</v>
      </c>
      <c r="GG26" t="e">
        <f>AND('Current Index'!I659,"AAAAAF+fv7w=")</f>
        <v>#VALUE!</v>
      </c>
      <c r="GH26">
        <f>IF('Current Index'!660:660,"AAAAAF+fv70=",0)</f>
        <v>0</v>
      </c>
      <c r="GI26" t="e">
        <f>AND('Current Index'!A660,"AAAAAF+fv74=")</f>
        <v>#VALUE!</v>
      </c>
      <c r="GJ26" t="e">
        <f>AND('Current Index'!#REF!,"AAAAAF+fv78=")</f>
        <v>#REF!</v>
      </c>
      <c r="GK26" t="e">
        <f>AND('Current Index'!B660,"AAAAAF+fv8A=")</f>
        <v>#VALUE!</v>
      </c>
      <c r="GL26" t="e">
        <f>AND('Current Index'!C660,"AAAAAF+fv8E=")</f>
        <v>#VALUE!</v>
      </c>
      <c r="GM26" t="e">
        <f>AND('Current Index'!D660,"AAAAAF+fv8I=")</f>
        <v>#VALUE!</v>
      </c>
      <c r="GN26" t="e">
        <f>AND('Current Index'!E660,"AAAAAF+fv8M=")</f>
        <v>#VALUE!</v>
      </c>
      <c r="GO26" t="e">
        <f>AND('Current Index'!F660,"AAAAAF+fv8Q=")</f>
        <v>#VALUE!</v>
      </c>
      <c r="GP26" t="e">
        <f>AND('Current Index'!G660,"AAAAAF+fv8U=")</f>
        <v>#VALUE!</v>
      </c>
      <c r="GQ26" t="e">
        <f>AND('Current Index'!H660,"AAAAAF+fv8Y=")</f>
        <v>#VALUE!</v>
      </c>
      <c r="GR26" t="e">
        <f>AND('Current Index'!I660,"AAAAAF+fv8c=")</f>
        <v>#VALUE!</v>
      </c>
      <c r="GS26">
        <f>IF('Current Index'!661:661,"AAAAAF+fv8g=",0)</f>
        <v>0</v>
      </c>
      <c r="GT26" t="e">
        <f>AND('Current Index'!A661,"AAAAAF+fv8k=")</f>
        <v>#VALUE!</v>
      </c>
      <c r="GU26" t="e">
        <f>AND('Current Index'!#REF!,"AAAAAF+fv8o=")</f>
        <v>#REF!</v>
      </c>
      <c r="GV26" t="e">
        <f>AND('Current Index'!B661,"AAAAAF+fv8s=")</f>
        <v>#VALUE!</v>
      </c>
      <c r="GW26" t="e">
        <f>AND('Current Index'!C661,"AAAAAF+fv8w=")</f>
        <v>#VALUE!</v>
      </c>
      <c r="GX26" t="e">
        <f>AND('Current Index'!D661,"AAAAAF+fv80=")</f>
        <v>#VALUE!</v>
      </c>
      <c r="GY26" t="e">
        <f>AND('Current Index'!E661,"AAAAAF+fv84=")</f>
        <v>#VALUE!</v>
      </c>
      <c r="GZ26" t="e">
        <f>AND('Current Index'!F661,"AAAAAF+fv88=")</f>
        <v>#VALUE!</v>
      </c>
      <c r="HA26" t="e">
        <f>AND('Current Index'!G661,"AAAAAF+fv9A=")</f>
        <v>#VALUE!</v>
      </c>
      <c r="HB26" t="e">
        <f>AND('Current Index'!H661,"AAAAAF+fv9E=")</f>
        <v>#VALUE!</v>
      </c>
      <c r="HC26" t="e">
        <f>AND('Current Index'!I661,"AAAAAF+fv9I=")</f>
        <v>#VALUE!</v>
      </c>
      <c r="HD26">
        <f>IF('Current Index'!662:662,"AAAAAF+fv9M=",0)</f>
        <v>0</v>
      </c>
      <c r="HE26" t="e">
        <f>AND('Current Index'!A662,"AAAAAF+fv9Q=")</f>
        <v>#VALUE!</v>
      </c>
      <c r="HF26" t="e">
        <f>AND('Current Index'!#REF!,"AAAAAF+fv9U=")</f>
        <v>#REF!</v>
      </c>
      <c r="HG26" t="e">
        <f>AND('Current Index'!B662,"AAAAAF+fv9Y=")</f>
        <v>#VALUE!</v>
      </c>
      <c r="HH26" t="e">
        <f>AND('Current Index'!C662,"AAAAAF+fv9c=")</f>
        <v>#VALUE!</v>
      </c>
      <c r="HI26" t="e">
        <f>AND('Current Index'!D662,"AAAAAF+fv9g=")</f>
        <v>#VALUE!</v>
      </c>
      <c r="HJ26" t="e">
        <f>AND('Current Index'!E662,"AAAAAF+fv9k=")</f>
        <v>#VALUE!</v>
      </c>
      <c r="HK26" t="e">
        <f>AND('Current Index'!F662,"AAAAAF+fv9o=")</f>
        <v>#VALUE!</v>
      </c>
      <c r="HL26" t="e">
        <f>AND('Current Index'!G662,"AAAAAF+fv9s=")</f>
        <v>#VALUE!</v>
      </c>
      <c r="HM26" t="e">
        <f>AND('Current Index'!H662,"AAAAAF+fv9w=")</f>
        <v>#VALUE!</v>
      </c>
      <c r="HN26" t="e">
        <f>AND('Current Index'!I662,"AAAAAF+fv90=")</f>
        <v>#VALUE!</v>
      </c>
      <c r="HO26" t="e">
        <f>IF('Current Index'!#REF!,"AAAAAF+fv94=",0)</f>
        <v>#REF!</v>
      </c>
      <c r="HP26" t="e">
        <f>AND('Current Index'!#REF!,"AAAAAF+fv98=")</f>
        <v>#REF!</v>
      </c>
      <c r="HQ26" t="e">
        <f>AND('Current Index'!#REF!,"AAAAAF+fv+A=")</f>
        <v>#REF!</v>
      </c>
      <c r="HR26" t="e">
        <f>AND('Current Index'!#REF!,"AAAAAF+fv+E=")</f>
        <v>#REF!</v>
      </c>
      <c r="HS26" t="e">
        <f>AND('Current Index'!#REF!,"AAAAAF+fv+I=")</f>
        <v>#REF!</v>
      </c>
      <c r="HT26" t="e">
        <f>AND('Current Index'!#REF!,"AAAAAF+fv+M=")</f>
        <v>#REF!</v>
      </c>
      <c r="HU26" t="e">
        <f>AND('Current Index'!#REF!,"AAAAAF+fv+Q=")</f>
        <v>#REF!</v>
      </c>
      <c r="HV26" t="e">
        <f>AND('Current Index'!#REF!,"AAAAAF+fv+U=")</f>
        <v>#REF!</v>
      </c>
      <c r="HW26" t="e">
        <f>AND('Current Index'!#REF!,"AAAAAF+fv+Y=")</f>
        <v>#REF!</v>
      </c>
      <c r="HX26" t="e">
        <f>AND('Current Index'!#REF!,"AAAAAF+fv+c=")</f>
        <v>#REF!</v>
      </c>
      <c r="HY26" t="e">
        <f>AND('Current Index'!#REF!,"AAAAAF+fv+g=")</f>
        <v>#REF!</v>
      </c>
      <c r="HZ26">
        <f>IF('Current Index'!663:663,"AAAAAF+fv+k=",0)</f>
        <v>0</v>
      </c>
      <c r="IA26" t="e">
        <f>AND('Current Index'!A663,"AAAAAF+fv+o=")</f>
        <v>#VALUE!</v>
      </c>
      <c r="IB26" t="e">
        <f>AND('Current Index'!#REF!,"AAAAAF+fv+s=")</f>
        <v>#REF!</v>
      </c>
      <c r="IC26" t="e">
        <f>AND('Current Index'!B663,"AAAAAF+fv+w=")</f>
        <v>#VALUE!</v>
      </c>
      <c r="ID26" t="e">
        <f>AND('Current Index'!C663,"AAAAAF+fv+0=")</f>
        <v>#VALUE!</v>
      </c>
      <c r="IE26" t="e">
        <f>AND('Current Index'!D663,"AAAAAF+fv+4=")</f>
        <v>#VALUE!</v>
      </c>
      <c r="IF26" t="e">
        <f>AND('Current Index'!E663,"AAAAAF+fv+8=")</f>
        <v>#VALUE!</v>
      </c>
      <c r="IG26" t="e">
        <f>AND('Current Index'!F663,"AAAAAF+fv/A=")</f>
        <v>#VALUE!</v>
      </c>
      <c r="IH26" t="e">
        <f>AND('Current Index'!G663,"AAAAAF+fv/E=")</f>
        <v>#VALUE!</v>
      </c>
      <c r="II26" t="e">
        <f>AND('Current Index'!H663,"AAAAAF+fv/I=")</f>
        <v>#VALUE!</v>
      </c>
      <c r="IJ26" t="e">
        <f>AND('Current Index'!I663,"AAAAAF+fv/M=")</f>
        <v>#VALUE!</v>
      </c>
      <c r="IK26">
        <f>IF('Current Index'!664:664,"AAAAAF+fv/Q=",0)</f>
        <v>0</v>
      </c>
      <c r="IL26" t="e">
        <f>AND('Current Index'!A664,"AAAAAF+fv/U=")</f>
        <v>#VALUE!</v>
      </c>
      <c r="IM26" t="e">
        <f>AND('Current Index'!#REF!,"AAAAAF+fv/Y=")</f>
        <v>#REF!</v>
      </c>
      <c r="IN26" t="e">
        <f>AND('Current Index'!B664,"AAAAAF+fv/c=")</f>
        <v>#VALUE!</v>
      </c>
      <c r="IO26" t="e">
        <f>AND('Current Index'!C664,"AAAAAF+fv/g=")</f>
        <v>#VALUE!</v>
      </c>
      <c r="IP26" t="e">
        <f>AND('Current Index'!D664,"AAAAAF+fv/k=")</f>
        <v>#VALUE!</v>
      </c>
      <c r="IQ26" t="e">
        <f>AND('Current Index'!E664,"AAAAAF+fv/o=")</f>
        <v>#VALUE!</v>
      </c>
      <c r="IR26" t="e">
        <f>AND('Current Index'!F664,"AAAAAF+fv/s=")</f>
        <v>#VALUE!</v>
      </c>
      <c r="IS26" t="e">
        <f>AND('Current Index'!G664,"AAAAAF+fv/w=")</f>
        <v>#VALUE!</v>
      </c>
      <c r="IT26" t="e">
        <f>AND('Current Index'!H664,"AAAAAF+fv/0=")</f>
        <v>#VALUE!</v>
      </c>
      <c r="IU26" t="e">
        <f>AND('Current Index'!I664,"AAAAAF+fv/4=")</f>
        <v>#VALUE!</v>
      </c>
      <c r="IV26">
        <f>IF('Current Index'!665:665,"AAAAAF+fv/8=",0)</f>
        <v>0</v>
      </c>
    </row>
    <row r="27" spans="1:256" x14ac:dyDescent="0.25">
      <c r="A27" t="e">
        <f>AND('Current Index'!A665,"AAAAADr//wA=")</f>
        <v>#VALUE!</v>
      </c>
      <c r="B27" t="e">
        <f>AND('Current Index'!#REF!,"AAAAADr//wE=")</f>
        <v>#REF!</v>
      </c>
      <c r="C27" t="e">
        <f>AND('Current Index'!B665,"AAAAADr//wI=")</f>
        <v>#VALUE!</v>
      </c>
      <c r="D27" t="e">
        <f>AND('Current Index'!C665,"AAAAADr//wM=")</f>
        <v>#VALUE!</v>
      </c>
      <c r="E27" t="e">
        <f>AND('Current Index'!D665,"AAAAADr//wQ=")</f>
        <v>#VALUE!</v>
      </c>
      <c r="F27" t="e">
        <f>AND('Current Index'!E665,"AAAAADr//wU=")</f>
        <v>#VALUE!</v>
      </c>
      <c r="G27" t="e">
        <f>AND('Current Index'!F665,"AAAAADr//wY=")</f>
        <v>#VALUE!</v>
      </c>
      <c r="H27" t="e">
        <f>AND('Current Index'!G665,"AAAAADr//wc=")</f>
        <v>#VALUE!</v>
      </c>
      <c r="I27" t="e">
        <f>AND('Current Index'!H665,"AAAAADr//wg=")</f>
        <v>#VALUE!</v>
      </c>
      <c r="J27" t="e">
        <f>AND('Current Index'!I665,"AAAAADr//wk=")</f>
        <v>#VALUE!</v>
      </c>
      <c r="K27">
        <f>IF('Current Index'!666:666,"AAAAADr//wo=",0)</f>
        <v>0</v>
      </c>
      <c r="L27" t="e">
        <f>AND('Current Index'!A666,"AAAAADr//ws=")</f>
        <v>#VALUE!</v>
      </c>
      <c r="M27" t="e">
        <f>AND('Current Index'!#REF!,"AAAAADr//ww=")</f>
        <v>#REF!</v>
      </c>
      <c r="N27" t="e">
        <f>AND('Current Index'!B666,"AAAAADr//w0=")</f>
        <v>#VALUE!</v>
      </c>
      <c r="O27" t="e">
        <f>AND('Current Index'!C666,"AAAAADr//w4=")</f>
        <v>#VALUE!</v>
      </c>
      <c r="P27" t="e">
        <f>AND('Current Index'!D666,"AAAAADr//w8=")</f>
        <v>#VALUE!</v>
      </c>
      <c r="Q27" t="e">
        <f>AND('Current Index'!E666,"AAAAADr//xA=")</f>
        <v>#VALUE!</v>
      </c>
      <c r="R27" t="e">
        <f>AND('Current Index'!F666,"AAAAADr//xE=")</f>
        <v>#VALUE!</v>
      </c>
      <c r="S27" t="e">
        <f>AND('Current Index'!G666,"AAAAADr//xI=")</f>
        <v>#VALUE!</v>
      </c>
      <c r="T27" t="e">
        <f>AND('Current Index'!H666,"AAAAADr//xM=")</f>
        <v>#VALUE!</v>
      </c>
      <c r="U27" t="e">
        <f>AND('Current Index'!I666,"AAAAADr//xQ=")</f>
        <v>#VALUE!</v>
      </c>
      <c r="V27">
        <f>IF('Current Index'!667:667,"AAAAADr//xU=",0)</f>
        <v>0</v>
      </c>
      <c r="W27" t="e">
        <f>AND('Current Index'!A667,"AAAAADr//xY=")</f>
        <v>#VALUE!</v>
      </c>
      <c r="X27" t="e">
        <f>AND('Current Index'!#REF!,"AAAAADr//xc=")</f>
        <v>#REF!</v>
      </c>
      <c r="Y27" t="e">
        <f>AND('Current Index'!B667,"AAAAADr//xg=")</f>
        <v>#VALUE!</v>
      </c>
      <c r="Z27" t="e">
        <f>AND('Current Index'!C667,"AAAAADr//xk=")</f>
        <v>#VALUE!</v>
      </c>
      <c r="AA27" t="e">
        <f>AND('Current Index'!D667,"AAAAADr//xo=")</f>
        <v>#VALUE!</v>
      </c>
      <c r="AB27" t="e">
        <f>AND('Current Index'!E667,"AAAAADr//xs=")</f>
        <v>#VALUE!</v>
      </c>
      <c r="AC27" t="e">
        <f>AND('Current Index'!F667,"AAAAADr//xw=")</f>
        <v>#VALUE!</v>
      </c>
      <c r="AD27" t="e">
        <f>AND('Current Index'!G667,"AAAAADr//x0=")</f>
        <v>#VALUE!</v>
      </c>
      <c r="AE27" t="e">
        <f>AND('Current Index'!H667,"AAAAADr//x4=")</f>
        <v>#VALUE!</v>
      </c>
      <c r="AF27" t="e">
        <f>AND('Current Index'!I667,"AAAAADr//x8=")</f>
        <v>#VALUE!</v>
      </c>
      <c r="AG27">
        <f>IF('Current Index'!668:668,"AAAAADr//yA=",0)</f>
        <v>0</v>
      </c>
      <c r="AH27" t="e">
        <f>AND('Current Index'!A668,"AAAAADr//yE=")</f>
        <v>#VALUE!</v>
      </c>
      <c r="AI27" t="e">
        <f>AND('Current Index'!#REF!,"AAAAADr//yI=")</f>
        <v>#REF!</v>
      </c>
      <c r="AJ27" t="e">
        <f>AND('Current Index'!B668,"AAAAADr//yM=")</f>
        <v>#VALUE!</v>
      </c>
      <c r="AK27" t="e">
        <f>AND('Current Index'!C668,"AAAAADr//yQ=")</f>
        <v>#VALUE!</v>
      </c>
      <c r="AL27" t="e">
        <f>AND('Current Index'!D668,"AAAAADr//yU=")</f>
        <v>#VALUE!</v>
      </c>
      <c r="AM27" t="e">
        <f>AND('Current Index'!E668,"AAAAADr//yY=")</f>
        <v>#VALUE!</v>
      </c>
      <c r="AN27" t="e">
        <f>AND('Current Index'!F668,"AAAAADr//yc=")</f>
        <v>#VALUE!</v>
      </c>
      <c r="AO27" t="e">
        <f>AND('Current Index'!G668,"AAAAADr//yg=")</f>
        <v>#VALUE!</v>
      </c>
      <c r="AP27" t="e">
        <f>AND('Current Index'!H668,"AAAAADr//yk=")</f>
        <v>#VALUE!</v>
      </c>
      <c r="AQ27" t="e">
        <f>AND('Current Index'!I668,"AAAAADr//yo=")</f>
        <v>#VALUE!</v>
      </c>
      <c r="AR27">
        <f>IF('Current Index'!671:671,"AAAAADr//ys=",0)</f>
        <v>0</v>
      </c>
      <c r="AS27" t="e">
        <f>AND('Current Index'!A671,"AAAAADr//yw=")</f>
        <v>#VALUE!</v>
      </c>
      <c r="AT27" t="e">
        <f>AND('Current Index'!#REF!,"AAAAADr//y0=")</f>
        <v>#REF!</v>
      </c>
      <c r="AU27" t="e">
        <f>AND('Current Index'!B671,"AAAAADr//y4=")</f>
        <v>#VALUE!</v>
      </c>
      <c r="AV27" t="e">
        <f>AND('Current Index'!C671,"AAAAADr//y8=")</f>
        <v>#VALUE!</v>
      </c>
      <c r="AW27" t="e">
        <f>AND('Current Index'!D671,"AAAAADr//zA=")</f>
        <v>#VALUE!</v>
      </c>
      <c r="AX27" t="e">
        <f>AND('Current Index'!E671,"AAAAADr//zE=")</f>
        <v>#VALUE!</v>
      </c>
      <c r="AY27" t="e">
        <f>AND('Current Index'!F671,"AAAAADr//zI=")</f>
        <v>#VALUE!</v>
      </c>
      <c r="AZ27" t="e">
        <f>AND('Current Index'!G671,"AAAAADr//zM=")</f>
        <v>#VALUE!</v>
      </c>
      <c r="BA27" t="e">
        <f>AND('Current Index'!H671,"AAAAADr//zQ=")</f>
        <v>#VALUE!</v>
      </c>
      <c r="BB27" t="e">
        <f>AND('Current Index'!I671,"AAAAADr//zU=")</f>
        <v>#VALUE!</v>
      </c>
      <c r="BC27">
        <f>IF('Current Index'!672:672,"AAAAADr//zY=",0)</f>
        <v>0</v>
      </c>
      <c r="BD27" t="e">
        <f>AND('Current Index'!A672,"AAAAADr//zc=")</f>
        <v>#VALUE!</v>
      </c>
      <c r="BE27" t="e">
        <f>AND('Current Index'!#REF!,"AAAAADr//zg=")</f>
        <v>#REF!</v>
      </c>
      <c r="BF27" t="e">
        <f>AND('Current Index'!B672,"AAAAADr//zk=")</f>
        <v>#VALUE!</v>
      </c>
      <c r="BG27" t="e">
        <f>AND('Current Index'!C672,"AAAAADr//zo=")</f>
        <v>#VALUE!</v>
      </c>
      <c r="BH27" t="e">
        <f>AND('Current Index'!D672,"AAAAADr//zs=")</f>
        <v>#VALUE!</v>
      </c>
      <c r="BI27" t="e">
        <f>AND('Current Index'!E672,"AAAAADr//zw=")</f>
        <v>#VALUE!</v>
      </c>
      <c r="BJ27" t="e">
        <f>AND('Current Index'!F672,"AAAAADr//z0=")</f>
        <v>#VALUE!</v>
      </c>
      <c r="BK27" t="e">
        <f>AND('Current Index'!G672,"AAAAADr//z4=")</f>
        <v>#VALUE!</v>
      </c>
      <c r="BL27" t="e">
        <f>AND('Current Index'!H672,"AAAAADr//z8=")</f>
        <v>#VALUE!</v>
      </c>
      <c r="BM27" t="e">
        <f>AND('Current Index'!I672,"AAAAADr//0A=")</f>
        <v>#VALUE!</v>
      </c>
      <c r="BN27">
        <f>IF('Current Index'!673:673,"AAAAADr//0E=",0)</f>
        <v>0</v>
      </c>
      <c r="BO27" t="e">
        <f>AND('Current Index'!A673,"AAAAADr//0I=")</f>
        <v>#VALUE!</v>
      </c>
      <c r="BP27" t="e">
        <f>AND('Current Index'!#REF!,"AAAAADr//0M=")</f>
        <v>#REF!</v>
      </c>
      <c r="BQ27" t="e">
        <f>AND('Current Index'!B673,"AAAAADr//0Q=")</f>
        <v>#VALUE!</v>
      </c>
      <c r="BR27" t="e">
        <f>AND('Current Index'!C673,"AAAAADr//0U=")</f>
        <v>#VALUE!</v>
      </c>
      <c r="BS27" t="e">
        <f>AND('Current Index'!D673,"AAAAADr//0Y=")</f>
        <v>#VALUE!</v>
      </c>
      <c r="BT27" t="e">
        <f>AND('Current Index'!E673,"AAAAADr//0c=")</f>
        <v>#VALUE!</v>
      </c>
      <c r="BU27" t="e">
        <f>AND('Current Index'!F673,"AAAAADr//0g=")</f>
        <v>#VALUE!</v>
      </c>
      <c r="BV27" t="e">
        <f>AND('Current Index'!G673,"AAAAADr//0k=")</f>
        <v>#VALUE!</v>
      </c>
      <c r="BW27" t="e">
        <f>AND('Current Index'!H673,"AAAAADr//0o=")</f>
        <v>#VALUE!</v>
      </c>
      <c r="BX27" t="e">
        <f>AND('Current Index'!I673,"AAAAADr//0s=")</f>
        <v>#VALUE!</v>
      </c>
      <c r="BY27">
        <f>IF('Current Index'!674:674,"AAAAADr//0w=",0)</f>
        <v>0</v>
      </c>
      <c r="BZ27" t="e">
        <f>AND('Current Index'!A674,"AAAAADr//00=")</f>
        <v>#VALUE!</v>
      </c>
      <c r="CA27" t="e">
        <f>AND('Current Index'!#REF!,"AAAAADr//04=")</f>
        <v>#REF!</v>
      </c>
      <c r="CB27" t="e">
        <f>AND('Current Index'!B674,"AAAAADr//08=")</f>
        <v>#VALUE!</v>
      </c>
      <c r="CC27" t="e">
        <f>AND('Current Index'!C674,"AAAAADr//1A=")</f>
        <v>#VALUE!</v>
      </c>
      <c r="CD27" t="e">
        <f>AND('Current Index'!D674,"AAAAADr//1E=")</f>
        <v>#VALUE!</v>
      </c>
      <c r="CE27" t="e">
        <f>AND('Current Index'!E674,"AAAAADr//1I=")</f>
        <v>#VALUE!</v>
      </c>
      <c r="CF27" t="e">
        <f>AND('Current Index'!F674,"AAAAADr//1M=")</f>
        <v>#VALUE!</v>
      </c>
      <c r="CG27" t="e">
        <f>AND('Current Index'!G674,"AAAAADr//1Q=")</f>
        <v>#VALUE!</v>
      </c>
      <c r="CH27" t="e">
        <f>AND('Current Index'!H674,"AAAAADr//1U=")</f>
        <v>#VALUE!</v>
      </c>
      <c r="CI27" t="e">
        <f>AND('Current Index'!I674,"AAAAADr//1Y=")</f>
        <v>#VALUE!</v>
      </c>
      <c r="CJ27">
        <f>IF('Current Index'!675:675,"AAAAADr//1c=",0)</f>
        <v>0</v>
      </c>
      <c r="CK27" t="e">
        <f>AND('Current Index'!A675,"AAAAADr//1g=")</f>
        <v>#VALUE!</v>
      </c>
      <c r="CL27" t="e">
        <f>AND('Current Index'!#REF!,"AAAAADr//1k=")</f>
        <v>#REF!</v>
      </c>
      <c r="CM27" t="e">
        <f>AND('Current Index'!B675,"AAAAADr//1o=")</f>
        <v>#VALUE!</v>
      </c>
      <c r="CN27" t="e">
        <f>AND('Current Index'!C675,"AAAAADr//1s=")</f>
        <v>#VALUE!</v>
      </c>
      <c r="CO27" t="e">
        <f>AND('Current Index'!D675,"AAAAADr//1w=")</f>
        <v>#VALUE!</v>
      </c>
      <c r="CP27" t="e">
        <f>AND('Current Index'!E675,"AAAAADr//10=")</f>
        <v>#VALUE!</v>
      </c>
      <c r="CQ27" t="e">
        <f>AND('Current Index'!F675,"AAAAADr//14=")</f>
        <v>#VALUE!</v>
      </c>
      <c r="CR27" t="e">
        <f>AND('Current Index'!G675,"AAAAADr//18=")</f>
        <v>#VALUE!</v>
      </c>
      <c r="CS27" t="e">
        <f>AND('Current Index'!H675,"AAAAADr//2A=")</f>
        <v>#VALUE!</v>
      </c>
      <c r="CT27" t="e">
        <f>AND('Current Index'!I675,"AAAAADr//2E=")</f>
        <v>#VALUE!</v>
      </c>
      <c r="CU27">
        <f>IF('Current Index'!676:676,"AAAAADr//2I=",0)</f>
        <v>0</v>
      </c>
      <c r="CV27" t="e">
        <f>AND('Current Index'!A676,"AAAAADr//2M=")</f>
        <v>#VALUE!</v>
      </c>
      <c r="CW27" t="e">
        <f>AND('Current Index'!#REF!,"AAAAADr//2Q=")</f>
        <v>#REF!</v>
      </c>
      <c r="CX27" t="e">
        <f>AND('Current Index'!B676,"AAAAADr//2U=")</f>
        <v>#VALUE!</v>
      </c>
      <c r="CY27" t="e">
        <f>AND('Current Index'!C676,"AAAAADr//2Y=")</f>
        <v>#VALUE!</v>
      </c>
      <c r="CZ27" t="e">
        <f>AND('Current Index'!D676,"AAAAADr//2c=")</f>
        <v>#VALUE!</v>
      </c>
      <c r="DA27" t="e">
        <f>AND('Current Index'!E676,"AAAAADr//2g=")</f>
        <v>#VALUE!</v>
      </c>
      <c r="DB27" t="e">
        <f>AND('Current Index'!F676,"AAAAADr//2k=")</f>
        <v>#VALUE!</v>
      </c>
      <c r="DC27" t="e">
        <f>AND('Current Index'!G676,"AAAAADr//2o=")</f>
        <v>#VALUE!</v>
      </c>
      <c r="DD27" t="e">
        <f>AND('Current Index'!H676,"AAAAADr//2s=")</f>
        <v>#VALUE!</v>
      </c>
      <c r="DE27" t="e">
        <f>AND('Current Index'!I676,"AAAAADr//2w=")</f>
        <v>#VALUE!</v>
      </c>
      <c r="DF27">
        <f>IF('Current Index'!677:677,"AAAAADr//20=",0)</f>
        <v>0</v>
      </c>
      <c r="DG27" t="e">
        <f>AND('Current Index'!A677,"AAAAADr//24=")</f>
        <v>#VALUE!</v>
      </c>
      <c r="DH27" t="e">
        <f>AND('Current Index'!#REF!,"AAAAADr//28=")</f>
        <v>#REF!</v>
      </c>
      <c r="DI27" t="e">
        <f>AND('Current Index'!B677,"AAAAADr//3A=")</f>
        <v>#VALUE!</v>
      </c>
      <c r="DJ27" t="e">
        <f>AND('Current Index'!C677,"AAAAADr//3E=")</f>
        <v>#VALUE!</v>
      </c>
      <c r="DK27" t="e">
        <f>AND('Current Index'!D677,"AAAAADr//3I=")</f>
        <v>#VALUE!</v>
      </c>
      <c r="DL27" t="e">
        <f>AND('Current Index'!E677,"AAAAADr//3M=")</f>
        <v>#VALUE!</v>
      </c>
      <c r="DM27" t="e">
        <f>AND('Current Index'!F677,"AAAAADr//3Q=")</f>
        <v>#VALUE!</v>
      </c>
      <c r="DN27" t="e">
        <f>AND('Current Index'!G677,"AAAAADr//3U=")</f>
        <v>#VALUE!</v>
      </c>
      <c r="DO27" t="e">
        <f>AND('Current Index'!H677,"AAAAADr//3Y=")</f>
        <v>#VALUE!</v>
      </c>
      <c r="DP27" t="e">
        <f>AND('Current Index'!I677,"AAAAADr//3c=")</f>
        <v>#VALUE!</v>
      </c>
      <c r="DQ27">
        <f>IF('Current Index'!678:678,"AAAAADr//3g=",0)</f>
        <v>0</v>
      </c>
      <c r="DR27" t="e">
        <f>AND('Current Index'!A678,"AAAAADr//3k=")</f>
        <v>#VALUE!</v>
      </c>
      <c r="DS27" t="e">
        <f>AND('Current Index'!#REF!,"AAAAADr//3o=")</f>
        <v>#REF!</v>
      </c>
      <c r="DT27" t="e">
        <f>AND('Current Index'!B678,"AAAAADr//3s=")</f>
        <v>#VALUE!</v>
      </c>
      <c r="DU27" t="e">
        <f>AND('Current Index'!C678,"AAAAADr//3w=")</f>
        <v>#VALUE!</v>
      </c>
      <c r="DV27" t="e">
        <f>AND('Current Index'!D678,"AAAAADr//30=")</f>
        <v>#VALUE!</v>
      </c>
      <c r="DW27" t="e">
        <f>AND('Current Index'!E678,"AAAAADr//34=")</f>
        <v>#VALUE!</v>
      </c>
      <c r="DX27" t="e">
        <f>AND('Current Index'!F678,"AAAAADr//38=")</f>
        <v>#VALUE!</v>
      </c>
      <c r="DY27" t="e">
        <f>AND('Current Index'!G678,"AAAAADr//4A=")</f>
        <v>#VALUE!</v>
      </c>
      <c r="DZ27" t="e">
        <f>AND('Current Index'!H678,"AAAAADr//4E=")</f>
        <v>#VALUE!</v>
      </c>
      <c r="EA27" t="e">
        <f>AND('Current Index'!I678,"AAAAADr//4I=")</f>
        <v>#VALUE!</v>
      </c>
      <c r="EB27">
        <f>IF('Current Index'!679:679,"AAAAADr//4M=",0)</f>
        <v>0</v>
      </c>
      <c r="EC27" t="e">
        <f>AND('Current Index'!A679,"AAAAADr//4Q=")</f>
        <v>#VALUE!</v>
      </c>
      <c r="ED27" t="e">
        <f>AND('Current Index'!#REF!,"AAAAADr//4U=")</f>
        <v>#REF!</v>
      </c>
      <c r="EE27" t="e">
        <f>AND('Current Index'!B679,"AAAAADr//4Y=")</f>
        <v>#VALUE!</v>
      </c>
      <c r="EF27" t="e">
        <f>AND('Current Index'!C679,"AAAAADr//4c=")</f>
        <v>#VALUE!</v>
      </c>
      <c r="EG27" t="e">
        <f>AND('Current Index'!D679,"AAAAADr//4g=")</f>
        <v>#VALUE!</v>
      </c>
      <c r="EH27" t="e">
        <f>AND('Current Index'!E679,"AAAAADr//4k=")</f>
        <v>#VALUE!</v>
      </c>
      <c r="EI27" t="e">
        <f>AND('Current Index'!F679,"AAAAADr//4o=")</f>
        <v>#VALUE!</v>
      </c>
      <c r="EJ27" t="e">
        <f>AND('Current Index'!G679,"AAAAADr//4s=")</f>
        <v>#VALUE!</v>
      </c>
      <c r="EK27" t="e">
        <f>AND('Current Index'!H679,"AAAAADr//4w=")</f>
        <v>#VALUE!</v>
      </c>
      <c r="EL27" t="e">
        <f>AND('Current Index'!I679,"AAAAADr//40=")</f>
        <v>#VALUE!</v>
      </c>
      <c r="EM27" t="e">
        <f>IF('Current Index'!#REF!,"AAAAADr//44=",0)</f>
        <v>#REF!</v>
      </c>
      <c r="EN27" t="e">
        <f>AND('Current Index'!#REF!,"AAAAADr//48=")</f>
        <v>#REF!</v>
      </c>
      <c r="EO27" t="e">
        <f>AND('Current Index'!#REF!,"AAAAADr//5A=")</f>
        <v>#REF!</v>
      </c>
      <c r="EP27" t="e">
        <f>AND('Current Index'!#REF!,"AAAAADr//5E=")</f>
        <v>#REF!</v>
      </c>
      <c r="EQ27" t="e">
        <f>AND('Current Index'!#REF!,"AAAAADr//5I=")</f>
        <v>#REF!</v>
      </c>
      <c r="ER27" t="e">
        <f>AND('Current Index'!#REF!,"AAAAADr//5M=")</f>
        <v>#REF!</v>
      </c>
      <c r="ES27" t="e">
        <f>AND('Current Index'!#REF!,"AAAAADr//5Q=")</f>
        <v>#REF!</v>
      </c>
      <c r="ET27" t="e">
        <f>AND('Current Index'!#REF!,"AAAAADr//5U=")</f>
        <v>#REF!</v>
      </c>
      <c r="EU27" t="e">
        <f>AND('Current Index'!#REF!,"AAAAADr//5Y=")</f>
        <v>#REF!</v>
      </c>
      <c r="EV27" t="e">
        <f>AND('Current Index'!#REF!,"AAAAADr//5c=")</f>
        <v>#REF!</v>
      </c>
      <c r="EW27" t="e">
        <f>AND('Current Index'!#REF!,"AAAAADr//5g=")</f>
        <v>#REF!</v>
      </c>
      <c r="EX27" t="e">
        <f>IF('Current Index'!#REF!,"AAAAADr//5k=",0)</f>
        <v>#REF!</v>
      </c>
      <c r="EY27" t="e">
        <f>AND('Current Index'!#REF!,"AAAAADr//5o=")</f>
        <v>#REF!</v>
      </c>
      <c r="EZ27" t="e">
        <f>AND('Current Index'!#REF!,"AAAAADr//5s=")</f>
        <v>#REF!</v>
      </c>
      <c r="FA27" t="e">
        <f>AND('Current Index'!#REF!,"AAAAADr//5w=")</f>
        <v>#REF!</v>
      </c>
      <c r="FB27" t="e">
        <f>AND('Current Index'!#REF!,"AAAAADr//50=")</f>
        <v>#REF!</v>
      </c>
      <c r="FC27" t="e">
        <f>AND('Current Index'!#REF!,"AAAAADr//54=")</f>
        <v>#REF!</v>
      </c>
      <c r="FD27" t="e">
        <f>AND('Current Index'!#REF!,"AAAAADr//58=")</f>
        <v>#REF!</v>
      </c>
      <c r="FE27" t="e">
        <f>AND('Current Index'!#REF!,"AAAAADr//6A=")</f>
        <v>#REF!</v>
      </c>
      <c r="FF27" t="e">
        <f>AND('Current Index'!#REF!,"AAAAADr//6E=")</f>
        <v>#REF!</v>
      </c>
      <c r="FG27" t="e">
        <f>AND('Current Index'!#REF!,"AAAAADr//6I=")</f>
        <v>#REF!</v>
      </c>
      <c r="FH27" t="e">
        <f>AND('Current Index'!#REF!,"AAAAADr//6M=")</f>
        <v>#REF!</v>
      </c>
      <c r="FI27" t="e">
        <f>IF('Current Index'!#REF!,"AAAAADr//6Q=",0)</f>
        <v>#REF!</v>
      </c>
      <c r="FJ27" t="e">
        <f>AND('Current Index'!#REF!,"AAAAADr//6U=")</f>
        <v>#REF!</v>
      </c>
      <c r="FK27" t="e">
        <f>AND('Current Index'!#REF!,"AAAAADr//6Y=")</f>
        <v>#REF!</v>
      </c>
      <c r="FL27" t="e">
        <f>AND('Current Index'!#REF!,"AAAAADr//6c=")</f>
        <v>#REF!</v>
      </c>
      <c r="FM27" t="e">
        <f>AND('Current Index'!#REF!,"AAAAADr//6g=")</f>
        <v>#REF!</v>
      </c>
      <c r="FN27" t="e">
        <f>AND('Current Index'!#REF!,"AAAAADr//6k=")</f>
        <v>#REF!</v>
      </c>
      <c r="FO27" t="e">
        <f>AND('Current Index'!#REF!,"AAAAADr//6o=")</f>
        <v>#REF!</v>
      </c>
      <c r="FP27" t="e">
        <f>AND('Current Index'!#REF!,"AAAAADr//6s=")</f>
        <v>#REF!</v>
      </c>
      <c r="FQ27" t="e">
        <f>AND('Current Index'!#REF!,"AAAAADr//6w=")</f>
        <v>#REF!</v>
      </c>
      <c r="FR27" t="e">
        <f>AND('Current Index'!#REF!,"AAAAADr//60=")</f>
        <v>#REF!</v>
      </c>
      <c r="FS27" t="e">
        <f>AND('Current Index'!#REF!,"AAAAADr//64=")</f>
        <v>#REF!</v>
      </c>
      <c r="FT27" t="e">
        <f>IF('Current Index'!#REF!,"AAAAADr//68=",0)</f>
        <v>#REF!</v>
      </c>
      <c r="FU27" t="e">
        <f>AND('Current Index'!#REF!,"AAAAADr//7A=")</f>
        <v>#REF!</v>
      </c>
      <c r="FV27" t="e">
        <f>AND('Current Index'!#REF!,"AAAAADr//7E=")</f>
        <v>#REF!</v>
      </c>
      <c r="FW27" t="e">
        <f>AND('Current Index'!#REF!,"AAAAADr//7I=")</f>
        <v>#REF!</v>
      </c>
      <c r="FX27" t="e">
        <f>AND('Current Index'!#REF!,"AAAAADr//7M=")</f>
        <v>#REF!</v>
      </c>
      <c r="FY27" t="e">
        <f>AND('Current Index'!#REF!,"AAAAADr//7Q=")</f>
        <v>#REF!</v>
      </c>
      <c r="FZ27" t="e">
        <f>AND('Current Index'!#REF!,"AAAAADr//7U=")</f>
        <v>#REF!</v>
      </c>
      <c r="GA27" t="e">
        <f>AND('Current Index'!#REF!,"AAAAADr//7Y=")</f>
        <v>#REF!</v>
      </c>
      <c r="GB27" t="e">
        <f>AND('Current Index'!#REF!,"AAAAADr//7c=")</f>
        <v>#REF!</v>
      </c>
      <c r="GC27" t="e">
        <f>AND('Current Index'!#REF!,"AAAAADr//7g=")</f>
        <v>#REF!</v>
      </c>
      <c r="GD27" t="e">
        <f>AND('Current Index'!#REF!,"AAAAADr//7k=")</f>
        <v>#REF!</v>
      </c>
      <c r="GE27" t="e">
        <f>IF('Current Index'!#REF!,"AAAAADr//7o=",0)</f>
        <v>#REF!</v>
      </c>
      <c r="GF27" t="e">
        <f>AND('Current Index'!#REF!,"AAAAADr//7s=")</f>
        <v>#REF!</v>
      </c>
      <c r="GG27" t="e">
        <f>AND('Current Index'!#REF!,"AAAAADr//7w=")</f>
        <v>#REF!</v>
      </c>
      <c r="GH27" t="e">
        <f>AND('Current Index'!#REF!,"AAAAADr//70=")</f>
        <v>#REF!</v>
      </c>
      <c r="GI27" t="e">
        <f>AND('Current Index'!#REF!,"AAAAADr//74=")</f>
        <v>#REF!</v>
      </c>
      <c r="GJ27" t="e">
        <f>AND('Current Index'!#REF!,"AAAAADr//78=")</f>
        <v>#REF!</v>
      </c>
      <c r="GK27" t="e">
        <f>AND('Current Index'!#REF!,"AAAAADr//8A=")</f>
        <v>#REF!</v>
      </c>
      <c r="GL27" t="e">
        <f>AND('Current Index'!#REF!,"AAAAADr//8E=")</f>
        <v>#REF!</v>
      </c>
      <c r="GM27" t="e">
        <f>AND('Current Index'!#REF!,"AAAAADr//8I=")</f>
        <v>#REF!</v>
      </c>
      <c r="GN27" t="e">
        <f>AND('Current Index'!#REF!,"AAAAADr//8M=")</f>
        <v>#REF!</v>
      </c>
      <c r="GO27" t="e">
        <f>AND('Current Index'!#REF!,"AAAAADr//8Q=")</f>
        <v>#REF!</v>
      </c>
      <c r="GP27">
        <f>IF('Current Index'!680:680,"AAAAADr//8U=",0)</f>
        <v>0</v>
      </c>
      <c r="GQ27" t="e">
        <f>AND('Current Index'!A680,"AAAAADr//8Y=")</f>
        <v>#VALUE!</v>
      </c>
      <c r="GR27" t="e">
        <f>AND('Current Index'!#REF!,"AAAAADr//8c=")</f>
        <v>#REF!</v>
      </c>
      <c r="GS27" t="e">
        <f>AND('Current Index'!B680,"AAAAADr//8g=")</f>
        <v>#VALUE!</v>
      </c>
      <c r="GT27" t="e">
        <f>AND('Current Index'!C680,"AAAAADr//8k=")</f>
        <v>#VALUE!</v>
      </c>
      <c r="GU27" t="e">
        <f>AND('Current Index'!D680,"AAAAADr//8o=")</f>
        <v>#VALUE!</v>
      </c>
      <c r="GV27" t="e">
        <f>AND('Current Index'!E680,"AAAAADr//8s=")</f>
        <v>#VALUE!</v>
      </c>
      <c r="GW27" t="e">
        <f>AND('Current Index'!F680,"AAAAADr//8w=")</f>
        <v>#VALUE!</v>
      </c>
      <c r="GX27" t="e">
        <f>AND('Current Index'!G680,"AAAAADr//80=")</f>
        <v>#VALUE!</v>
      </c>
      <c r="GY27" t="e">
        <f>AND('Current Index'!H680,"AAAAADr//84=")</f>
        <v>#VALUE!</v>
      </c>
      <c r="GZ27" t="e">
        <f>AND('Current Index'!I680,"AAAAADr//88=")</f>
        <v>#VALUE!</v>
      </c>
      <c r="HA27">
        <f>IF('Current Index'!681:681,"AAAAADr//9A=",0)</f>
        <v>0</v>
      </c>
      <c r="HB27" t="e">
        <f>AND('Current Index'!A681,"AAAAADr//9E=")</f>
        <v>#VALUE!</v>
      </c>
      <c r="HC27" t="e">
        <f>AND('Current Index'!#REF!,"AAAAADr//9I=")</f>
        <v>#REF!</v>
      </c>
      <c r="HD27" t="e">
        <f>AND('Current Index'!B681,"AAAAADr//9M=")</f>
        <v>#VALUE!</v>
      </c>
      <c r="HE27" t="e">
        <f>AND('Current Index'!C681,"AAAAADr//9Q=")</f>
        <v>#VALUE!</v>
      </c>
      <c r="HF27" t="e">
        <f>AND('Current Index'!D681,"AAAAADr//9U=")</f>
        <v>#VALUE!</v>
      </c>
      <c r="HG27" t="e">
        <f>AND('Current Index'!E681,"AAAAADr//9Y=")</f>
        <v>#VALUE!</v>
      </c>
      <c r="HH27" t="e">
        <f>AND('Current Index'!F681,"AAAAADr//9c=")</f>
        <v>#VALUE!</v>
      </c>
      <c r="HI27" t="e">
        <f>AND('Current Index'!G681,"AAAAADr//9g=")</f>
        <v>#VALUE!</v>
      </c>
      <c r="HJ27" t="e">
        <f>AND('Current Index'!H681,"AAAAADr//9k=")</f>
        <v>#VALUE!</v>
      </c>
      <c r="HK27" t="e">
        <f>AND('Current Index'!I681,"AAAAADr//9o=")</f>
        <v>#VALUE!</v>
      </c>
      <c r="HL27" t="e">
        <f>IF('Current Index'!#REF!,"AAAAADr//9s=",0)</f>
        <v>#REF!</v>
      </c>
      <c r="HM27" t="e">
        <f>AND('Current Index'!#REF!,"AAAAADr//9w=")</f>
        <v>#REF!</v>
      </c>
      <c r="HN27" t="e">
        <f>AND('Current Index'!#REF!,"AAAAADr//90=")</f>
        <v>#REF!</v>
      </c>
      <c r="HO27" t="e">
        <f>AND('Current Index'!#REF!,"AAAAADr//94=")</f>
        <v>#REF!</v>
      </c>
      <c r="HP27" t="e">
        <f>AND('Current Index'!#REF!,"AAAAADr//98=")</f>
        <v>#REF!</v>
      </c>
      <c r="HQ27" t="e">
        <f>AND('Current Index'!#REF!,"AAAAADr//+A=")</f>
        <v>#REF!</v>
      </c>
      <c r="HR27" t="e">
        <f>AND('Current Index'!#REF!,"AAAAADr//+E=")</f>
        <v>#REF!</v>
      </c>
      <c r="HS27" t="e">
        <f>AND('Current Index'!#REF!,"AAAAADr//+I=")</f>
        <v>#REF!</v>
      </c>
      <c r="HT27" t="e">
        <f>AND('Current Index'!#REF!,"AAAAADr//+M=")</f>
        <v>#REF!</v>
      </c>
      <c r="HU27" t="e">
        <f>AND('Current Index'!#REF!,"AAAAADr//+Q=")</f>
        <v>#REF!</v>
      </c>
      <c r="HV27" t="e">
        <f>AND('Current Index'!#REF!,"AAAAADr//+U=")</f>
        <v>#REF!</v>
      </c>
      <c r="HW27">
        <f>IF('Current Index'!682:682,"AAAAADr//+Y=",0)</f>
        <v>0</v>
      </c>
      <c r="HX27" t="e">
        <f>AND('Current Index'!A682,"AAAAADr//+c=")</f>
        <v>#VALUE!</v>
      </c>
      <c r="HY27" t="e">
        <f>AND('Current Index'!#REF!,"AAAAADr//+g=")</f>
        <v>#REF!</v>
      </c>
      <c r="HZ27" t="e">
        <f>AND('Current Index'!B682,"AAAAADr//+k=")</f>
        <v>#VALUE!</v>
      </c>
      <c r="IA27" t="e">
        <f>AND('Current Index'!C682,"AAAAADr//+o=")</f>
        <v>#VALUE!</v>
      </c>
      <c r="IB27" t="e">
        <f>AND('Current Index'!D682,"AAAAADr//+s=")</f>
        <v>#VALUE!</v>
      </c>
      <c r="IC27" t="e">
        <f>AND('Current Index'!E682,"AAAAADr//+w=")</f>
        <v>#VALUE!</v>
      </c>
      <c r="ID27" t="e">
        <f>AND('Current Index'!F682,"AAAAADr//+0=")</f>
        <v>#VALUE!</v>
      </c>
      <c r="IE27" t="e">
        <f>AND('Current Index'!G682,"AAAAADr//+4=")</f>
        <v>#VALUE!</v>
      </c>
      <c r="IF27" t="e">
        <f>AND('Current Index'!H682,"AAAAADr//+8=")</f>
        <v>#VALUE!</v>
      </c>
      <c r="IG27" t="e">
        <f>AND('Current Index'!I682,"AAAAADr///A=")</f>
        <v>#VALUE!</v>
      </c>
      <c r="IH27" t="e">
        <f>IF('Current Index'!#REF!,"AAAAADr///E=",0)</f>
        <v>#REF!</v>
      </c>
      <c r="II27" t="e">
        <f>AND('Current Index'!#REF!,"AAAAADr///I=")</f>
        <v>#REF!</v>
      </c>
      <c r="IJ27" t="e">
        <f>AND('Current Index'!#REF!,"AAAAADr///M=")</f>
        <v>#REF!</v>
      </c>
      <c r="IK27" t="e">
        <f>AND('Current Index'!#REF!,"AAAAADr///Q=")</f>
        <v>#REF!</v>
      </c>
      <c r="IL27" t="e">
        <f>AND('Current Index'!#REF!,"AAAAADr///U=")</f>
        <v>#REF!</v>
      </c>
      <c r="IM27" t="e">
        <f>AND('Current Index'!#REF!,"AAAAADr///Y=")</f>
        <v>#REF!</v>
      </c>
      <c r="IN27" t="e">
        <f>AND('Current Index'!#REF!,"AAAAADr///c=")</f>
        <v>#REF!</v>
      </c>
      <c r="IO27" t="e">
        <f>AND('Current Index'!#REF!,"AAAAADr///g=")</f>
        <v>#REF!</v>
      </c>
      <c r="IP27" t="e">
        <f>AND('Current Index'!#REF!,"AAAAADr///k=")</f>
        <v>#REF!</v>
      </c>
      <c r="IQ27" t="e">
        <f>AND('Current Index'!#REF!,"AAAAADr///o=")</f>
        <v>#REF!</v>
      </c>
      <c r="IR27" t="e">
        <f>AND('Current Index'!#REF!,"AAAAADr///s=")</f>
        <v>#REF!</v>
      </c>
      <c r="IS27" t="e">
        <f>IF('Current Index'!#REF!,"AAAAADr///w=",0)</f>
        <v>#REF!</v>
      </c>
      <c r="IT27" t="e">
        <f>AND('Current Index'!#REF!,"AAAAADr///0=")</f>
        <v>#REF!</v>
      </c>
      <c r="IU27" t="e">
        <f>AND('Current Index'!#REF!,"AAAAADr///4=")</f>
        <v>#REF!</v>
      </c>
      <c r="IV27" t="e">
        <f>AND('Current Index'!#REF!,"AAAAADr///8=")</f>
        <v>#REF!</v>
      </c>
    </row>
    <row r="28" spans="1:256" x14ac:dyDescent="0.25">
      <c r="A28" t="e">
        <f>AND('Current Index'!#REF!,"AAAAAFf2JgA=")</f>
        <v>#REF!</v>
      </c>
      <c r="B28" t="e">
        <f>AND('Current Index'!#REF!,"AAAAAFf2JgE=")</f>
        <v>#REF!</v>
      </c>
      <c r="C28" t="e">
        <f>AND('Current Index'!#REF!,"AAAAAFf2JgI=")</f>
        <v>#REF!</v>
      </c>
      <c r="D28" t="e">
        <f>AND('Current Index'!#REF!,"AAAAAFf2JgM=")</f>
        <v>#REF!</v>
      </c>
      <c r="E28" t="e">
        <f>AND('Current Index'!#REF!,"AAAAAFf2JgQ=")</f>
        <v>#REF!</v>
      </c>
      <c r="F28" t="e">
        <f>AND('Current Index'!#REF!,"AAAAAFf2JgU=")</f>
        <v>#REF!</v>
      </c>
      <c r="G28" t="e">
        <f>AND('Current Index'!#REF!,"AAAAAFf2JgY=")</f>
        <v>#REF!</v>
      </c>
      <c r="H28" t="e">
        <f>IF('Current Index'!#REF!,"AAAAAFf2Jgc=",0)</f>
        <v>#REF!</v>
      </c>
      <c r="I28" t="e">
        <f>AND('Current Index'!#REF!,"AAAAAFf2Jgg=")</f>
        <v>#REF!</v>
      </c>
      <c r="J28" t="e">
        <f>AND('Current Index'!#REF!,"AAAAAFf2Jgk=")</f>
        <v>#REF!</v>
      </c>
      <c r="K28" t="e">
        <f>AND('Current Index'!#REF!,"AAAAAFf2Jgo=")</f>
        <v>#REF!</v>
      </c>
      <c r="L28" t="e">
        <f>AND('Current Index'!#REF!,"AAAAAFf2Jgs=")</f>
        <v>#REF!</v>
      </c>
      <c r="M28" t="e">
        <f>AND('Current Index'!#REF!,"AAAAAFf2Jgw=")</f>
        <v>#REF!</v>
      </c>
      <c r="N28" t="e">
        <f>AND('Current Index'!#REF!,"AAAAAFf2Jg0=")</f>
        <v>#REF!</v>
      </c>
      <c r="O28" t="e">
        <f>AND('Current Index'!#REF!,"AAAAAFf2Jg4=")</f>
        <v>#REF!</v>
      </c>
      <c r="P28" t="e">
        <f>AND('Current Index'!#REF!,"AAAAAFf2Jg8=")</f>
        <v>#REF!</v>
      </c>
      <c r="Q28" t="e">
        <f>AND('Current Index'!#REF!,"AAAAAFf2JhA=")</f>
        <v>#REF!</v>
      </c>
      <c r="R28" t="e">
        <f>AND('Current Index'!#REF!,"AAAAAFf2JhE=")</f>
        <v>#REF!</v>
      </c>
      <c r="S28" t="e">
        <f>IF('Current Index'!#REF!,"AAAAAFf2JhI=",0)</f>
        <v>#REF!</v>
      </c>
      <c r="T28" t="e">
        <f>AND('Current Index'!#REF!,"AAAAAFf2JhM=")</f>
        <v>#REF!</v>
      </c>
      <c r="U28" t="e">
        <f>AND('Current Index'!#REF!,"AAAAAFf2JhQ=")</f>
        <v>#REF!</v>
      </c>
      <c r="V28" t="e">
        <f>AND('Current Index'!#REF!,"AAAAAFf2JhU=")</f>
        <v>#REF!</v>
      </c>
      <c r="W28" t="e">
        <f>AND('Current Index'!#REF!,"AAAAAFf2JhY=")</f>
        <v>#REF!</v>
      </c>
      <c r="X28" t="e">
        <f>AND('Current Index'!#REF!,"AAAAAFf2Jhc=")</f>
        <v>#REF!</v>
      </c>
      <c r="Y28" t="e">
        <f>AND('Current Index'!#REF!,"AAAAAFf2Jhg=")</f>
        <v>#REF!</v>
      </c>
      <c r="Z28" t="e">
        <f>AND('Current Index'!#REF!,"AAAAAFf2Jhk=")</f>
        <v>#REF!</v>
      </c>
      <c r="AA28" t="e">
        <f>AND('Current Index'!#REF!,"AAAAAFf2Jho=")</f>
        <v>#REF!</v>
      </c>
      <c r="AB28" t="e">
        <f>AND('Current Index'!#REF!,"AAAAAFf2Jhs=")</f>
        <v>#REF!</v>
      </c>
      <c r="AC28" t="e">
        <f>AND('Current Index'!#REF!,"AAAAAFf2Jhw=")</f>
        <v>#REF!</v>
      </c>
      <c r="AD28" t="e">
        <f>IF('Current Index'!#REF!,"AAAAAFf2Jh0=",0)</f>
        <v>#REF!</v>
      </c>
      <c r="AE28" t="e">
        <f>AND('Current Index'!#REF!,"AAAAAFf2Jh4=")</f>
        <v>#REF!</v>
      </c>
      <c r="AF28" t="e">
        <f>AND('Current Index'!#REF!,"AAAAAFf2Jh8=")</f>
        <v>#REF!</v>
      </c>
      <c r="AG28" t="e">
        <f>AND('Current Index'!#REF!,"AAAAAFf2JiA=")</f>
        <v>#REF!</v>
      </c>
      <c r="AH28" t="e">
        <f>AND('Current Index'!#REF!,"AAAAAFf2JiE=")</f>
        <v>#REF!</v>
      </c>
      <c r="AI28" t="e">
        <f>AND('Current Index'!#REF!,"AAAAAFf2JiI=")</f>
        <v>#REF!</v>
      </c>
      <c r="AJ28" t="e">
        <f>AND('Current Index'!#REF!,"AAAAAFf2JiM=")</f>
        <v>#REF!</v>
      </c>
      <c r="AK28" t="e">
        <f>AND('Current Index'!#REF!,"AAAAAFf2JiQ=")</f>
        <v>#REF!</v>
      </c>
      <c r="AL28" t="e">
        <f>AND('Current Index'!#REF!,"AAAAAFf2JiU=")</f>
        <v>#REF!</v>
      </c>
      <c r="AM28" t="e">
        <f>AND('Current Index'!#REF!,"AAAAAFf2JiY=")</f>
        <v>#REF!</v>
      </c>
      <c r="AN28" t="e">
        <f>AND('Current Index'!#REF!,"AAAAAFf2Jic=")</f>
        <v>#REF!</v>
      </c>
      <c r="AO28" t="e">
        <f>IF('Current Index'!#REF!,"AAAAAFf2Jig=",0)</f>
        <v>#REF!</v>
      </c>
      <c r="AP28" t="e">
        <f>AND('Current Index'!#REF!,"AAAAAFf2Jik=")</f>
        <v>#REF!</v>
      </c>
      <c r="AQ28" t="e">
        <f>AND('Current Index'!#REF!,"AAAAAFf2Jio=")</f>
        <v>#REF!</v>
      </c>
      <c r="AR28" t="e">
        <f>AND('Current Index'!#REF!,"AAAAAFf2Jis=")</f>
        <v>#REF!</v>
      </c>
      <c r="AS28" t="e">
        <f>AND('Current Index'!#REF!,"AAAAAFf2Jiw=")</f>
        <v>#REF!</v>
      </c>
      <c r="AT28" t="e">
        <f>AND('Current Index'!#REF!,"AAAAAFf2Ji0=")</f>
        <v>#REF!</v>
      </c>
      <c r="AU28" t="e">
        <f>AND('Current Index'!#REF!,"AAAAAFf2Ji4=")</f>
        <v>#REF!</v>
      </c>
      <c r="AV28" t="e">
        <f>AND('Current Index'!#REF!,"AAAAAFf2Ji8=")</f>
        <v>#REF!</v>
      </c>
      <c r="AW28" t="e">
        <f>AND('Current Index'!#REF!,"AAAAAFf2JjA=")</f>
        <v>#REF!</v>
      </c>
      <c r="AX28" t="e">
        <f>AND('Current Index'!#REF!,"AAAAAFf2JjE=")</f>
        <v>#REF!</v>
      </c>
      <c r="AY28" t="e">
        <f>AND('Current Index'!#REF!,"AAAAAFf2JjI=")</f>
        <v>#REF!</v>
      </c>
      <c r="AZ28" t="e">
        <f>IF('Current Index'!#REF!,"AAAAAFf2JjM=",0)</f>
        <v>#REF!</v>
      </c>
      <c r="BA28" t="e">
        <f>AND('Current Index'!#REF!,"AAAAAFf2JjQ=")</f>
        <v>#REF!</v>
      </c>
      <c r="BB28" t="e">
        <f>AND('Current Index'!#REF!,"AAAAAFf2JjU=")</f>
        <v>#REF!</v>
      </c>
      <c r="BC28" t="e">
        <f>AND('Current Index'!#REF!,"AAAAAFf2JjY=")</f>
        <v>#REF!</v>
      </c>
      <c r="BD28" t="e">
        <f>AND('Current Index'!#REF!,"AAAAAFf2Jjc=")</f>
        <v>#REF!</v>
      </c>
      <c r="BE28" t="e">
        <f>AND('Current Index'!#REF!,"AAAAAFf2Jjg=")</f>
        <v>#REF!</v>
      </c>
      <c r="BF28" t="e">
        <f>AND('Current Index'!#REF!,"AAAAAFf2Jjk=")</f>
        <v>#REF!</v>
      </c>
      <c r="BG28" t="e">
        <f>AND('Current Index'!#REF!,"AAAAAFf2Jjo=")</f>
        <v>#REF!</v>
      </c>
      <c r="BH28" t="e">
        <f>AND('Current Index'!#REF!,"AAAAAFf2Jjs=")</f>
        <v>#REF!</v>
      </c>
      <c r="BI28" t="e">
        <f>AND('Current Index'!#REF!,"AAAAAFf2Jjw=")</f>
        <v>#REF!</v>
      </c>
      <c r="BJ28" t="e">
        <f>AND('Current Index'!#REF!,"AAAAAFf2Jj0=")</f>
        <v>#REF!</v>
      </c>
      <c r="BK28" t="e">
        <f>IF('Current Index'!#REF!,"AAAAAFf2Jj4=",0)</f>
        <v>#REF!</v>
      </c>
      <c r="BL28" t="e">
        <f>AND('Current Index'!#REF!,"AAAAAFf2Jj8=")</f>
        <v>#REF!</v>
      </c>
      <c r="BM28" t="e">
        <f>AND('Current Index'!#REF!,"AAAAAFf2JkA=")</f>
        <v>#REF!</v>
      </c>
      <c r="BN28" t="e">
        <f>AND('Current Index'!#REF!,"AAAAAFf2JkE=")</f>
        <v>#REF!</v>
      </c>
      <c r="BO28" t="e">
        <f>AND('Current Index'!#REF!,"AAAAAFf2JkI=")</f>
        <v>#REF!</v>
      </c>
      <c r="BP28" t="e">
        <f>AND('Current Index'!#REF!,"AAAAAFf2JkM=")</f>
        <v>#REF!</v>
      </c>
      <c r="BQ28" t="e">
        <f>AND('Current Index'!#REF!,"AAAAAFf2JkQ=")</f>
        <v>#REF!</v>
      </c>
      <c r="BR28" t="e">
        <f>AND('Current Index'!#REF!,"AAAAAFf2JkU=")</f>
        <v>#REF!</v>
      </c>
      <c r="BS28" t="e">
        <f>AND('Current Index'!#REF!,"AAAAAFf2JkY=")</f>
        <v>#REF!</v>
      </c>
      <c r="BT28" t="e">
        <f>AND('Current Index'!#REF!,"AAAAAFf2Jkc=")</f>
        <v>#REF!</v>
      </c>
      <c r="BU28" t="e">
        <f>AND('Current Index'!#REF!,"AAAAAFf2Jkg=")</f>
        <v>#REF!</v>
      </c>
      <c r="BV28">
        <f>IF('Current Index'!683:683,"AAAAAFf2Jkk=",0)</f>
        <v>0</v>
      </c>
      <c r="BW28" t="e">
        <f>AND('Current Index'!A683,"AAAAAFf2Jko=")</f>
        <v>#VALUE!</v>
      </c>
      <c r="BX28" t="e">
        <f>AND('Current Index'!#REF!,"AAAAAFf2Jks=")</f>
        <v>#REF!</v>
      </c>
      <c r="BY28" t="e">
        <f>AND('Current Index'!B683,"AAAAAFf2Jkw=")</f>
        <v>#VALUE!</v>
      </c>
      <c r="BZ28" t="e">
        <f>AND('Current Index'!C683,"AAAAAFf2Jk0=")</f>
        <v>#VALUE!</v>
      </c>
      <c r="CA28" t="e">
        <f>AND('Current Index'!D683,"AAAAAFf2Jk4=")</f>
        <v>#VALUE!</v>
      </c>
      <c r="CB28" t="e">
        <f>AND('Current Index'!E683,"AAAAAFf2Jk8=")</f>
        <v>#VALUE!</v>
      </c>
      <c r="CC28" t="e">
        <f>AND('Current Index'!F683,"AAAAAFf2JlA=")</f>
        <v>#VALUE!</v>
      </c>
      <c r="CD28" t="e">
        <f>AND('Current Index'!G683,"AAAAAFf2JlE=")</f>
        <v>#VALUE!</v>
      </c>
      <c r="CE28" t="e">
        <f>AND('Current Index'!H683,"AAAAAFf2JlI=")</f>
        <v>#VALUE!</v>
      </c>
      <c r="CF28" t="e">
        <f>AND('Current Index'!I683,"AAAAAFf2JlM=")</f>
        <v>#VALUE!</v>
      </c>
      <c r="CG28">
        <f>IF('Current Index'!684:684,"AAAAAFf2JlQ=",0)</f>
        <v>0</v>
      </c>
      <c r="CH28" t="e">
        <f>AND('Current Index'!A684,"AAAAAFf2JlU=")</f>
        <v>#VALUE!</v>
      </c>
      <c r="CI28" t="e">
        <f>AND('Current Index'!#REF!,"AAAAAFf2JlY=")</f>
        <v>#REF!</v>
      </c>
      <c r="CJ28" t="e">
        <f>AND('Current Index'!B684,"AAAAAFf2Jlc=")</f>
        <v>#VALUE!</v>
      </c>
      <c r="CK28" t="e">
        <f>AND('Current Index'!C684,"AAAAAFf2Jlg=")</f>
        <v>#VALUE!</v>
      </c>
      <c r="CL28" t="e">
        <f>AND('Current Index'!D684,"AAAAAFf2Jlk=")</f>
        <v>#VALUE!</v>
      </c>
      <c r="CM28" t="e">
        <f>AND('Current Index'!E684,"AAAAAFf2Jlo=")</f>
        <v>#VALUE!</v>
      </c>
      <c r="CN28" t="e">
        <f>AND('Current Index'!F684,"AAAAAFf2Jls=")</f>
        <v>#VALUE!</v>
      </c>
      <c r="CO28" t="e">
        <f>AND('Current Index'!G684,"AAAAAFf2Jlw=")</f>
        <v>#VALUE!</v>
      </c>
      <c r="CP28" t="e">
        <f>AND('Current Index'!H684,"AAAAAFf2Jl0=")</f>
        <v>#VALUE!</v>
      </c>
      <c r="CQ28" t="e">
        <f>AND('Current Index'!I684,"AAAAAFf2Jl4=")</f>
        <v>#VALUE!</v>
      </c>
      <c r="CR28">
        <f>IF('Current Index'!687:687,"AAAAAFf2Jl8=",0)</f>
        <v>0</v>
      </c>
      <c r="CS28" t="e">
        <f>AND('Current Index'!A687,"AAAAAFf2JmA=")</f>
        <v>#VALUE!</v>
      </c>
      <c r="CT28" t="e">
        <f>AND('Current Index'!#REF!,"AAAAAFf2JmE=")</f>
        <v>#REF!</v>
      </c>
      <c r="CU28" t="e">
        <f>AND('Current Index'!B687,"AAAAAFf2JmI=")</f>
        <v>#VALUE!</v>
      </c>
      <c r="CV28" t="e">
        <f>AND('Current Index'!C687,"AAAAAFf2JmM=")</f>
        <v>#VALUE!</v>
      </c>
      <c r="CW28" t="e">
        <f>AND('Current Index'!D687,"AAAAAFf2JmQ=")</f>
        <v>#VALUE!</v>
      </c>
      <c r="CX28" t="e">
        <f>AND('Current Index'!E687,"AAAAAFf2JmU=")</f>
        <v>#VALUE!</v>
      </c>
      <c r="CY28" t="e">
        <f>AND('Current Index'!F687,"AAAAAFf2JmY=")</f>
        <v>#VALUE!</v>
      </c>
      <c r="CZ28" t="e">
        <f>AND('Current Index'!G687,"AAAAAFf2Jmc=")</f>
        <v>#VALUE!</v>
      </c>
      <c r="DA28" t="e">
        <f>AND('Current Index'!H687,"AAAAAFf2Jmg=")</f>
        <v>#VALUE!</v>
      </c>
      <c r="DB28" t="e">
        <f>AND('Current Index'!I687,"AAAAAFf2Jmk=")</f>
        <v>#VALUE!</v>
      </c>
      <c r="DC28">
        <f>IF('Current Index'!688:688,"AAAAAFf2Jmo=",0)</f>
        <v>0</v>
      </c>
      <c r="DD28" t="e">
        <f>AND('Current Index'!A688,"AAAAAFf2Jms=")</f>
        <v>#VALUE!</v>
      </c>
      <c r="DE28" t="e">
        <f>AND('Current Index'!#REF!,"AAAAAFf2Jmw=")</f>
        <v>#REF!</v>
      </c>
      <c r="DF28" t="e">
        <f>AND('Current Index'!B688,"AAAAAFf2Jm0=")</f>
        <v>#VALUE!</v>
      </c>
      <c r="DG28" t="e">
        <f>AND('Current Index'!C688,"AAAAAFf2Jm4=")</f>
        <v>#VALUE!</v>
      </c>
      <c r="DH28" t="e">
        <f>AND('Current Index'!D688,"AAAAAFf2Jm8=")</f>
        <v>#VALUE!</v>
      </c>
      <c r="DI28" t="e">
        <f>AND('Current Index'!E688,"AAAAAFf2JnA=")</f>
        <v>#VALUE!</v>
      </c>
      <c r="DJ28" t="e">
        <f>AND('Current Index'!F688,"AAAAAFf2JnE=")</f>
        <v>#VALUE!</v>
      </c>
      <c r="DK28" t="e">
        <f>AND('Current Index'!G688,"AAAAAFf2JnI=")</f>
        <v>#VALUE!</v>
      </c>
      <c r="DL28" t="e">
        <f>AND('Current Index'!H688,"AAAAAFf2JnM=")</f>
        <v>#VALUE!</v>
      </c>
      <c r="DM28" t="e">
        <f>AND('Current Index'!I688,"AAAAAFf2JnQ=")</f>
        <v>#VALUE!</v>
      </c>
      <c r="DN28" t="e">
        <f>IF('Current Index'!#REF!,"AAAAAFf2JnU=",0)</f>
        <v>#REF!</v>
      </c>
      <c r="DO28" t="e">
        <f>AND('Current Index'!#REF!,"AAAAAFf2JnY=")</f>
        <v>#REF!</v>
      </c>
      <c r="DP28" t="e">
        <f>AND('Current Index'!#REF!,"AAAAAFf2Jnc=")</f>
        <v>#REF!</v>
      </c>
      <c r="DQ28" t="e">
        <f>AND('Current Index'!#REF!,"AAAAAFf2Jng=")</f>
        <v>#REF!</v>
      </c>
      <c r="DR28" t="e">
        <f>AND('Current Index'!#REF!,"AAAAAFf2Jnk=")</f>
        <v>#REF!</v>
      </c>
      <c r="DS28" t="e">
        <f>AND('Current Index'!#REF!,"AAAAAFf2Jno=")</f>
        <v>#REF!</v>
      </c>
      <c r="DT28" t="e">
        <f>AND('Current Index'!#REF!,"AAAAAFf2Jns=")</f>
        <v>#REF!</v>
      </c>
      <c r="DU28" t="e">
        <f>AND('Current Index'!#REF!,"AAAAAFf2Jnw=")</f>
        <v>#REF!</v>
      </c>
      <c r="DV28" t="e">
        <f>AND('Current Index'!#REF!,"AAAAAFf2Jn0=")</f>
        <v>#REF!</v>
      </c>
      <c r="DW28" t="e">
        <f>AND('Current Index'!#REF!,"AAAAAFf2Jn4=")</f>
        <v>#REF!</v>
      </c>
      <c r="DX28" t="e">
        <f>AND('Current Index'!#REF!,"AAAAAFf2Jn8=")</f>
        <v>#REF!</v>
      </c>
      <c r="DY28" t="e">
        <f>IF('Current Index'!#REF!,"AAAAAFf2JoA=",0)</f>
        <v>#REF!</v>
      </c>
      <c r="DZ28" t="e">
        <f>AND('Current Index'!#REF!,"AAAAAFf2JoE=")</f>
        <v>#REF!</v>
      </c>
      <c r="EA28" t="e">
        <f>AND('Current Index'!#REF!,"AAAAAFf2JoI=")</f>
        <v>#REF!</v>
      </c>
      <c r="EB28" t="e">
        <f>AND('Current Index'!#REF!,"AAAAAFf2JoM=")</f>
        <v>#REF!</v>
      </c>
      <c r="EC28" t="e">
        <f>AND('Current Index'!#REF!,"AAAAAFf2JoQ=")</f>
        <v>#REF!</v>
      </c>
      <c r="ED28" t="e">
        <f>AND('Current Index'!#REF!,"AAAAAFf2JoU=")</f>
        <v>#REF!</v>
      </c>
      <c r="EE28" t="e">
        <f>AND('Current Index'!#REF!,"AAAAAFf2JoY=")</f>
        <v>#REF!</v>
      </c>
      <c r="EF28" t="e">
        <f>AND('Current Index'!#REF!,"AAAAAFf2Joc=")</f>
        <v>#REF!</v>
      </c>
      <c r="EG28" t="e">
        <f>AND('Current Index'!#REF!,"AAAAAFf2Jog=")</f>
        <v>#REF!</v>
      </c>
      <c r="EH28" t="e">
        <f>AND('Current Index'!#REF!,"AAAAAFf2Jok=")</f>
        <v>#REF!</v>
      </c>
      <c r="EI28" t="e">
        <f>AND('Current Index'!#REF!,"AAAAAFf2Joo=")</f>
        <v>#REF!</v>
      </c>
      <c r="EJ28" t="e">
        <f>IF('Current Index'!#REF!,"AAAAAFf2Jos=",0)</f>
        <v>#REF!</v>
      </c>
      <c r="EK28" t="e">
        <f>AND('Current Index'!#REF!,"AAAAAFf2Jow=")</f>
        <v>#REF!</v>
      </c>
      <c r="EL28" t="e">
        <f>AND('Current Index'!#REF!,"AAAAAFf2Jo0=")</f>
        <v>#REF!</v>
      </c>
      <c r="EM28" t="e">
        <f>AND('Current Index'!#REF!,"AAAAAFf2Jo4=")</f>
        <v>#REF!</v>
      </c>
      <c r="EN28" t="e">
        <f>AND('Current Index'!#REF!,"AAAAAFf2Jo8=")</f>
        <v>#REF!</v>
      </c>
      <c r="EO28" t="e">
        <f>AND('Current Index'!#REF!,"AAAAAFf2JpA=")</f>
        <v>#REF!</v>
      </c>
      <c r="EP28" t="e">
        <f>AND('Current Index'!#REF!,"AAAAAFf2JpE=")</f>
        <v>#REF!</v>
      </c>
      <c r="EQ28" t="e">
        <f>AND('Current Index'!#REF!,"AAAAAFf2JpI=")</f>
        <v>#REF!</v>
      </c>
      <c r="ER28" t="e">
        <f>AND('Current Index'!#REF!,"AAAAAFf2JpM=")</f>
        <v>#REF!</v>
      </c>
      <c r="ES28" t="e">
        <f>AND('Current Index'!#REF!,"AAAAAFf2JpQ=")</f>
        <v>#REF!</v>
      </c>
      <c r="ET28" t="e">
        <f>AND('Current Index'!#REF!,"AAAAAFf2JpU=")</f>
        <v>#REF!</v>
      </c>
      <c r="EU28" t="e">
        <f>IF('Current Index'!#REF!,"AAAAAFf2JpY=",0)</f>
        <v>#REF!</v>
      </c>
      <c r="EV28" t="e">
        <f>AND('Current Index'!#REF!,"AAAAAFf2Jpc=")</f>
        <v>#REF!</v>
      </c>
      <c r="EW28" t="e">
        <f>AND('Current Index'!#REF!,"AAAAAFf2Jpg=")</f>
        <v>#REF!</v>
      </c>
      <c r="EX28" t="e">
        <f>AND('Current Index'!#REF!,"AAAAAFf2Jpk=")</f>
        <v>#REF!</v>
      </c>
      <c r="EY28" t="e">
        <f>AND('Current Index'!#REF!,"AAAAAFf2Jpo=")</f>
        <v>#REF!</v>
      </c>
      <c r="EZ28" t="e">
        <f>AND('Current Index'!#REF!,"AAAAAFf2Jps=")</f>
        <v>#REF!</v>
      </c>
      <c r="FA28" t="e">
        <f>AND('Current Index'!#REF!,"AAAAAFf2Jpw=")</f>
        <v>#REF!</v>
      </c>
      <c r="FB28" t="e">
        <f>AND('Current Index'!#REF!,"AAAAAFf2Jp0=")</f>
        <v>#REF!</v>
      </c>
      <c r="FC28" t="e">
        <f>AND('Current Index'!#REF!,"AAAAAFf2Jp4=")</f>
        <v>#REF!</v>
      </c>
      <c r="FD28" t="e">
        <f>AND('Current Index'!#REF!,"AAAAAFf2Jp8=")</f>
        <v>#REF!</v>
      </c>
      <c r="FE28" t="e">
        <f>AND('Current Index'!#REF!,"AAAAAFf2JqA=")</f>
        <v>#REF!</v>
      </c>
      <c r="FF28">
        <f>IF('Current Index'!689:689,"AAAAAFf2JqE=",0)</f>
        <v>0</v>
      </c>
      <c r="FG28" t="e">
        <f>AND('Current Index'!A689,"AAAAAFf2JqI=")</f>
        <v>#VALUE!</v>
      </c>
      <c r="FH28" t="e">
        <f>AND('Current Index'!#REF!,"AAAAAFf2JqM=")</f>
        <v>#REF!</v>
      </c>
      <c r="FI28" t="e">
        <f>AND('Current Index'!B689,"AAAAAFf2JqQ=")</f>
        <v>#VALUE!</v>
      </c>
      <c r="FJ28" t="e">
        <f>AND('Current Index'!C689,"AAAAAFf2JqU=")</f>
        <v>#VALUE!</v>
      </c>
      <c r="FK28" t="e">
        <f>AND('Current Index'!D689,"AAAAAFf2JqY=")</f>
        <v>#VALUE!</v>
      </c>
      <c r="FL28" t="e">
        <f>AND('Current Index'!E689,"AAAAAFf2Jqc=")</f>
        <v>#VALUE!</v>
      </c>
      <c r="FM28" t="e">
        <f>AND('Current Index'!F689,"AAAAAFf2Jqg=")</f>
        <v>#VALUE!</v>
      </c>
      <c r="FN28" t="e">
        <f>AND('Current Index'!G689,"AAAAAFf2Jqk=")</f>
        <v>#VALUE!</v>
      </c>
      <c r="FO28" t="e">
        <f>AND('Current Index'!H689,"AAAAAFf2Jqo=")</f>
        <v>#VALUE!</v>
      </c>
      <c r="FP28" t="e">
        <f>AND('Current Index'!I689,"AAAAAFf2Jqs=")</f>
        <v>#VALUE!</v>
      </c>
      <c r="FQ28" t="e">
        <f>IF('Current Index'!#REF!,"AAAAAFf2Jqw=",0)</f>
        <v>#REF!</v>
      </c>
      <c r="FR28" t="e">
        <f>AND('Current Index'!#REF!,"AAAAAFf2Jq0=")</f>
        <v>#REF!</v>
      </c>
      <c r="FS28" t="e">
        <f>AND('Current Index'!#REF!,"AAAAAFf2Jq4=")</f>
        <v>#REF!</v>
      </c>
      <c r="FT28" t="e">
        <f>AND('Current Index'!#REF!,"AAAAAFf2Jq8=")</f>
        <v>#REF!</v>
      </c>
      <c r="FU28" t="e">
        <f>AND('Current Index'!#REF!,"AAAAAFf2JrA=")</f>
        <v>#REF!</v>
      </c>
      <c r="FV28" t="e">
        <f>AND('Current Index'!#REF!,"AAAAAFf2JrE=")</f>
        <v>#REF!</v>
      </c>
      <c r="FW28" t="e">
        <f>AND('Current Index'!#REF!,"AAAAAFf2JrI=")</f>
        <v>#REF!</v>
      </c>
      <c r="FX28" t="e">
        <f>AND('Current Index'!#REF!,"AAAAAFf2JrM=")</f>
        <v>#REF!</v>
      </c>
      <c r="FY28" t="e">
        <f>AND('Current Index'!#REF!,"AAAAAFf2JrQ=")</f>
        <v>#REF!</v>
      </c>
      <c r="FZ28" t="e">
        <f>AND('Current Index'!#REF!,"AAAAAFf2JrU=")</f>
        <v>#REF!</v>
      </c>
      <c r="GA28" t="e">
        <f>AND('Current Index'!#REF!,"AAAAAFf2JrY=")</f>
        <v>#REF!</v>
      </c>
      <c r="GB28">
        <f>IF('Current Index'!690:690,"AAAAAFf2Jrc=",0)</f>
        <v>0</v>
      </c>
      <c r="GC28" t="e">
        <f>AND('Current Index'!A690,"AAAAAFf2Jrg=")</f>
        <v>#VALUE!</v>
      </c>
      <c r="GD28" t="e">
        <f>AND('Current Index'!#REF!,"AAAAAFf2Jrk=")</f>
        <v>#REF!</v>
      </c>
      <c r="GE28" t="e">
        <f>AND('Current Index'!B690,"AAAAAFf2Jro=")</f>
        <v>#VALUE!</v>
      </c>
      <c r="GF28" t="e">
        <f>AND('Current Index'!C690,"AAAAAFf2Jrs=")</f>
        <v>#VALUE!</v>
      </c>
      <c r="GG28" t="e">
        <f>AND('Current Index'!D690,"AAAAAFf2Jrw=")</f>
        <v>#VALUE!</v>
      </c>
      <c r="GH28" t="e">
        <f>AND('Current Index'!E690,"AAAAAFf2Jr0=")</f>
        <v>#VALUE!</v>
      </c>
      <c r="GI28" t="e">
        <f>AND('Current Index'!F690,"AAAAAFf2Jr4=")</f>
        <v>#VALUE!</v>
      </c>
      <c r="GJ28" t="e">
        <f>AND('Current Index'!G690,"AAAAAFf2Jr8=")</f>
        <v>#VALUE!</v>
      </c>
      <c r="GK28" t="e">
        <f>AND('Current Index'!H690,"AAAAAFf2JsA=")</f>
        <v>#VALUE!</v>
      </c>
      <c r="GL28" t="e">
        <f>AND('Current Index'!I690,"AAAAAFf2JsE=")</f>
        <v>#VALUE!</v>
      </c>
      <c r="GM28" t="e">
        <f>IF('Current Index'!#REF!,"AAAAAFf2JsI=",0)</f>
        <v>#REF!</v>
      </c>
      <c r="GN28" t="e">
        <f>AND('Current Index'!#REF!,"AAAAAFf2JsM=")</f>
        <v>#REF!</v>
      </c>
      <c r="GO28" t="e">
        <f>AND('Current Index'!#REF!,"AAAAAFf2JsQ=")</f>
        <v>#REF!</v>
      </c>
      <c r="GP28" t="e">
        <f>AND('Current Index'!#REF!,"AAAAAFf2JsU=")</f>
        <v>#REF!</v>
      </c>
      <c r="GQ28" t="e">
        <f>AND('Current Index'!#REF!,"AAAAAFf2JsY=")</f>
        <v>#REF!</v>
      </c>
      <c r="GR28" t="e">
        <f>AND('Current Index'!#REF!,"AAAAAFf2Jsc=")</f>
        <v>#REF!</v>
      </c>
      <c r="GS28" t="e">
        <f>AND('Current Index'!#REF!,"AAAAAFf2Jsg=")</f>
        <v>#REF!</v>
      </c>
      <c r="GT28" t="e">
        <f>AND('Current Index'!#REF!,"AAAAAFf2Jsk=")</f>
        <v>#REF!</v>
      </c>
      <c r="GU28" t="e">
        <f>AND('Current Index'!#REF!,"AAAAAFf2Jso=")</f>
        <v>#REF!</v>
      </c>
      <c r="GV28" t="e">
        <f>AND('Current Index'!#REF!,"AAAAAFf2Jss=")</f>
        <v>#REF!</v>
      </c>
      <c r="GW28" t="e">
        <f>AND('Current Index'!#REF!,"AAAAAFf2Jsw=")</f>
        <v>#REF!</v>
      </c>
      <c r="GX28" t="e">
        <f>IF('Current Index'!#REF!,"AAAAAFf2Js0=",0)</f>
        <v>#REF!</v>
      </c>
      <c r="GY28" t="e">
        <f>AND('Current Index'!#REF!,"AAAAAFf2Js4=")</f>
        <v>#REF!</v>
      </c>
      <c r="GZ28" t="e">
        <f>AND('Current Index'!#REF!,"AAAAAFf2Js8=")</f>
        <v>#REF!</v>
      </c>
      <c r="HA28" t="e">
        <f>AND('Current Index'!#REF!,"AAAAAFf2JtA=")</f>
        <v>#REF!</v>
      </c>
      <c r="HB28" t="e">
        <f>AND('Current Index'!#REF!,"AAAAAFf2JtE=")</f>
        <v>#REF!</v>
      </c>
      <c r="HC28" t="e">
        <f>AND('Current Index'!#REF!,"AAAAAFf2JtI=")</f>
        <v>#REF!</v>
      </c>
      <c r="HD28" t="e">
        <f>AND('Current Index'!#REF!,"AAAAAFf2JtM=")</f>
        <v>#REF!</v>
      </c>
      <c r="HE28" t="e">
        <f>AND('Current Index'!#REF!,"AAAAAFf2JtQ=")</f>
        <v>#REF!</v>
      </c>
      <c r="HF28" t="e">
        <f>AND('Current Index'!#REF!,"AAAAAFf2JtU=")</f>
        <v>#REF!</v>
      </c>
      <c r="HG28" t="e">
        <f>AND('Current Index'!#REF!,"AAAAAFf2JtY=")</f>
        <v>#REF!</v>
      </c>
      <c r="HH28" t="e">
        <f>AND('Current Index'!#REF!,"AAAAAFf2Jtc=")</f>
        <v>#REF!</v>
      </c>
      <c r="HI28">
        <f>IF('Current Index'!711:711,"AAAAAFf2Jtg=",0)</f>
        <v>0</v>
      </c>
      <c r="HJ28" t="e">
        <f>AND('Current Index'!A711,"AAAAAFf2Jtk=")</f>
        <v>#VALUE!</v>
      </c>
      <c r="HK28" t="e">
        <f>AND('Current Index'!#REF!,"AAAAAFf2Jto=")</f>
        <v>#REF!</v>
      </c>
      <c r="HL28" t="e">
        <f>AND('Current Index'!B711,"AAAAAFf2Jts=")</f>
        <v>#VALUE!</v>
      </c>
      <c r="HM28" t="e">
        <f>AND('Current Index'!C711,"AAAAAFf2Jtw=")</f>
        <v>#VALUE!</v>
      </c>
      <c r="HN28" t="e">
        <f>AND('Current Index'!D711,"AAAAAFf2Jt0=")</f>
        <v>#VALUE!</v>
      </c>
      <c r="HO28" t="e">
        <f>AND('Current Index'!E711,"AAAAAFf2Jt4=")</f>
        <v>#VALUE!</v>
      </c>
      <c r="HP28" t="e">
        <f>AND('Current Index'!F711,"AAAAAFf2Jt8=")</f>
        <v>#VALUE!</v>
      </c>
      <c r="HQ28" t="e">
        <f>AND('Current Index'!G711,"AAAAAFf2JuA=")</f>
        <v>#VALUE!</v>
      </c>
      <c r="HR28" t="e">
        <f>AND('Current Index'!H711,"AAAAAFf2JuE=")</f>
        <v>#VALUE!</v>
      </c>
      <c r="HS28" t="e">
        <f>AND('Current Index'!I711,"AAAAAFf2JuI=")</f>
        <v>#VALUE!</v>
      </c>
      <c r="HT28">
        <f>IF('Current Index'!712:712,"AAAAAFf2JuM=",0)</f>
        <v>0</v>
      </c>
      <c r="HU28" t="e">
        <f>AND('Current Index'!A712,"AAAAAFf2JuQ=")</f>
        <v>#VALUE!</v>
      </c>
      <c r="HV28" t="e">
        <f>AND('Current Index'!#REF!,"AAAAAFf2JuU=")</f>
        <v>#REF!</v>
      </c>
      <c r="HW28" t="e">
        <f>AND('Current Index'!B712,"AAAAAFf2JuY=")</f>
        <v>#VALUE!</v>
      </c>
      <c r="HX28" t="e">
        <f>AND('Current Index'!C712,"AAAAAFf2Juc=")</f>
        <v>#VALUE!</v>
      </c>
      <c r="HY28" t="e">
        <f>AND('Current Index'!D712,"AAAAAFf2Jug=")</f>
        <v>#VALUE!</v>
      </c>
      <c r="HZ28" t="e">
        <f>AND('Current Index'!E712,"AAAAAFf2Juk=")</f>
        <v>#VALUE!</v>
      </c>
      <c r="IA28" t="e">
        <f>AND('Current Index'!F712,"AAAAAFf2Juo=")</f>
        <v>#VALUE!</v>
      </c>
      <c r="IB28" t="e">
        <f>AND('Current Index'!G712,"AAAAAFf2Jus=")</f>
        <v>#VALUE!</v>
      </c>
      <c r="IC28" t="e">
        <f>AND('Current Index'!H712,"AAAAAFf2Juw=")</f>
        <v>#VALUE!</v>
      </c>
      <c r="ID28" t="e">
        <f>AND('Current Index'!I712,"AAAAAFf2Ju0=")</f>
        <v>#VALUE!</v>
      </c>
      <c r="IE28" t="e">
        <f>IF('Current Index'!#REF!,"AAAAAFf2Ju4=",0)</f>
        <v>#REF!</v>
      </c>
      <c r="IF28" t="e">
        <f>AND('Current Index'!#REF!,"AAAAAFf2Ju8=")</f>
        <v>#REF!</v>
      </c>
      <c r="IG28" t="e">
        <f>AND('Current Index'!#REF!,"AAAAAFf2JvA=")</f>
        <v>#REF!</v>
      </c>
      <c r="IH28" t="e">
        <f>AND('Current Index'!#REF!,"AAAAAFf2JvE=")</f>
        <v>#REF!</v>
      </c>
      <c r="II28" t="e">
        <f>AND('Current Index'!#REF!,"AAAAAFf2JvI=")</f>
        <v>#REF!</v>
      </c>
      <c r="IJ28" t="e">
        <f>AND('Current Index'!#REF!,"AAAAAFf2JvM=")</f>
        <v>#REF!</v>
      </c>
      <c r="IK28" t="e">
        <f>AND('Current Index'!#REF!,"AAAAAFf2JvQ=")</f>
        <v>#REF!</v>
      </c>
      <c r="IL28" t="e">
        <f>AND('Current Index'!#REF!,"AAAAAFf2JvU=")</f>
        <v>#REF!</v>
      </c>
      <c r="IM28" t="e">
        <f>AND('Current Index'!#REF!,"AAAAAFf2JvY=")</f>
        <v>#REF!</v>
      </c>
      <c r="IN28" t="e">
        <f>AND('Current Index'!#REF!,"AAAAAFf2Jvc=")</f>
        <v>#REF!</v>
      </c>
      <c r="IO28" t="e">
        <f>AND('Current Index'!#REF!,"AAAAAFf2Jvg=")</f>
        <v>#REF!</v>
      </c>
      <c r="IP28">
        <f>IF('Current Index'!713:713,"AAAAAFf2Jvk=",0)</f>
        <v>0</v>
      </c>
      <c r="IQ28" t="e">
        <f>AND('Current Index'!A713,"AAAAAFf2Jvo=")</f>
        <v>#VALUE!</v>
      </c>
      <c r="IR28" t="e">
        <f>AND('Current Index'!#REF!,"AAAAAFf2Jvs=")</f>
        <v>#REF!</v>
      </c>
      <c r="IS28" t="e">
        <f>AND('Current Index'!B713,"AAAAAFf2Jvw=")</f>
        <v>#VALUE!</v>
      </c>
      <c r="IT28" t="e">
        <f>AND('Current Index'!C713,"AAAAAFf2Jv0=")</f>
        <v>#VALUE!</v>
      </c>
      <c r="IU28" t="e">
        <f>AND('Current Index'!D713,"AAAAAFf2Jv4=")</f>
        <v>#VALUE!</v>
      </c>
      <c r="IV28" t="e">
        <f>AND('Current Index'!E713,"AAAAAFf2Jv8=")</f>
        <v>#VALUE!</v>
      </c>
    </row>
    <row r="29" spans="1:256" x14ac:dyDescent="0.25">
      <c r="A29" t="e">
        <f>AND('Current Index'!F713,"AAAAAC/6ugA=")</f>
        <v>#VALUE!</v>
      </c>
      <c r="B29" t="e">
        <f>AND('Current Index'!G713,"AAAAAC/6ugE=")</f>
        <v>#VALUE!</v>
      </c>
      <c r="C29" t="e">
        <f>AND('Current Index'!H713,"AAAAAC/6ugI=")</f>
        <v>#VALUE!</v>
      </c>
      <c r="D29" t="e">
        <f>AND('Current Index'!I713,"AAAAAC/6ugM=")</f>
        <v>#VALUE!</v>
      </c>
      <c r="E29" t="e">
        <f>IF('Current Index'!714:714,"AAAAAC/6ugQ=",0)</f>
        <v>#VALUE!</v>
      </c>
      <c r="F29" t="e">
        <f>AND('Current Index'!A714,"AAAAAC/6ugU=")</f>
        <v>#VALUE!</v>
      </c>
      <c r="G29" t="e">
        <f>AND('Current Index'!#REF!,"AAAAAC/6ugY=")</f>
        <v>#REF!</v>
      </c>
      <c r="H29" t="e">
        <f>AND('Current Index'!B714,"AAAAAC/6ugc=")</f>
        <v>#VALUE!</v>
      </c>
      <c r="I29" t="e">
        <f>AND('Current Index'!C714,"AAAAAC/6ugg=")</f>
        <v>#VALUE!</v>
      </c>
      <c r="J29" t="e">
        <f>AND('Current Index'!D714,"AAAAAC/6ugk=")</f>
        <v>#VALUE!</v>
      </c>
      <c r="K29" t="e">
        <f>AND('Current Index'!E714,"AAAAAC/6ugo=")</f>
        <v>#VALUE!</v>
      </c>
      <c r="L29" t="e">
        <f>AND('Current Index'!F714,"AAAAAC/6ugs=")</f>
        <v>#VALUE!</v>
      </c>
      <c r="M29" t="e">
        <f>AND('Current Index'!G714,"AAAAAC/6ugw=")</f>
        <v>#VALUE!</v>
      </c>
      <c r="N29" t="e">
        <f>AND('Current Index'!H714,"AAAAAC/6ug0=")</f>
        <v>#VALUE!</v>
      </c>
      <c r="O29" t="e">
        <f>AND('Current Index'!I714,"AAAAAC/6ug4=")</f>
        <v>#VALUE!</v>
      </c>
      <c r="P29">
        <f>IF('Current Index'!715:715,"AAAAAC/6ug8=",0)</f>
        <v>0</v>
      </c>
      <c r="Q29" t="e">
        <f>AND('Current Index'!A715,"AAAAAC/6uhA=")</f>
        <v>#VALUE!</v>
      </c>
      <c r="R29" t="e">
        <f>AND('Current Index'!#REF!,"AAAAAC/6uhE=")</f>
        <v>#REF!</v>
      </c>
      <c r="S29" t="e">
        <f>AND('Current Index'!B715,"AAAAAC/6uhI=")</f>
        <v>#VALUE!</v>
      </c>
      <c r="T29" t="e">
        <f>AND('Current Index'!C715,"AAAAAC/6uhM=")</f>
        <v>#VALUE!</v>
      </c>
      <c r="U29" t="e">
        <f>AND('Current Index'!D715,"AAAAAC/6uhQ=")</f>
        <v>#VALUE!</v>
      </c>
      <c r="V29" t="e">
        <f>AND('Current Index'!E715,"AAAAAC/6uhU=")</f>
        <v>#VALUE!</v>
      </c>
      <c r="W29" t="e">
        <f>AND('Current Index'!F715,"AAAAAC/6uhY=")</f>
        <v>#VALUE!</v>
      </c>
      <c r="X29" t="e">
        <f>AND('Current Index'!G715,"AAAAAC/6uhc=")</f>
        <v>#VALUE!</v>
      </c>
      <c r="Y29" t="e">
        <f>AND('Current Index'!H715,"AAAAAC/6uhg=")</f>
        <v>#VALUE!</v>
      </c>
      <c r="Z29" t="e">
        <f>AND('Current Index'!I715,"AAAAAC/6uhk=")</f>
        <v>#VALUE!</v>
      </c>
      <c r="AA29">
        <f>IF('Current Index'!716:716,"AAAAAC/6uho=",0)</f>
        <v>0</v>
      </c>
      <c r="AB29" t="e">
        <f>AND('Current Index'!A716,"AAAAAC/6uhs=")</f>
        <v>#VALUE!</v>
      </c>
      <c r="AC29" t="e">
        <f>AND('Current Index'!#REF!,"AAAAAC/6uhw=")</f>
        <v>#REF!</v>
      </c>
      <c r="AD29" t="e">
        <f>AND('Current Index'!B716,"AAAAAC/6uh0=")</f>
        <v>#VALUE!</v>
      </c>
      <c r="AE29" t="e">
        <f>AND('Current Index'!C716,"AAAAAC/6uh4=")</f>
        <v>#VALUE!</v>
      </c>
      <c r="AF29" t="e">
        <f>AND('Current Index'!D716,"AAAAAC/6uh8=")</f>
        <v>#VALUE!</v>
      </c>
      <c r="AG29" t="e">
        <f>AND('Current Index'!E716,"AAAAAC/6uiA=")</f>
        <v>#VALUE!</v>
      </c>
      <c r="AH29" t="e">
        <f>AND('Current Index'!F716,"AAAAAC/6uiE=")</f>
        <v>#VALUE!</v>
      </c>
      <c r="AI29" t="e">
        <f>AND('Current Index'!G716,"AAAAAC/6uiI=")</f>
        <v>#VALUE!</v>
      </c>
      <c r="AJ29" t="e">
        <f>AND('Current Index'!H716,"AAAAAC/6uiM=")</f>
        <v>#VALUE!</v>
      </c>
      <c r="AK29" t="e">
        <f>AND('Current Index'!I716,"AAAAAC/6uiQ=")</f>
        <v>#VALUE!</v>
      </c>
      <c r="AL29">
        <f>IF('Current Index'!717:717,"AAAAAC/6uiU=",0)</f>
        <v>0</v>
      </c>
      <c r="AM29" t="e">
        <f>AND('Current Index'!A717,"AAAAAC/6uiY=")</f>
        <v>#VALUE!</v>
      </c>
      <c r="AN29" t="e">
        <f>AND('Current Index'!#REF!,"AAAAAC/6uic=")</f>
        <v>#REF!</v>
      </c>
      <c r="AO29" t="e">
        <f>AND('Current Index'!B717,"AAAAAC/6uig=")</f>
        <v>#VALUE!</v>
      </c>
      <c r="AP29" t="e">
        <f>AND('Current Index'!C717,"AAAAAC/6uik=")</f>
        <v>#VALUE!</v>
      </c>
      <c r="AQ29" t="e">
        <f>AND('Current Index'!D717,"AAAAAC/6uio=")</f>
        <v>#VALUE!</v>
      </c>
      <c r="AR29" t="e">
        <f>AND('Current Index'!E717,"AAAAAC/6uis=")</f>
        <v>#VALUE!</v>
      </c>
      <c r="AS29" t="e">
        <f>AND('Current Index'!F717,"AAAAAC/6uiw=")</f>
        <v>#VALUE!</v>
      </c>
      <c r="AT29" t="e">
        <f>AND('Current Index'!G717,"AAAAAC/6ui0=")</f>
        <v>#VALUE!</v>
      </c>
      <c r="AU29" t="e">
        <f>AND('Current Index'!H717,"AAAAAC/6ui4=")</f>
        <v>#VALUE!</v>
      </c>
      <c r="AV29" t="e">
        <f>AND('Current Index'!I717,"AAAAAC/6ui8=")</f>
        <v>#VALUE!</v>
      </c>
      <c r="AW29">
        <f>IF('Current Index'!718:718,"AAAAAC/6ujA=",0)</f>
        <v>0</v>
      </c>
      <c r="AX29" t="e">
        <f>AND('Current Index'!A718,"AAAAAC/6ujE=")</f>
        <v>#VALUE!</v>
      </c>
      <c r="AY29" t="e">
        <f>AND('Current Index'!#REF!,"AAAAAC/6ujI=")</f>
        <v>#REF!</v>
      </c>
      <c r="AZ29" t="e">
        <f>AND('Current Index'!B718,"AAAAAC/6ujM=")</f>
        <v>#VALUE!</v>
      </c>
      <c r="BA29" t="e">
        <f>AND('Current Index'!C718,"AAAAAC/6ujQ=")</f>
        <v>#VALUE!</v>
      </c>
      <c r="BB29" t="e">
        <f>AND('Current Index'!D718,"AAAAAC/6ujU=")</f>
        <v>#VALUE!</v>
      </c>
      <c r="BC29" t="e">
        <f>AND('Current Index'!E718,"AAAAAC/6ujY=")</f>
        <v>#VALUE!</v>
      </c>
      <c r="BD29" t="e">
        <f>AND('Current Index'!F718,"AAAAAC/6ujc=")</f>
        <v>#VALUE!</v>
      </c>
      <c r="BE29" t="e">
        <f>AND('Current Index'!G718,"AAAAAC/6ujg=")</f>
        <v>#VALUE!</v>
      </c>
      <c r="BF29" t="e">
        <f>AND('Current Index'!H718,"AAAAAC/6ujk=")</f>
        <v>#VALUE!</v>
      </c>
      <c r="BG29" t="e">
        <f>AND('Current Index'!I718,"AAAAAC/6ujo=")</f>
        <v>#VALUE!</v>
      </c>
      <c r="BH29">
        <f>IF('Current Index'!719:719,"AAAAAC/6ujs=",0)</f>
        <v>0</v>
      </c>
      <c r="BI29" t="e">
        <f>AND('Current Index'!A719,"AAAAAC/6ujw=")</f>
        <v>#VALUE!</v>
      </c>
      <c r="BJ29" t="e">
        <f>AND('Current Index'!#REF!,"AAAAAC/6uj0=")</f>
        <v>#REF!</v>
      </c>
      <c r="BK29" t="e">
        <f>AND('Current Index'!B719,"AAAAAC/6uj4=")</f>
        <v>#VALUE!</v>
      </c>
      <c r="BL29" t="e">
        <f>AND('Current Index'!C719,"AAAAAC/6uj8=")</f>
        <v>#VALUE!</v>
      </c>
      <c r="BM29" t="e">
        <f>AND('Current Index'!D719,"AAAAAC/6ukA=")</f>
        <v>#VALUE!</v>
      </c>
      <c r="BN29" t="e">
        <f>AND('Current Index'!E719,"AAAAAC/6ukE=")</f>
        <v>#VALUE!</v>
      </c>
      <c r="BO29" t="e">
        <f>AND('Current Index'!F719,"AAAAAC/6ukI=")</f>
        <v>#VALUE!</v>
      </c>
      <c r="BP29" t="e">
        <f>AND('Current Index'!G719,"AAAAAC/6ukM=")</f>
        <v>#VALUE!</v>
      </c>
      <c r="BQ29" t="e">
        <f>AND('Current Index'!H719,"AAAAAC/6ukQ=")</f>
        <v>#VALUE!</v>
      </c>
      <c r="BR29" t="e">
        <f>AND('Current Index'!I719,"AAAAAC/6ukU=")</f>
        <v>#VALUE!</v>
      </c>
      <c r="BS29">
        <f>IF('Current Index'!720:720,"AAAAAC/6ukY=",0)</f>
        <v>0</v>
      </c>
      <c r="BT29" t="e">
        <f>AND('Current Index'!A720,"AAAAAC/6ukc=")</f>
        <v>#VALUE!</v>
      </c>
      <c r="BU29" t="e">
        <f>AND('Current Index'!#REF!,"AAAAAC/6ukg=")</f>
        <v>#REF!</v>
      </c>
      <c r="BV29" t="e">
        <f>AND('Current Index'!B720,"AAAAAC/6ukk=")</f>
        <v>#VALUE!</v>
      </c>
      <c r="BW29" t="e">
        <f>AND('Current Index'!C720,"AAAAAC/6uko=")</f>
        <v>#VALUE!</v>
      </c>
      <c r="BX29" t="e">
        <f>AND('Current Index'!D720,"AAAAAC/6uks=")</f>
        <v>#VALUE!</v>
      </c>
      <c r="BY29" t="e">
        <f>AND('Current Index'!E720,"AAAAAC/6ukw=")</f>
        <v>#VALUE!</v>
      </c>
      <c r="BZ29" t="e">
        <f>AND('Current Index'!F720,"AAAAAC/6uk0=")</f>
        <v>#VALUE!</v>
      </c>
      <c r="CA29" t="e">
        <f>AND('Current Index'!G720,"AAAAAC/6uk4=")</f>
        <v>#VALUE!</v>
      </c>
      <c r="CB29" t="e">
        <f>AND('Current Index'!H720,"AAAAAC/6uk8=")</f>
        <v>#VALUE!</v>
      </c>
      <c r="CC29" t="e">
        <f>AND('Current Index'!I720,"AAAAAC/6ulA=")</f>
        <v>#VALUE!</v>
      </c>
      <c r="CD29">
        <f>IF('Current Index'!721:721,"AAAAAC/6ulE=",0)</f>
        <v>0</v>
      </c>
      <c r="CE29" t="e">
        <f>AND('Current Index'!A721,"AAAAAC/6ulI=")</f>
        <v>#VALUE!</v>
      </c>
      <c r="CF29" t="e">
        <f>AND('Current Index'!#REF!,"AAAAAC/6ulM=")</f>
        <v>#REF!</v>
      </c>
      <c r="CG29" t="e">
        <f>AND('Current Index'!B721,"AAAAAC/6ulQ=")</f>
        <v>#VALUE!</v>
      </c>
      <c r="CH29" t="e">
        <f>AND('Current Index'!C721,"AAAAAC/6ulU=")</f>
        <v>#VALUE!</v>
      </c>
      <c r="CI29" t="e">
        <f>AND('Current Index'!D721,"AAAAAC/6ulY=")</f>
        <v>#VALUE!</v>
      </c>
      <c r="CJ29" t="e">
        <f>AND('Current Index'!E721,"AAAAAC/6ulc=")</f>
        <v>#VALUE!</v>
      </c>
      <c r="CK29" t="e">
        <f>AND('Current Index'!F721,"AAAAAC/6ulg=")</f>
        <v>#VALUE!</v>
      </c>
      <c r="CL29" t="e">
        <f>AND('Current Index'!G721,"AAAAAC/6ulk=")</f>
        <v>#VALUE!</v>
      </c>
      <c r="CM29" t="e">
        <f>AND('Current Index'!H721,"AAAAAC/6ulo=")</f>
        <v>#VALUE!</v>
      </c>
      <c r="CN29" t="e">
        <f>AND('Current Index'!I721,"AAAAAC/6uls=")</f>
        <v>#VALUE!</v>
      </c>
      <c r="CO29">
        <f>IF('Current Index'!722:722,"AAAAAC/6ulw=",0)</f>
        <v>0</v>
      </c>
      <c r="CP29" t="e">
        <f>AND('Current Index'!A722,"AAAAAC/6ul0=")</f>
        <v>#VALUE!</v>
      </c>
      <c r="CQ29" t="e">
        <f>AND('Current Index'!#REF!,"AAAAAC/6ul4=")</f>
        <v>#REF!</v>
      </c>
      <c r="CR29" t="e">
        <f>AND('Current Index'!B722,"AAAAAC/6ul8=")</f>
        <v>#VALUE!</v>
      </c>
      <c r="CS29" t="e">
        <f>AND('Current Index'!C722,"AAAAAC/6umA=")</f>
        <v>#VALUE!</v>
      </c>
      <c r="CT29" t="e">
        <f>AND('Current Index'!D722,"AAAAAC/6umE=")</f>
        <v>#VALUE!</v>
      </c>
      <c r="CU29" t="e">
        <f>AND('Current Index'!E722,"AAAAAC/6umI=")</f>
        <v>#VALUE!</v>
      </c>
      <c r="CV29" t="e">
        <f>AND('Current Index'!F722,"AAAAAC/6umM=")</f>
        <v>#VALUE!</v>
      </c>
      <c r="CW29" t="e">
        <f>AND('Current Index'!G722,"AAAAAC/6umQ=")</f>
        <v>#VALUE!</v>
      </c>
      <c r="CX29" t="e">
        <f>AND('Current Index'!H722,"AAAAAC/6umU=")</f>
        <v>#VALUE!</v>
      </c>
      <c r="CY29" t="e">
        <f>AND('Current Index'!I722,"AAAAAC/6umY=")</f>
        <v>#VALUE!</v>
      </c>
      <c r="CZ29">
        <f>IF('Current Index'!723:723,"AAAAAC/6umc=",0)</f>
        <v>0</v>
      </c>
      <c r="DA29" t="e">
        <f>AND('Current Index'!A723,"AAAAAC/6umg=")</f>
        <v>#VALUE!</v>
      </c>
      <c r="DB29" t="e">
        <f>AND('Current Index'!#REF!,"AAAAAC/6umk=")</f>
        <v>#REF!</v>
      </c>
      <c r="DC29" t="e">
        <f>AND('Current Index'!B723,"AAAAAC/6umo=")</f>
        <v>#VALUE!</v>
      </c>
      <c r="DD29" t="e">
        <f>AND('Current Index'!C723,"AAAAAC/6ums=")</f>
        <v>#VALUE!</v>
      </c>
      <c r="DE29" t="e">
        <f>AND('Current Index'!D723,"AAAAAC/6umw=")</f>
        <v>#VALUE!</v>
      </c>
      <c r="DF29" t="e">
        <f>AND('Current Index'!E723,"AAAAAC/6um0=")</f>
        <v>#VALUE!</v>
      </c>
      <c r="DG29" t="e">
        <f>AND('Current Index'!F723,"AAAAAC/6um4=")</f>
        <v>#VALUE!</v>
      </c>
      <c r="DH29" t="e">
        <f>AND('Current Index'!G723,"AAAAAC/6um8=")</f>
        <v>#VALUE!</v>
      </c>
      <c r="DI29" t="e">
        <f>AND('Current Index'!H723,"AAAAAC/6unA=")</f>
        <v>#VALUE!</v>
      </c>
      <c r="DJ29" t="e">
        <f>AND('Current Index'!I723,"AAAAAC/6unE=")</f>
        <v>#VALUE!</v>
      </c>
      <c r="DK29">
        <f>IF('Current Index'!724:724,"AAAAAC/6unI=",0)</f>
        <v>0</v>
      </c>
      <c r="DL29" t="e">
        <f>AND('Current Index'!A724,"AAAAAC/6unM=")</f>
        <v>#VALUE!</v>
      </c>
      <c r="DM29" t="e">
        <f>AND('Current Index'!#REF!,"AAAAAC/6unQ=")</f>
        <v>#REF!</v>
      </c>
      <c r="DN29" t="e">
        <f>AND('Current Index'!B724,"AAAAAC/6unU=")</f>
        <v>#VALUE!</v>
      </c>
      <c r="DO29" t="e">
        <f>AND('Current Index'!C724,"AAAAAC/6unY=")</f>
        <v>#VALUE!</v>
      </c>
      <c r="DP29" t="e">
        <f>AND('Current Index'!D724,"AAAAAC/6unc=")</f>
        <v>#VALUE!</v>
      </c>
      <c r="DQ29" t="e">
        <f>AND('Current Index'!E724,"AAAAAC/6ung=")</f>
        <v>#VALUE!</v>
      </c>
      <c r="DR29" t="e">
        <f>AND('Current Index'!F724,"AAAAAC/6unk=")</f>
        <v>#VALUE!</v>
      </c>
      <c r="DS29" t="e">
        <f>AND('Current Index'!G724,"AAAAAC/6uno=")</f>
        <v>#VALUE!</v>
      </c>
      <c r="DT29" t="e">
        <f>AND('Current Index'!H724,"AAAAAC/6uns=")</f>
        <v>#VALUE!</v>
      </c>
      <c r="DU29" t="e">
        <f>AND('Current Index'!I724,"AAAAAC/6unw=")</f>
        <v>#VALUE!</v>
      </c>
      <c r="DV29">
        <f>IF('Current Index'!725:725,"AAAAAC/6un0=",0)</f>
        <v>0</v>
      </c>
      <c r="DW29" t="e">
        <f>AND('Current Index'!A725,"AAAAAC/6un4=")</f>
        <v>#VALUE!</v>
      </c>
      <c r="DX29" t="e">
        <f>AND('Current Index'!#REF!,"AAAAAC/6un8=")</f>
        <v>#REF!</v>
      </c>
      <c r="DY29" t="e">
        <f>AND('Current Index'!B725,"AAAAAC/6uoA=")</f>
        <v>#VALUE!</v>
      </c>
      <c r="DZ29" t="e">
        <f>AND('Current Index'!C725,"AAAAAC/6uoE=")</f>
        <v>#VALUE!</v>
      </c>
      <c r="EA29" t="e">
        <f>AND('Current Index'!D725,"AAAAAC/6uoI=")</f>
        <v>#VALUE!</v>
      </c>
      <c r="EB29" t="e">
        <f>AND('Current Index'!E725,"AAAAAC/6uoM=")</f>
        <v>#VALUE!</v>
      </c>
      <c r="EC29" t="e">
        <f>AND('Current Index'!F725,"AAAAAC/6uoQ=")</f>
        <v>#VALUE!</v>
      </c>
      <c r="ED29" t="e">
        <f>AND('Current Index'!G725,"AAAAAC/6uoU=")</f>
        <v>#VALUE!</v>
      </c>
      <c r="EE29" t="e">
        <f>AND('Current Index'!H725,"AAAAAC/6uoY=")</f>
        <v>#VALUE!</v>
      </c>
      <c r="EF29" t="e">
        <f>AND('Current Index'!I725,"AAAAAC/6uoc=")</f>
        <v>#VALUE!</v>
      </c>
      <c r="EG29">
        <f>IF('Current Index'!726:726,"AAAAAC/6uog=",0)</f>
        <v>0</v>
      </c>
      <c r="EH29" t="e">
        <f>AND('Current Index'!A726,"AAAAAC/6uok=")</f>
        <v>#VALUE!</v>
      </c>
      <c r="EI29" t="e">
        <f>AND('Current Index'!#REF!,"AAAAAC/6uoo=")</f>
        <v>#REF!</v>
      </c>
      <c r="EJ29" t="e">
        <f>AND('Current Index'!B726,"AAAAAC/6uos=")</f>
        <v>#VALUE!</v>
      </c>
      <c r="EK29" t="e">
        <f>AND('Current Index'!C726,"AAAAAC/6uow=")</f>
        <v>#VALUE!</v>
      </c>
      <c r="EL29" t="e">
        <f>AND('Current Index'!D726,"AAAAAC/6uo0=")</f>
        <v>#VALUE!</v>
      </c>
      <c r="EM29" t="e">
        <f>AND('Current Index'!E726,"AAAAAC/6uo4=")</f>
        <v>#VALUE!</v>
      </c>
      <c r="EN29" t="e">
        <f>AND('Current Index'!F726,"AAAAAC/6uo8=")</f>
        <v>#VALUE!</v>
      </c>
      <c r="EO29" t="e">
        <f>AND('Current Index'!G726,"AAAAAC/6upA=")</f>
        <v>#VALUE!</v>
      </c>
      <c r="EP29" t="e">
        <f>AND('Current Index'!H726,"AAAAAC/6upE=")</f>
        <v>#VALUE!</v>
      </c>
      <c r="EQ29" t="e">
        <f>AND('Current Index'!I726,"AAAAAC/6upI=")</f>
        <v>#VALUE!</v>
      </c>
      <c r="ER29">
        <f>IF('Current Index'!727:727,"AAAAAC/6upM=",0)</f>
        <v>0</v>
      </c>
      <c r="ES29" t="e">
        <f>AND('Current Index'!A727,"AAAAAC/6upQ=")</f>
        <v>#VALUE!</v>
      </c>
      <c r="ET29" t="e">
        <f>AND('Current Index'!#REF!,"AAAAAC/6upU=")</f>
        <v>#REF!</v>
      </c>
      <c r="EU29" t="e">
        <f>AND('Current Index'!B727,"AAAAAC/6upY=")</f>
        <v>#VALUE!</v>
      </c>
      <c r="EV29" t="e">
        <f>AND('Current Index'!C727,"AAAAAC/6upc=")</f>
        <v>#VALUE!</v>
      </c>
      <c r="EW29" t="e">
        <f>AND('Current Index'!D727,"AAAAAC/6upg=")</f>
        <v>#VALUE!</v>
      </c>
      <c r="EX29" t="e">
        <f>AND('Current Index'!E727,"AAAAAC/6upk=")</f>
        <v>#VALUE!</v>
      </c>
      <c r="EY29" t="e">
        <f>AND('Current Index'!F727,"AAAAAC/6upo=")</f>
        <v>#VALUE!</v>
      </c>
      <c r="EZ29" t="e">
        <f>AND('Current Index'!G727,"AAAAAC/6ups=")</f>
        <v>#VALUE!</v>
      </c>
      <c r="FA29" t="e">
        <f>AND('Current Index'!H727,"AAAAAC/6upw=")</f>
        <v>#VALUE!</v>
      </c>
      <c r="FB29" t="e">
        <f>AND('Current Index'!I727,"AAAAAC/6up0=")</f>
        <v>#VALUE!</v>
      </c>
      <c r="FC29">
        <f>IF('Current Index'!728:728,"AAAAAC/6up4=",0)</f>
        <v>0</v>
      </c>
      <c r="FD29" t="e">
        <f>AND('Current Index'!A728,"AAAAAC/6up8=")</f>
        <v>#VALUE!</v>
      </c>
      <c r="FE29" t="e">
        <f>AND('Current Index'!#REF!,"AAAAAC/6uqA=")</f>
        <v>#REF!</v>
      </c>
      <c r="FF29" t="e">
        <f>AND('Current Index'!B728,"AAAAAC/6uqE=")</f>
        <v>#VALUE!</v>
      </c>
      <c r="FG29" t="e">
        <f>AND('Current Index'!C728,"AAAAAC/6uqI=")</f>
        <v>#VALUE!</v>
      </c>
      <c r="FH29" t="e">
        <f>AND('Current Index'!D728,"AAAAAC/6uqM=")</f>
        <v>#VALUE!</v>
      </c>
      <c r="FI29" t="e">
        <f>AND('Current Index'!E728,"AAAAAC/6uqQ=")</f>
        <v>#VALUE!</v>
      </c>
      <c r="FJ29" t="e">
        <f>AND('Current Index'!F728,"AAAAAC/6uqU=")</f>
        <v>#VALUE!</v>
      </c>
      <c r="FK29" t="e">
        <f>AND('Current Index'!G728,"AAAAAC/6uqY=")</f>
        <v>#VALUE!</v>
      </c>
      <c r="FL29" t="e">
        <f>AND('Current Index'!H728,"AAAAAC/6uqc=")</f>
        <v>#VALUE!</v>
      </c>
      <c r="FM29" t="e">
        <f>AND('Current Index'!I728,"AAAAAC/6uqg=")</f>
        <v>#VALUE!</v>
      </c>
      <c r="FN29">
        <f>IF('Current Index'!729:729,"AAAAAC/6uqk=",0)</f>
        <v>0</v>
      </c>
      <c r="FO29" t="e">
        <f>AND('Current Index'!A729,"AAAAAC/6uqo=")</f>
        <v>#VALUE!</v>
      </c>
      <c r="FP29" t="e">
        <f>AND('Current Index'!#REF!,"AAAAAC/6uqs=")</f>
        <v>#REF!</v>
      </c>
      <c r="FQ29" t="e">
        <f>AND('Current Index'!B729,"AAAAAC/6uqw=")</f>
        <v>#VALUE!</v>
      </c>
      <c r="FR29" t="e">
        <f>AND('Current Index'!C729,"AAAAAC/6uq0=")</f>
        <v>#VALUE!</v>
      </c>
      <c r="FS29" t="e">
        <f>AND('Current Index'!D729,"AAAAAC/6uq4=")</f>
        <v>#VALUE!</v>
      </c>
      <c r="FT29" t="e">
        <f>AND('Current Index'!E729,"AAAAAC/6uq8=")</f>
        <v>#VALUE!</v>
      </c>
      <c r="FU29" t="e">
        <f>AND('Current Index'!F729,"AAAAAC/6urA=")</f>
        <v>#VALUE!</v>
      </c>
      <c r="FV29" t="e">
        <f>AND('Current Index'!G729,"AAAAAC/6urE=")</f>
        <v>#VALUE!</v>
      </c>
      <c r="FW29" t="e">
        <f>AND('Current Index'!H729,"AAAAAC/6urI=")</f>
        <v>#VALUE!</v>
      </c>
      <c r="FX29" t="e">
        <f>AND('Current Index'!I729,"AAAAAC/6urM=")</f>
        <v>#VALUE!</v>
      </c>
      <c r="FY29">
        <f>IF('Current Index'!730:730,"AAAAAC/6urQ=",0)</f>
        <v>0</v>
      </c>
      <c r="FZ29" t="e">
        <f>AND('Current Index'!A730,"AAAAAC/6urU=")</f>
        <v>#VALUE!</v>
      </c>
      <c r="GA29" t="e">
        <f>AND('Current Index'!#REF!,"AAAAAC/6urY=")</f>
        <v>#REF!</v>
      </c>
      <c r="GB29" t="e">
        <f>AND('Current Index'!B730,"AAAAAC/6urc=")</f>
        <v>#VALUE!</v>
      </c>
      <c r="GC29" t="e">
        <f>AND('Current Index'!C730,"AAAAAC/6urg=")</f>
        <v>#VALUE!</v>
      </c>
      <c r="GD29" t="e">
        <f>AND('Current Index'!D730,"AAAAAC/6urk=")</f>
        <v>#VALUE!</v>
      </c>
      <c r="GE29" t="e">
        <f>AND('Current Index'!E730,"AAAAAC/6uro=")</f>
        <v>#VALUE!</v>
      </c>
      <c r="GF29" t="e">
        <f>AND('Current Index'!F730,"AAAAAC/6urs=")</f>
        <v>#VALUE!</v>
      </c>
      <c r="GG29" t="e">
        <f>AND('Current Index'!G730,"AAAAAC/6urw=")</f>
        <v>#VALUE!</v>
      </c>
      <c r="GH29" t="e">
        <f>AND('Current Index'!H730,"AAAAAC/6ur0=")</f>
        <v>#VALUE!</v>
      </c>
      <c r="GI29" t="e">
        <f>AND('Current Index'!I730,"AAAAAC/6ur4=")</f>
        <v>#VALUE!</v>
      </c>
      <c r="GJ29">
        <f>IF('Current Index'!731:731,"AAAAAC/6ur8=",0)</f>
        <v>0</v>
      </c>
      <c r="GK29" t="e">
        <f>AND('Current Index'!A731,"AAAAAC/6usA=")</f>
        <v>#VALUE!</v>
      </c>
      <c r="GL29" t="e">
        <f>AND('Current Index'!#REF!,"AAAAAC/6usE=")</f>
        <v>#REF!</v>
      </c>
      <c r="GM29" t="e">
        <f>AND('Current Index'!B731,"AAAAAC/6usI=")</f>
        <v>#VALUE!</v>
      </c>
      <c r="GN29" t="e">
        <f>AND('Current Index'!C731,"AAAAAC/6usM=")</f>
        <v>#VALUE!</v>
      </c>
      <c r="GO29" t="e">
        <f>AND('Current Index'!D731,"AAAAAC/6usQ=")</f>
        <v>#VALUE!</v>
      </c>
      <c r="GP29" t="e">
        <f>AND('Current Index'!E731,"AAAAAC/6usU=")</f>
        <v>#VALUE!</v>
      </c>
      <c r="GQ29" t="e">
        <f>AND('Current Index'!F731,"AAAAAC/6usY=")</f>
        <v>#VALUE!</v>
      </c>
      <c r="GR29" t="e">
        <f>AND('Current Index'!G731,"AAAAAC/6usc=")</f>
        <v>#VALUE!</v>
      </c>
      <c r="GS29" t="e">
        <f>AND('Current Index'!H731,"AAAAAC/6usg=")</f>
        <v>#VALUE!</v>
      </c>
      <c r="GT29" t="e">
        <f>AND('Current Index'!I731,"AAAAAC/6usk=")</f>
        <v>#VALUE!</v>
      </c>
      <c r="GU29">
        <f>IF('Current Index'!732:732,"AAAAAC/6uso=",0)</f>
        <v>0</v>
      </c>
      <c r="GV29" t="e">
        <f>AND('Current Index'!A732,"AAAAAC/6uss=")</f>
        <v>#VALUE!</v>
      </c>
      <c r="GW29" t="e">
        <f>AND('Current Index'!#REF!,"AAAAAC/6usw=")</f>
        <v>#REF!</v>
      </c>
      <c r="GX29" t="e">
        <f>AND('Current Index'!B732,"AAAAAC/6us0=")</f>
        <v>#VALUE!</v>
      </c>
      <c r="GY29" t="e">
        <f>AND('Current Index'!C732,"AAAAAC/6us4=")</f>
        <v>#VALUE!</v>
      </c>
      <c r="GZ29" t="e">
        <f>AND('Current Index'!D732,"AAAAAC/6us8=")</f>
        <v>#VALUE!</v>
      </c>
      <c r="HA29" t="e">
        <f>AND('Current Index'!E732,"AAAAAC/6utA=")</f>
        <v>#VALUE!</v>
      </c>
      <c r="HB29" t="e">
        <f>AND('Current Index'!F732,"AAAAAC/6utE=")</f>
        <v>#VALUE!</v>
      </c>
      <c r="HC29" t="e">
        <f>AND('Current Index'!G732,"AAAAAC/6utI=")</f>
        <v>#VALUE!</v>
      </c>
      <c r="HD29" t="e">
        <f>AND('Current Index'!H732,"AAAAAC/6utM=")</f>
        <v>#VALUE!</v>
      </c>
      <c r="HE29" t="e">
        <f>AND('Current Index'!I732,"AAAAAC/6utQ=")</f>
        <v>#VALUE!</v>
      </c>
      <c r="HF29">
        <f>IF('Current Index'!733:733,"AAAAAC/6utU=",0)</f>
        <v>0</v>
      </c>
      <c r="HG29" t="e">
        <f>AND('Current Index'!A733,"AAAAAC/6utY=")</f>
        <v>#VALUE!</v>
      </c>
      <c r="HH29" t="e">
        <f>AND('Current Index'!#REF!,"AAAAAC/6utc=")</f>
        <v>#REF!</v>
      </c>
      <c r="HI29" t="e">
        <f>AND('Current Index'!B733,"AAAAAC/6utg=")</f>
        <v>#VALUE!</v>
      </c>
      <c r="HJ29" t="e">
        <f>AND('Current Index'!C733,"AAAAAC/6utk=")</f>
        <v>#VALUE!</v>
      </c>
      <c r="HK29" t="e">
        <f>AND('Current Index'!D733,"AAAAAC/6uto=")</f>
        <v>#VALUE!</v>
      </c>
      <c r="HL29" t="e">
        <f>AND('Current Index'!E733,"AAAAAC/6uts=")</f>
        <v>#VALUE!</v>
      </c>
      <c r="HM29" t="e">
        <f>AND('Current Index'!F733,"AAAAAC/6utw=")</f>
        <v>#VALUE!</v>
      </c>
      <c r="HN29" t="e">
        <f>AND('Current Index'!G733,"AAAAAC/6ut0=")</f>
        <v>#VALUE!</v>
      </c>
      <c r="HO29" t="e">
        <f>AND('Current Index'!H733,"AAAAAC/6ut4=")</f>
        <v>#VALUE!</v>
      </c>
      <c r="HP29" t="e">
        <f>AND('Current Index'!I733,"AAAAAC/6ut8=")</f>
        <v>#VALUE!</v>
      </c>
      <c r="HQ29">
        <f>IF('Current Index'!734:734,"AAAAAC/6uuA=",0)</f>
        <v>0</v>
      </c>
      <c r="HR29" t="e">
        <f>AND('Current Index'!A734,"AAAAAC/6uuE=")</f>
        <v>#VALUE!</v>
      </c>
      <c r="HS29" t="e">
        <f>AND('Current Index'!#REF!,"AAAAAC/6uuI=")</f>
        <v>#REF!</v>
      </c>
      <c r="HT29" t="e">
        <f>AND('Current Index'!B734,"AAAAAC/6uuM=")</f>
        <v>#VALUE!</v>
      </c>
      <c r="HU29" t="e">
        <f>AND('Current Index'!C734,"AAAAAC/6uuQ=")</f>
        <v>#VALUE!</v>
      </c>
      <c r="HV29" t="e">
        <f>AND('Current Index'!D734,"AAAAAC/6uuU=")</f>
        <v>#VALUE!</v>
      </c>
      <c r="HW29" t="e">
        <f>AND('Current Index'!E734,"AAAAAC/6uuY=")</f>
        <v>#VALUE!</v>
      </c>
      <c r="HX29" t="e">
        <f>AND('Current Index'!F734,"AAAAAC/6uuc=")</f>
        <v>#VALUE!</v>
      </c>
      <c r="HY29" t="e">
        <f>AND('Current Index'!G734,"AAAAAC/6uug=")</f>
        <v>#VALUE!</v>
      </c>
      <c r="HZ29" t="e">
        <f>AND('Current Index'!H734,"AAAAAC/6uuk=")</f>
        <v>#VALUE!</v>
      </c>
      <c r="IA29" t="e">
        <f>AND('Current Index'!I734,"AAAAAC/6uuo=")</f>
        <v>#VALUE!</v>
      </c>
      <c r="IB29">
        <f>IF('Current Index'!735:735,"AAAAAC/6uus=",0)</f>
        <v>0</v>
      </c>
      <c r="IC29" t="e">
        <f>AND('Current Index'!A735,"AAAAAC/6uuw=")</f>
        <v>#VALUE!</v>
      </c>
      <c r="ID29" t="e">
        <f>AND('Current Index'!#REF!,"AAAAAC/6uu0=")</f>
        <v>#REF!</v>
      </c>
      <c r="IE29" t="e">
        <f>AND('Current Index'!B735,"AAAAAC/6uu4=")</f>
        <v>#VALUE!</v>
      </c>
      <c r="IF29" t="e">
        <f>AND('Current Index'!C735,"AAAAAC/6uu8=")</f>
        <v>#VALUE!</v>
      </c>
      <c r="IG29" t="e">
        <f>AND('Current Index'!D735,"AAAAAC/6uvA=")</f>
        <v>#VALUE!</v>
      </c>
      <c r="IH29" t="e">
        <f>AND('Current Index'!E735,"AAAAAC/6uvE=")</f>
        <v>#VALUE!</v>
      </c>
      <c r="II29" t="e">
        <f>AND('Current Index'!F735,"AAAAAC/6uvI=")</f>
        <v>#VALUE!</v>
      </c>
      <c r="IJ29" t="e">
        <f>AND('Current Index'!G735,"AAAAAC/6uvM=")</f>
        <v>#VALUE!</v>
      </c>
      <c r="IK29" t="e">
        <f>AND('Current Index'!H735,"AAAAAC/6uvQ=")</f>
        <v>#VALUE!</v>
      </c>
      <c r="IL29" t="e">
        <f>AND('Current Index'!I735,"AAAAAC/6uvU=")</f>
        <v>#VALUE!</v>
      </c>
      <c r="IM29">
        <f>IF('Current Index'!736:736,"AAAAAC/6uvY=",0)</f>
        <v>0</v>
      </c>
      <c r="IN29" t="e">
        <f>AND('Current Index'!A736,"AAAAAC/6uvc=")</f>
        <v>#VALUE!</v>
      </c>
      <c r="IO29" t="e">
        <f>AND('Current Index'!#REF!,"AAAAAC/6uvg=")</f>
        <v>#REF!</v>
      </c>
      <c r="IP29" t="e">
        <f>AND('Current Index'!B736,"AAAAAC/6uvk=")</f>
        <v>#VALUE!</v>
      </c>
      <c r="IQ29" t="e">
        <f>AND('Current Index'!C736,"AAAAAC/6uvo=")</f>
        <v>#VALUE!</v>
      </c>
      <c r="IR29" t="e">
        <f>AND('Current Index'!D736,"AAAAAC/6uvs=")</f>
        <v>#VALUE!</v>
      </c>
      <c r="IS29" t="e">
        <f>AND('Current Index'!E736,"AAAAAC/6uvw=")</f>
        <v>#VALUE!</v>
      </c>
      <c r="IT29" t="e">
        <f>AND('Current Index'!F736,"AAAAAC/6uv0=")</f>
        <v>#VALUE!</v>
      </c>
      <c r="IU29" t="e">
        <f>AND('Current Index'!G736,"AAAAAC/6uv4=")</f>
        <v>#VALUE!</v>
      </c>
      <c r="IV29" t="e">
        <f>AND('Current Index'!H736,"AAAAAC/6uv8=")</f>
        <v>#VALUE!</v>
      </c>
    </row>
    <row r="30" spans="1:256" x14ac:dyDescent="0.25">
      <c r="A30" t="e">
        <f>AND('Current Index'!I736,"AAAAAH37/wA=")</f>
        <v>#VALUE!</v>
      </c>
      <c r="B30" t="e">
        <f>IF('Current Index'!737:737,"AAAAAH37/wE=",0)</f>
        <v>#VALUE!</v>
      </c>
      <c r="C30" t="e">
        <f>AND('Current Index'!A737,"AAAAAH37/wI=")</f>
        <v>#VALUE!</v>
      </c>
      <c r="D30" t="e">
        <f>AND('Current Index'!#REF!,"AAAAAH37/wM=")</f>
        <v>#REF!</v>
      </c>
      <c r="E30" t="e">
        <f>AND('Current Index'!B737,"AAAAAH37/wQ=")</f>
        <v>#VALUE!</v>
      </c>
      <c r="F30" t="e">
        <f>AND('Current Index'!C737,"AAAAAH37/wU=")</f>
        <v>#VALUE!</v>
      </c>
      <c r="G30" t="e">
        <f>AND('Current Index'!D737,"AAAAAH37/wY=")</f>
        <v>#VALUE!</v>
      </c>
      <c r="H30" t="e">
        <f>AND('Current Index'!E737,"AAAAAH37/wc=")</f>
        <v>#VALUE!</v>
      </c>
      <c r="I30" t="e">
        <f>AND('Current Index'!F737,"AAAAAH37/wg=")</f>
        <v>#VALUE!</v>
      </c>
      <c r="J30" t="e">
        <f>AND('Current Index'!G737,"AAAAAH37/wk=")</f>
        <v>#VALUE!</v>
      </c>
      <c r="K30" t="e">
        <f>AND('Current Index'!H737,"AAAAAH37/wo=")</f>
        <v>#VALUE!</v>
      </c>
      <c r="L30" t="e">
        <f>AND('Current Index'!I737,"AAAAAH37/ws=")</f>
        <v>#VALUE!</v>
      </c>
      <c r="M30">
        <f>IF('Current Index'!738:738,"AAAAAH37/ww=",0)</f>
        <v>0</v>
      </c>
      <c r="N30" t="e">
        <f>AND('Current Index'!A738,"AAAAAH37/w0=")</f>
        <v>#VALUE!</v>
      </c>
      <c r="O30" t="e">
        <f>AND('Current Index'!#REF!,"AAAAAH37/w4=")</f>
        <v>#REF!</v>
      </c>
      <c r="P30" t="e">
        <f>AND('Current Index'!B738,"AAAAAH37/w8=")</f>
        <v>#VALUE!</v>
      </c>
      <c r="Q30" t="e">
        <f>AND('Current Index'!C738,"AAAAAH37/xA=")</f>
        <v>#VALUE!</v>
      </c>
      <c r="R30" t="e">
        <f>AND('Current Index'!D738,"AAAAAH37/xE=")</f>
        <v>#VALUE!</v>
      </c>
      <c r="S30" t="e">
        <f>AND('Current Index'!E738,"AAAAAH37/xI=")</f>
        <v>#VALUE!</v>
      </c>
      <c r="T30" t="e">
        <f>AND('Current Index'!F738,"AAAAAH37/xM=")</f>
        <v>#VALUE!</v>
      </c>
      <c r="U30" t="e">
        <f>AND('Current Index'!G738,"AAAAAH37/xQ=")</f>
        <v>#VALUE!</v>
      </c>
      <c r="V30" t="e">
        <f>AND('Current Index'!H738,"AAAAAH37/xU=")</f>
        <v>#VALUE!</v>
      </c>
      <c r="W30" t="e">
        <f>AND('Current Index'!I738,"AAAAAH37/xY=")</f>
        <v>#VALUE!</v>
      </c>
      <c r="X30">
        <f>IF('Current Index'!739:739,"AAAAAH37/xc=",0)</f>
        <v>0</v>
      </c>
      <c r="Y30" t="e">
        <f>AND('Current Index'!A739,"AAAAAH37/xg=")</f>
        <v>#VALUE!</v>
      </c>
      <c r="Z30" t="e">
        <f>AND('Current Index'!#REF!,"AAAAAH37/xk=")</f>
        <v>#REF!</v>
      </c>
      <c r="AA30" t="e">
        <f>AND('Current Index'!B739,"AAAAAH37/xo=")</f>
        <v>#VALUE!</v>
      </c>
      <c r="AB30" t="e">
        <f>AND('Current Index'!C739,"AAAAAH37/xs=")</f>
        <v>#VALUE!</v>
      </c>
      <c r="AC30" t="e">
        <f>AND('Current Index'!D739,"AAAAAH37/xw=")</f>
        <v>#VALUE!</v>
      </c>
      <c r="AD30" t="e">
        <f>AND('Current Index'!E739,"AAAAAH37/x0=")</f>
        <v>#VALUE!</v>
      </c>
      <c r="AE30" t="e">
        <f>AND('Current Index'!F739,"AAAAAH37/x4=")</f>
        <v>#VALUE!</v>
      </c>
      <c r="AF30" t="e">
        <f>AND('Current Index'!G739,"AAAAAH37/x8=")</f>
        <v>#VALUE!</v>
      </c>
      <c r="AG30" t="e">
        <f>AND('Current Index'!H739,"AAAAAH37/yA=")</f>
        <v>#VALUE!</v>
      </c>
      <c r="AH30" t="e">
        <f>AND('Current Index'!I739,"AAAAAH37/yE=")</f>
        <v>#VALUE!</v>
      </c>
      <c r="AI30">
        <f>IF('Current Index'!740:740,"AAAAAH37/yI=",0)</f>
        <v>0</v>
      </c>
      <c r="AJ30" t="e">
        <f>AND('Current Index'!A740,"AAAAAH37/yM=")</f>
        <v>#VALUE!</v>
      </c>
      <c r="AK30" t="e">
        <f>AND('Current Index'!#REF!,"AAAAAH37/yQ=")</f>
        <v>#REF!</v>
      </c>
      <c r="AL30" t="e">
        <f>AND('Current Index'!B740,"AAAAAH37/yU=")</f>
        <v>#VALUE!</v>
      </c>
      <c r="AM30" t="e">
        <f>AND('Current Index'!C740,"AAAAAH37/yY=")</f>
        <v>#VALUE!</v>
      </c>
      <c r="AN30" t="e">
        <f>AND('Current Index'!D740,"AAAAAH37/yc=")</f>
        <v>#VALUE!</v>
      </c>
      <c r="AO30" t="e">
        <f>AND('Current Index'!E740,"AAAAAH37/yg=")</f>
        <v>#VALUE!</v>
      </c>
      <c r="AP30" t="e">
        <f>AND('Current Index'!F740,"AAAAAH37/yk=")</f>
        <v>#VALUE!</v>
      </c>
      <c r="AQ30" t="e">
        <f>AND('Current Index'!G740,"AAAAAH37/yo=")</f>
        <v>#VALUE!</v>
      </c>
      <c r="AR30" t="e">
        <f>AND('Current Index'!H740,"AAAAAH37/ys=")</f>
        <v>#VALUE!</v>
      </c>
      <c r="AS30" t="e">
        <f>AND('Current Index'!I740,"AAAAAH37/yw=")</f>
        <v>#VALUE!</v>
      </c>
      <c r="AT30">
        <f>IF('Current Index'!741:741,"AAAAAH37/y0=",0)</f>
        <v>0</v>
      </c>
      <c r="AU30" t="e">
        <f>AND('Current Index'!A741,"AAAAAH37/y4=")</f>
        <v>#VALUE!</v>
      </c>
      <c r="AV30" t="e">
        <f>AND('Current Index'!#REF!,"AAAAAH37/y8=")</f>
        <v>#REF!</v>
      </c>
      <c r="AW30" t="e">
        <f>AND('Current Index'!B741,"AAAAAH37/zA=")</f>
        <v>#VALUE!</v>
      </c>
      <c r="AX30" t="e">
        <f>AND('Current Index'!C741,"AAAAAH37/zE=")</f>
        <v>#VALUE!</v>
      </c>
      <c r="AY30" t="e">
        <f>AND('Current Index'!D741,"AAAAAH37/zI=")</f>
        <v>#VALUE!</v>
      </c>
      <c r="AZ30" t="e">
        <f>AND('Current Index'!E741,"AAAAAH37/zM=")</f>
        <v>#VALUE!</v>
      </c>
      <c r="BA30" t="e">
        <f>AND('Current Index'!F741,"AAAAAH37/zQ=")</f>
        <v>#VALUE!</v>
      </c>
      <c r="BB30" t="e">
        <f>AND('Current Index'!G741,"AAAAAH37/zU=")</f>
        <v>#VALUE!</v>
      </c>
      <c r="BC30" t="e">
        <f>AND('Current Index'!H741,"AAAAAH37/zY=")</f>
        <v>#VALUE!</v>
      </c>
      <c r="BD30" t="e">
        <f>AND('Current Index'!I741,"AAAAAH37/zc=")</f>
        <v>#VALUE!</v>
      </c>
      <c r="BE30">
        <f>IF('Current Index'!742:742,"AAAAAH37/zg=",0)</f>
        <v>0</v>
      </c>
      <c r="BF30" t="e">
        <f>AND('Current Index'!A742,"AAAAAH37/zk=")</f>
        <v>#VALUE!</v>
      </c>
      <c r="BG30" t="e">
        <f>AND('Current Index'!#REF!,"AAAAAH37/zo=")</f>
        <v>#REF!</v>
      </c>
      <c r="BH30" t="e">
        <f>AND('Current Index'!B742,"AAAAAH37/zs=")</f>
        <v>#VALUE!</v>
      </c>
      <c r="BI30" t="e">
        <f>AND('Current Index'!C742,"AAAAAH37/zw=")</f>
        <v>#VALUE!</v>
      </c>
      <c r="BJ30" t="e">
        <f>AND('Current Index'!D742,"AAAAAH37/z0=")</f>
        <v>#VALUE!</v>
      </c>
      <c r="BK30" t="e">
        <f>AND('Current Index'!E742,"AAAAAH37/z4=")</f>
        <v>#VALUE!</v>
      </c>
      <c r="BL30" t="e">
        <f>AND('Current Index'!F742,"AAAAAH37/z8=")</f>
        <v>#VALUE!</v>
      </c>
      <c r="BM30" t="e">
        <f>AND('Current Index'!G742,"AAAAAH37/0A=")</f>
        <v>#VALUE!</v>
      </c>
      <c r="BN30" t="e">
        <f>AND('Current Index'!H742,"AAAAAH37/0E=")</f>
        <v>#VALUE!</v>
      </c>
      <c r="BO30" t="e">
        <f>AND('Current Index'!I742,"AAAAAH37/0I=")</f>
        <v>#VALUE!</v>
      </c>
      <c r="BP30">
        <f>IF('Current Index'!743:743,"AAAAAH37/0M=",0)</f>
        <v>0</v>
      </c>
      <c r="BQ30" t="e">
        <f>AND('Current Index'!A743,"AAAAAH37/0Q=")</f>
        <v>#VALUE!</v>
      </c>
      <c r="BR30" t="e">
        <f>AND('Current Index'!#REF!,"AAAAAH37/0U=")</f>
        <v>#REF!</v>
      </c>
      <c r="BS30" t="e">
        <f>AND('Current Index'!B743,"AAAAAH37/0Y=")</f>
        <v>#VALUE!</v>
      </c>
      <c r="BT30" t="e">
        <f>AND('Current Index'!C743,"AAAAAH37/0c=")</f>
        <v>#VALUE!</v>
      </c>
      <c r="BU30" t="e">
        <f>AND('Current Index'!D743,"AAAAAH37/0g=")</f>
        <v>#VALUE!</v>
      </c>
      <c r="BV30" t="e">
        <f>AND('Current Index'!E743,"AAAAAH37/0k=")</f>
        <v>#VALUE!</v>
      </c>
      <c r="BW30" t="e">
        <f>AND('Current Index'!F743,"AAAAAH37/0o=")</f>
        <v>#VALUE!</v>
      </c>
      <c r="BX30" t="e">
        <f>AND('Current Index'!G743,"AAAAAH37/0s=")</f>
        <v>#VALUE!</v>
      </c>
      <c r="BY30" t="e">
        <f>AND('Current Index'!H743,"AAAAAH37/0w=")</f>
        <v>#VALUE!</v>
      </c>
      <c r="BZ30" t="e">
        <f>AND('Current Index'!I743,"AAAAAH37/00=")</f>
        <v>#VALUE!</v>
      </c>
      <c r="CA30">
        <f>IF('Current Index'!744:744,"AAAAAH37/04=",0)</f>
        <v>0</v>
      </c>
      <c r="CB30" t="e">
        <f>AND('Current Index'!A744,"AAAAAH37/08=")</f>
        <v>#VALUE!</v>
      </c>
      <c r="CC30" t="e">
        <f>AND('Current Index'!#REF!,"AAAAAH37/1A=")</f>
        <v>#REF!</v>
      </c>
      <c r="CD30" t="e">
        <f>AND('Current Index'!B744,"AAAAAH37/1E=")</f>
        <v>#VALUE!</v>
      </c>
      <c r="CE30" t="e">
        <f>AND('Current Index'!C744,"AAAAAH37/1I=")</f>
        <v>#VALUE!</v>
      </c>
      <c r="CF30" t="e">
        <f>AND('Current Index'!D744,"AAAAAH37/1M=")</f>
        <v>#VALUE!</v>
      </c>
      <c r="CG30" t="e">
        <f>AND('Current Index'!E744,"AAAAAH37/1Q=")</f>
        <v>#VALUE!</v>
      </c>
      <c r="CH30" t="e">
        <f>AND('Current Index'!F744,"AAAAAH37/1U=")</f>
        <v>#VALUE!</v>
      </c>
      <c r="CI30" t="e">
        <f>AND('Current Index'!G744,"AAAAAH37/1Y=")</f>
        <v>#VALUE!</v>
      </c>
      <c r="CJ30" t="e">
        <f>AND('Current Index'!H744,"AAAAAH37/1c=")</f>
        <v>#VALUE!</v>
      </c>
      <c r="CK30" t="e">
        <f>AND('Current Index'!I744,"AAAAAH37/1g=")</f>
        <v>#VALUE!</v>
      </c>
      <c r="CL30">
        <f>IF('Current Index'!745:745,"AAAAAH37/1k=",0)</f>
        <v>0</v>
      </c>
      <c r="CM30" t="e">
        <f>AND('Current Index'!A745,"AAAAAH37/1o=")</f>
        <v>#VALUE!</v>
      </c>
      <c r="CN30" t="e">
        <f>AND('Current Index'!#REF!,"AAAAAH37/1s=")</f>
        <v>#REF!</v>
      </c>
      <c r="CO30" t="e">
        <f>AND('Current Index'!B745,"AAAAAH37/1w=")</f>
        <v>#VALUE!</v>
      </c>
      <c r="CP30" t="e">
        <f>AND('Current Index'!C745,"AAAAAH37/10=")</f>
        <v>#VALUE!</v>
      </c>
      <c r="CQ30" t="e">
        <f>AND('Current Index'!D745,"AAAAAH37/14=")</f>
        <v>#VALUE!</v>
      </c>
      <c r="CR30" t="e">
        <f>AND('Current Index'!E745,"AAAAAH37/18=")</f>
        <v>#VALUE!</v>
      </c>
      <c r="CS30" t="e">
        <f>AND('Current Index'!F745,"AAAAAH37/2A=")</f>
        <v>#VALUE!</v>
      </c>
      <c r="CT30" t="e">
        <f>AND('Current Index'!G745,"AAAAAH37/2E=")</f>
        <v>#VALUE!</v>
      </c>
      <c r="CU30" t="e">
        <f>AND('Current Index'!H745,"AAAAAH37/2I=")</f>
        <v>#VALUE!</v>
      </c>
      <c r="CV30" t="e">
        <f>AND('Current Index'!I745,"AAAAAH37/2M=")</f>
        <v>#VALUE!</v>
      </c>
      <c r="CW30">
        <f>IF('Current Index'!746:746,"AAAAAH37/2Q=",0)</f>
        <v>0</v>
      </c>
      <c r="CX30" t="e">
        <f>AND('Current Index'!A746,"AAAAAH37/2U=")</f>
        <v>#VALUE!</v>
      </c>
      <c r="CY30" t="e">
        <f>AND('Current Index'!#REF!,"AAAAAH37/2Y=")</f>
        <v>#REF!</v>
      </c>
      <c r="CZ30" t="e">
        <f>AND('Current Index'!B746,"AAAAAH37/2c=")</f>
        <v>#VALUE!</v>
      </c>
      <c r="DA30" t="e">
        <f>AND('Current Index'!C746,"AAAAAH37/2g=")</f>
        <v>#VALUE!</v>
      </c>
      <c r="DB30" t="e">
        <f>AND('Current Index'!D746,"AAAAAH37/2k=")</f>
        <v>#VALUE!</v>
      </c>
      <c r="DC30" t="e">
        <f>AND('Current Index'!E746,"AAAAAH37/2o=")</f>
        <v>#VALUE!</v>
      </c>
      <c r="DD30" t="e">
        <f>AND('Current Index'!F746,"AAAAAH37/2s=")</f>
        <v>#VALUE!</v>
      </c>
      <c r="DE30" t="e">
        <f>AND('Current Index'!G746,"AAAAAH37/2w=")</f>
        <v>#VALUE!</v>
      </c>
      <c r="DF30" t="e">
        <f>AND('Current Index'!H746,"AAAAAH37/20=")</f>
        <v>#VALUE!</v>
      </c>
      <c r="DG30" t="e">
        <f>AND('Current Index'!I746,"AAAAAH37/24=")</f>
        <v>#VALUE!</v>
      </c>
      <c r="DH30">
        <f>IF('Current Index'!747:747,"AAAAAH37/28=",0)</f>
        <v>0</v>
      </c>
      <c r="DI30" t="e">
        <f>AND('Current Index'!A747,"AAAAAH37/3A=")</f>
        <v>#VALUE!</v>
      </c>
      <c r="DJ30" t="e">
        <f>AND('Current Index'!#REF!,"AAAAAH37/3E=")</f>
        <v>#REF!</v>
      </c>
      <c r="DK30" t="e">
        <f>AND('Current Index'!B747,"AAAAAH37/3I=")</f>
        <v>#VALUE!</v>
      </c>
      <c r="DL30" t="e">
        <f>AND('Current Index'!C747,"AAAAAH37/3M=")</f>
        <v>#VALUE!</v>
      </c>
      <c r="DM30" t="e">
        <f>AND('Current Index'!D747,"AAAAAH37/3Q=")</f>
        <v>#VALUE!</v>
      </c>
      <c r="DN30" t="e">
        <f>AND('Current Index'!E747,"AAAAAH37/3U=")</f>
        <v>#VALUE!</v>
      </c>
      <c r="DO30" t="e">
        <f>AND('Current Index'!F747,"AAAAAH37/3Y=")</f>
        <v>#VALUE!</v>
      </c>
      <c r="DP30" t="e">
        <f>AND('Current Index'!G747,"AAAAAH37/3c=")</f>
        <v>#VALUE!</v>
      </c>
      <c r="DQ30" t="e">
        <f>AND('Current Index'!H747,"AAAAAH37/3g=")</f>
        <v>#VALUE!</v>
      </c>
      <c r="DR30" t="e">
        <f>AND('Current Index'!I747,"AAAAAH37/3k=")</f>
        <v>#VALUE!</v>
      </c>
      <c r="DS30">
        <f>IF('Current Index'!748:748,"AAAAAH37/3o=",0)</f>
        <v>0</v>
      </c>
      <c r="DT30" t="e">
        <f>AND('Current Index'!A748,"AAAAAH37/3s=")</f>
        <v>#VALUE!</v>
      </c>
      <c r="DU30" t="e">
        <f>AND('Current Index'!#REF!,"AAAAAH37/3w=")</f>
        <v>#REF!</v>
      </c>
      <c r="DV30" t="e">
        <f>AND('Current Index'!B748,"AAAAAH37/30=")</f>
        <v>#VALUE!</v>
      </c>
      <c r="DW30" t="e">
        <f>AND('Current Index'!C748,"AAAAAH37/34=")</f>
        <v>#VALUE!</v>
      </c>
      <c r="DX30" t="e">
        <f>AND('Current Index'!D748,"AAAAAH37/38=")</f>
        <v>#VALUE!</v>
      </c>
      <c r="DY30" t="e">
        <f>AND('Current Index'!E748,"AAAAAH37/4A=")</f>
        <v>#VALUE!</v>
      </c>
      <c r="DZ30" t="e">
        <f>AND('Current Index'!F748,"AAAAAH37/4E=")</f>
        <v>#VALUE!</v>
      </c>
      <c r="EA30" t="e">
        <f>AND('Current Index'!G748,"AAAAAH37/4I=")</f>
        <v>#VALUE!</v>
      </c>
      <c r="EB30" t="e">
        <f>AND('Current Index'!H748,"AAAAAH37/4M=")</f>
        <v>#VALUE!</v>
      </c>
      <c r="EC30" t="e">
        <f>AND('Current Index'!I748,"AAAAAH37/4Q=")</f>
        <v>#VALUE!</v>
      </c>
      <c r="ED30">
        <f>IF('Current Index'!749:749,"AAAAAH37/4U=",0)</f>
        <v>0</v>
      </c>
      <c r="EE30" t="e">
        <f>AND('Current Index'!A749,"AAAAAH37/4Y=")</f>
        <v>#VALUE!</v>
      </c>
      <c r="EF30" t="e">
        <f>AND('Current Index'!#REF!,"AAAAAH37/4c=")</f>
        <v>#REF!</v>
      </c>
      <c r="EG30" t="e">
        <f>AND('Current Index'!B749,"AAAAAH37/4g=")</f>
        <v>#VALUE!</v>
      </c>
      <c r="EH30" t="e">
        <f>AND('Current Index'!C749,"AAAAAH37/4k=")</f>
        <v>#VALUE!</v>
      </c>
      <c r="EI30" t="e">
        <f>AND('Current Index'!D749,"AAAAAH37/4o=")</f>
        <v>#VALUE!</v>
      </c>
      <c r="EJ30" t="e">
        <f>AND('Current Index'!E749,"AAAAAH37/4s=")</f>
        <v>#VALUE!</v>
      </c>
      <c r="EK30" t="e">
        <f>AND('Current Index'!F749,"AAAAAH37/4w=")</f>
        <v>#VALUE!</v>
      </c>
      <c r="EL30" t="e">
        <f>AND('Current Index'!G749,"AAAAAH37/40=")</f>
        <v>#VALUE!</v>
      </c>
      <c r="EM30" t="e">
        <f>AND('Current Index'!H749,"AAAAAH37/44=")</f>
        <v>#VALUE!</v>
      </c>
      <c r="EN30" t="e">
        <f>AND('Current Index'!I749,"AAAAAH37/48=")</f>
        <v>#VALUE!</v>
      </c>
      <c r="EO30">
        <f>IF('Current Index'!750:750,"AAAAAH37/5A=",0)</f>
        <v>0</v>
      </c>
      <c r="EP30" t="e">
        <f>AND('Current Index'!A750,"AAAAAH37/5E=")</f>
        <v>#VALUE!</v>
      </c>
      <c r="EQ30" t="e">
        <f>AND('Current Index'!#REF!,"AAAAAH37/5I=")</f>
        <v>#REF!</v>
      </c>
      <c r="ER30" t="e">
        <f>AND('Current Index'!B750,"AAAAAH37/5M=")</f>
        <v>#VALUE!</v>
      </c>
      <c r="ES30" t="e">
        <f>AND('Current Index'!C750,"AAAAAH37/5Q=")</f>
        <v>#VALUE!</v>
      </c>
      <c r="ET30" t="e">
        <f>AND('Current Index'!D750,"AAAAAH37/5U=")</f>
        <v>#VALUE!</v>
      </c>
      <c r="EU30" t="e">
        <f>AND('Current Index'!E750,"AAAAAH37/5Y=")</f>
        <v>#VALUE!</v>
      </c>
      <c r="EV30" t="e">
        <f>AND('Current Index'!F750,"AAAAAH37/5c=")</f>
        <v>#VALUE!</v>
      </c>
      <c r="EW30" t="e">
        <f>AND('Current Index'!G750,"AAAAAH37/5g=")</f>
        <v>#VALUE!</v>
      </c>
      <c r="EX30" t="e">
        <f>AND('Current Index'!H750,"AAAAAH37/5k=")</f>
        <v>#VALUE!</v>
      </c>
      <c r="EY30" t="e">
        <f>AND('Current Index'!I750,"AAAAAH37/5o=")</f>
        <v>#VALUE!</v>
      </c>
      <c r="EZ30">
        <f>IF('Current Index'!751:751,"AAAAAH37/5s=",0)</f>
        <v>0</v>
      </c>
      <c r="FA30" t="e">
        <f>AND('Current Index'!A751,"AAAAAH37/5w=")</f>
        <v>#VALUE!</v>
      </c>
      <c r="FB30" t="e">
        <f>AND('Current Index'!#REF!,"AAAAAH37/50=")</f>
        <v>#REF!</v>
      </c>
      <c r="FC30" t="e">
        <f>AND('Current Index'!B751,"AAAAAH37/54=")</f>
        <v>#VALUE!</v>
      </c>
      <c r="FD30" t="e">
        <f>AND('Current Index'!C751,"AAAAAH37/58=")</f>
        <v>#VALUE!</v>
      </c>
      <c r="FE30" t="e">
        <f>AND('Current Index'!D751,"AAAAAH37/6A=")</f>
        <v>#VALUE!</v>
      </c>
      <c r="FF30" t="e">
        <f>AND('Current Index'!E751,"AAAAAH37/6E=")</f>
        <v>#VALUE!</v>
      </c>
      <c r="FG30" t="e">
        <f>AND('Current Index'!F751,"AAAAAH37/6I=")</f>
        <v>#VALUE!</v>
      </c>
      <c r="FH30" t="e">
        <f>AND('Current Index'!G751,"AAAAAH37/6M=")</f>
        <v>#VALUE!</v>
      </c>
      <c r="FI30" t="e">
        <f>AND('Current Index'!H751,"AAAAAH37/6Q=")</f>
        <v>#VALUE!</v>
      </c>
      <c r="FJ30" t="e">
        <f>AND('Current Index'!I751,"AAAAAH37/6U=")</f>
        <v>#VALUE!</v>
      </c>
      <c r="FK30">
        <f>IF('Current Index'!752:752,"AAAAAH37/6Y=",0)</f>
        <v>0</v>
      </c>
      <c r="FL30" t="e">
        <f>AND('Current Index'!A752,"AAAAAH37/6c=")</f>
        <v>#VALUE!</v>
      </c>
      <c r="FM30" t="e">
        <f>AND('Current Index'!#REF!,"AAAAAH37/6g=")</f>
        <v>#REF!</v>
      </c>
      <c r="FN30" t="e">
        <f>AND('Current Index'!B752,"AAAAAH37/6k=")</f>
        <v>#VALUE!</v>
      </c>
      <c r="FO30" t="e">
        <f>AND('Current Index'!C752,"AAAAAH37/6o=")</f>
        <v>#VALUE!</v>
      </c>
      <c r="FP30" t="e">
        <f>AND('Current Index'!D752,"AAAAAH37/6s=")</f>
        <v>#VALUE!</v>
      </c>
      <c r="FQ30" t="e">
        <f>AND('Current Index'!E752,"AAAAAH37/6w=")</f>
        <v>#VALUE!</v>
      </c>
      <c r="FR30" t="e">
        <f>AND('Current Index'!F752,"AAAAAH37/60=")</f>
        <v>#VALUE!</v>
      </c>
      <c r="FS30" t="e">
        <f>AND('Current Index'!G752,"AAAAAH37/64=")</f>
        <v>#VALUE!</v>
      </c>
      <c r="FT30" t="e">
        <f>AND('Current Index'!H752,"AAAAAH37/68=")</f>
        <v>#VALUE!</v>
      </c>
      <c r="FU30" t="e">
        <f>AND('Current Index'!I752,"AAAAAH37/7A=")</f>
        <v>#VALUE!</v>
      </c>
      <c r="FV30">
        <f>IF('Current Index'!753:753,"AAAAAH37/7E=",0)</f>
        <v>0</v>
      </c>
      <c r="FW30" t="e">
        <f>AND('Current Index'!A753,"AAAAAH37/7I=")</f>
        <v>#VALUE!</v>
      </c>
      <c r="FX30" t="e">
        <f>AND('Current Index'!#REF!,"AAAAAH37/7M=")</f>
        <v>#REF!</v>
      </c>
      <c r="FY30" t="e">
        <f>AND('Current Index'!B753,"AAAAAH37/7Q=")</f>
        <v>#VALUE!</v>
      </c>
      <c r="FZ30" t="e">
        <f>AND('Current Index'!C753,"AAAAAH37/7U=")</f>
        <v>#VALUE!</v>
      </c>
      <c r="GA30" t="e">
        <f>AND('Current Index'!D753,"AAAAAH37/7Y=")</f>
        <v>#VALUE!</v>
      </c>
      <c r="GB30" t="e">
        <f>AND('Current Index'!E753,"AAAAAH37/7c=")</f>
        <v>#VALUE!</v>
      </c>
      <c r="GC30" t="e">
        <f>AND('Current Index'!F753,"AAAAAH37/7g=")</f>
        <v>#VALUE!</v>
      </c>
      <c r="GD30" t="e">
        <f>AND('Current Index'!G753,"AAAAAH37/7k=")</f>
        <v>#VALUE!</v>
      </c>
      <c r="GE30" t="e">
        <f>AND('Current Index'!H753,"AAAAAH37/7o=")</f>
        <v>#VALUE!</v>
      </c>
      <c r="GF30" t="e">
        <f>AND('Current Index'!I753,"AAAAAH37/7s=")</f>
        <v>#VALUE!</v>
      </c>
      <c r="GG30">
        <f>IF('Current Index'!754:754,"AAAAAH37/7w=",0)</f>
        <v>0</v>
      </c>
      <c r="GH30" t="e">
        <f>AND('Current Index'!A754,"AAAAAH37/70=")</f>
        <v>#VALUE!</v>
      </c>
      <c r="GI30" t="e">
        <f>AND('Current Index'!#REF!,"AAAAAH37/74=")</f>
        <v>#REF!</v>
      </c>
      <c r="GJ30" t="e">
        <f>AND('Current Index'!B754,"AAAAAH37/78=")</f>
        <v>#VALUE!</v>
      </c>
      <c r="GK30" t="e">
        <f>AND('Current Index'!C754,"AAAAAH37/8A=")</f>
        <v>#VALUE!</v>
      </c>
      <c r="GL30" t="e">
        <f>AND('Current Index'!D754,"AAAAAH37/8E=")</f>
        <v>#VALUE!</v>
      </c>
      <c r="GM30" t="e">
        <f>AND('Current Index'!E754,"AAAAAH37/8I=")</f>
        <v>#VALUE!</v>
      </c>
      <c r="GN30" t="e">
        <f>AND('Current Index'!F754,"AAAAAH37/8M=")</f>
        <v>#VALUE!</v>
      </c>
      <c r="GO30" t="e">
        <f>AND('Current Index'!G754,"AAAAAH37/8Q=")</f>
        <v>#VALUE!</v>
      </c>
      <c r="GP30" t="e">
        <f>AND('Current Index'!H754,"AAAAAH37/8U=")</f>
        <v>#VALUE!</v>
      </c>
      <c r="GQ30" t="e">
        <f>AND('Current Index'!I754,"AAAAAH37/8Y=")</f>
        <v>#VALUE!</v>
      </c>
      <c r="GR30">
        <f>IF('Current Index'!755:755,"AAAAAH37/8c=",0)</f>
        <v>0</v>
      </c>
      <c r="GS30" t="e">
        <f>AND('Current Index'!A755,"AAAAAH37/8g=")</f>
        <v>#VALUE!</v>
      </c>
      <c r="GT30" t="e">
        <f>AND('Current Index'!#REF!,"AAAAAH37/8k=")</f>
        <v>#REF!</v>
      </c>
      <c r="GU30" t="e">
        <f>AND('Current Index'!B755,"AAAAAH37/8o=")</f>
        <v>#VALUE!</v>
      </c>
      <c r="GV30" t="e">
        <f>AND('Current Index'!C755,"AAAAAH37/8s=")</f>
        <v>#VALUE!</v>
      </c>
      <c r="GW30" t="e">
        <f>AND('Current Index'!D755,"AAAAAH37/8w=")</f>
        <v>#VALUE!</v>
      </c>
      <c r="GX30" t="e">
        <f>AND('Current Index'!E755,"AAAAAH37/80=")</f>
        <v>#VALUE!</v>
      </c>
      <c r="GY30" t="e">
        <f>AND('Current Index'!F755,"AAAAAH37/84=")</f>
        <v>#VALUE!</v>
      </c>
      <c r="GZ30" t="e">
        <f>AND('Current Index'!G755,"AAAAAH37/88=")</f>
        <v>#VALUE!</v>
      </c>
      <c r="HA30" t="e">
        <f>AND('Current Index'!H755,"AAAAAH37/9A=")</f>
        <v>#VALUE!</v>
      </c>
      <c r="HB30" t="e">
        <f>AND('Current Index'!I755,"AAAAAH37/9E=")</f>
        <v>#VALUE!</v>
      </c>
      <c r="HC30">
        <f>IF('Current Index'!756:756,"AAAAAH37/9I=",0)</f>
        <v>0</v>
      </c>
      <c r="HD30" t="e">
        <f>AND('Current Index'!A756,"AAAAAH37/9M=")</f>
        <v>#VALUE!</v>
      </c>
      <c r="HE30" t="e">
        <f>AND('Current Index'!#REF!,"AAAAAH37/9Q=")</f>
        <v>#REF!</v>
      </c>
      <c r="HF30" t="e">
        <f>AND('Current Index'!B756,"AAAAAH37/9U=")</f>
        <v>#VALUE!</v>
      </c>
      <c r="HG30" t="e">
        <f>AND('Current Index'!C756,"AAAAAH37/9Y=")</f>
        <v>#VALUE!</v>
      </c>
      <c r="HH30" t="e">
        <f>AND('Current Index'!D756,"AAAAAH37/9c=")</f>
        <v>#VALUE!</v>
      </c>
      <c r="HI30" t="e">
        <f>AND('Current Index'!E756,"AAAAAH37/9g=")</f>
        <v>#VALUE!</v>
      </c>
      <c r="HJ30" t="e">
        <f>AND('Current Index'!F756,"AAAAAH37/9k=")</f>
        <v>#VALUE!</v>
      </c>
      <c r="HK30" t="e">
        <f>AND('Current Index'!G756,"AAAAAH37/9o=")</f>
        <v>#VALUE!</v>
      </c>
      <c r="HL30" t="e">
        <f>AND('Current Index'!H756,"AAAAAH37/9s=")</f>
        <v>#VALUE!</v>
      </c>
      <c r="HM30" t="e">
        <f>AND('Current Index'!I756,"AAAAAH37/9w=")</f>
        <v>#VALUE!</v>
      </c>
      <c r="HN30">
        <f>IF('Current Index'!757:757,"AAAAAH37/90=",0)</f>
        <v>0</v>
      </c>
      <c r="HO30" t="e">
        <f>AND('Current Index'!A757,"AAAAAH37/94=")</f>
        <v>#VALUE!</v>
      </c>
      <c r="HP30" t="e">
        <f>AND('Current Index'!#REF!,"AAAAAH37/98=")</f>
        <v>#REF!</v>
      </c>
      <c r="HQ30" t="e">
        <f>AND('Current Index'!B757,"AAAAAH37/+A=")</f>
        <v>#VALUE!</v>
      </c>
      <c r="HR30" t="e">
        <f>AND('Current Index'!C757,"AAAAAH37/+E=")</f>
        <v>#VALUE!</v>
      </c>
      <c r="HS30" t="e">
        <f>AND('Current Index'!D757,"AAAAAH37/+I=")</f>
        <v>#VALUE!</v>
      </c>
      <c r="HT30" t="e">
        <f>AND('Current Index'!E757,"AAAAAH37/+M=")</f>
        <v>#VALUE!</v>
      </c>
      <c r="HU30" t="e">
        <f>AND('Current Index'!F757,"AAAAAH37/+Q=")</f>
        <v>#VALUE!</v>
      </c>
      <c r="HV30" t="e">
        <f>AND('Current Index'!G757,"AAAAAH37/+U=")</f>
        <v>#VALUE!</v>
      </c>
      <c r="HW30" t="e">
        <f>AND('Current Index'!H757,"AAAAAH37/+Y=")</f>
        <v>#VALUE!</v>
      </c>
      <c r="HX30" t="e">
        <f>AND('Current Index'!I757,"AAAAAH37/+c=")</f>
        <v>#VALUE!</v>
      </c>
      <c r="HY30">
        <f>IF('Current Index'!758:758,"AAAAAH37/+g=",0)</f>
        <v>0</v>
      </c>
      <c r="HZ30" t="e">
        <f>AND('Current Index'!A758,"AAAAAH37/+k=")</f>
        <v>#VALUE!</v>
      </c>
      <c r="IA30" t="e">
        <f>AND('Current Index'!#REF!,"AAAAAH37/+o=")</f>
        <v>#REF!</v>
      </c>
      <c r="IB30" t="e">
        <f>AND('Current Index'!B758,"AAAAAH37/+s=")</f>
        <v>#VALUE!</v>
      </c>
      <c r="IC30" t="e">
        <f>AND('Current Index'!C758,"AAAAAH37/+w=")</f>
        <v>#VALUE!</v>
      </c>
      <c r="ID30" t="e">
        <f>AND('Current Index'!D758,"AAAAAH37/+0=")</f>
        <v>#VALUE!</v>
      </c>
      <c r="IE30" t="e">
        <f>AND('Current Index'!E758,"AAAAAH37/+4=")</f>
        <v>#VALUE!</v>
      </c>
      <c r="IF30" t="e">
        <f>AND('Current Index'!F758,"AAAAAH37/+8=")</f>
        <v>#VALUE!</v>
      </c>
      <c r="IG30" t="e">
        <f>AND('Current Index'!G758,"AAAAAH37//A=")</f>
        <v>#VALUE!</v>
      </c>
      <c r="IH30" t="e">
        <f>AND('Current Index'!H758,"AAAAAH37//E=")</f>
        <v>#VALUE!</v>
      </c>
      <c r="II30" t="e">
        <f>AND('Current Index'!I758,"AAAAAH37//I=")</f>
        <v>#VALUE!</v>
      </c>
      <c r="IJ30">
        <f>IF('Current Index'!759:759,"AAAAAH37//M=",0)</f>
        <v>0</v>
      </c>
      <c r="IK30" t="e">
        <f>AND('Current Index'!A759,"AAAAAH37//Q=")</f>
        <v>#VALUE!</v>
      </c>
      <c r="IL30" t="e">
        <f>AND('Current Index'!#REF!,"AAAAAH37//U=")</f>
        <v>#REF!</v>
      </c>
      <c r="IM30" t="e">
        <f>AND('Current Index'!B759,"AAAAAH37//Y=")</f>
        <v>#VALUE!</v>
      </c>
      <c r="IN30" t="e">
        <f>AND('Current Index'!C759,"AAAAAH37//c=")</f>
        <v>#VALUE!</v>
      </c>
      <c r="IO30" t="e">
        <f>AND('Current Index'!D759,"AAAAAH37//g=")</f>
        <v>#VALUE!</v>
      </c>
      <c r="IP30" t="e">
        <f>AND('Current Index'!E759,"AAAAAH37//k=")</f>
        <v>#VALUE!</v>
      </c>
      <c r="IQ30" t="e">
        <f>AND('Current Index'!F759,"AAAAAH37//o=")</f>
        <v>#VALUE!</v>
      </c>
      <c r="IR30" t="e">
        <f>AND('Current Index'!G759,"AAAAAH37//s=")</f>
        <v>#VALUE!</v>
      </c>
      <c r="IS30" t="e">
        <f>AND('Current Index'!H759,"AAAAAH37//w=")</f>
        <v>#VALUE!</v>
      </c>
      <c r="IT30" t="e">
        <f>AND('Current Index'!I759,"AAAAAH37//0=")</f>
        <v>#VALUE!</v>
      </c>
      <c r="IU30">
        <f>IF('Current Index'!760:760,"AAAAAH37//4=",0)</f>
        <v>0</v>
      </c>
      <c r="IV30" t="e">
        <f>AND('Current Index'!A760,"AAAAAH37//8=")</f>
        <v>#VALUE!</v>
      </c>
    </row>
    <row r="31" spans="1:256" x14ac:dyDescent="0.25">
      <c r="A31" t="e">
        <f>AND('Current Index'!#REF!,"AAAAAEy67wA=")</f>
        <v>#REF!</v>
      </c>
      <c r="B31" t="e">
        <f>AND('Current Index'!B760,"AAAAAEy67wE=")</f>
        <v>#VALUE!</v>
      </c>
      <c r="C31" t="e">
        <f>AND('Current Index'!C760,"AAAAAEy67wI=")</f>
        <v>#VALUE!</v>
      </c>
      <c r="D31" t="e">
        <f>AND('Current Index'!D760,"AAAAAEy67wM=")</f>
        <v>#VALUE!</v>
      </c>
      <c r="E31" t="e">
        <f>AND('Current Index'!E760,"AAAAAEy67wQ=")</f>
        <v>#VALUE!</v>
      </c>
      <c r="F31" t="e">
        <f>AND('Current Index'!F760,"AAAAAEy67wU=")</f>
        <v>#VALUE!</v>
      </c>
      <c r="G31" t="e">
        <f>AND('Current Index'!G760,"AAAAAEy67wY=")</f>
        <v>#VALUE!</v>
      </c>
      <c r="H31" t="e">
        <f>AND('Current Index'!H760,"AAAAAEy67wc=")</f>
        <v>#VALUE!</v>
      </c>
      <c r="I31" t="e">
        <f>AND('Current Index'!I760,"AAAAAEy67wg=")</f>
        <v>#VALUE!</v>
      </c>
      <c r="J31">
        <f>IF('Current Index'!761:761,"AAAAAEy67wk=",0)</f>
        <v>0</v>
      </c>
      <c r="K31" t="e">
        <f>AND('Current Index'!A761,"AAAAAEy67wo=")</f>
        <v>#VALUE!</v>
      </c>
      <c r="L31" t="e">
        <f>AND('Current Index'!#REF!,"AAAAAEy67ws=")</f>
        <v>#REF!</v>
      </c>
      <c r="M31" t="e">
        <f>AND('Current Index'!B761,"AAAAAEy67ww=")</f>
        <v>#VALUE!</v>
      </c>
      <c r="N31" t="e">
        <f>AND('Current Index'!C761,"AAAAAEy67w0=")</f>
        <v>#VALUE!</v>
      </c>
      <c r="O31" t="e">
        <f>AND('Current Index'!D761,"AAAAAEy67w4=")</f>
        <v>#VALUE!</v>
      </c>
      <c r="P31" t="e">
        <f>AND('Current Index'!E761,"AAAAAEy67w8=")</f>
        <v>#VALUE!</v>
      </c>
      <c r="Q31" t="e">
        <f>AND('Current Index'!F761,"AAAAAEy67xA=")</f>
        <v>#VALUE!</v>
      </c>
      <c r="R31" t="e">
        <f>AND('Current Index'!G761,"AAAAAEy67xE=")</f>
        <v>#VALUE!</v>
      </c>
      <c r="S31" t="e">
        <f>AND('Current Index'!H761,"AAAAAEy67xI=")</f>
        <v>#VALUE!</v>
      </c>
      <c r="T31" t="e">
        <f>AND('Current Index'!I761,"AAAAAEy67xM=")</f>
        <v>#VALUE!</v>
      </c>
      <c r="U31">
        <f>IF('Current Index'!762:762,"AAAAAEy67xQ=",0)</f>
        <v>0</v>
      </c>
      <c r="V31" t="e">
        <f>AND('Current Index'!A762,"AAAAAEy67xU=")</f>
        <v>#VALUE!</v>
      </c>
      <c r="W31" t="e">
        <f>AND('Current Index'!#REF!,"AAAAAEy67xY=")</f>
        <v>#REF!</v>
      </c>
      <c r="X31" t="e">
        <f>AND('Current Index'!B762,"AAAAAEy67xc=")</f>
        <v>#VALUE!</v>
      </c>
      <c r="Y31" t="e">
        <f>AND('Current Index'!C762,"AAAAAEy67xg=")</f>
        <v>#VALUE!</v>
      </c>
      <c r="Z31" t="e">
        <f>AND('Current Index'!D762,"AAAAAEy67xk=")</f>
        <v>#VALUE!</v>
      </c>
      <c r="AA31" t="e">
        <f>AND('Current Index'!E762,"AAAAAEy67xo=")</f>
        <v>#VALUE!</v>
      </c>
      <c r="AB31" t="e">
        <f>AND('Current Index'!F762,"AAAAAEy67xs=")</f>
        <v>#VALUE!</v>
      </c>
      <c r="AC31" t="e">
        <f>AND('Current Index'!G762,"AAAAAEy67xw=")</f>
        <v>#VALUE!</v>
      </c>
      <c r="AD31" t="e">
        <f>AND('Current Index'!H762,"AAAAAEy67x0=")</f>
        <v>#VALUE!</v>
      </c>
      <c r="AE31" t="e">
        <f>AND('Current Index'!I762,"AAAAAEy67x4=")</f>
        <v>#VALUE!</v>
      </c>
      <c r="AF31">
        <f>IF('Current Index'!763:763,"AAAAAEy67x8=",0)</f>
        <v>0</v>
      </c>
      <c r="AG31" t="e">
        <f>AND('Current Index'!A763,"AAAAAEy67yA=")</f>
        <v>#VALUE!</v>
      </c>
      <c r="AH31" t="e">
        <f>AND('Current Index'!#REF!,"AAAAAEy67yE=")</f>
        <v>#REF!</v>
      </c>
      <c r="AI31" t="e">
        <f>AND('Current Index'!B763,"AAAAAEy67yI=")</f>
        <v>#VALUE!</v>
      </c>
      <c r="AJ31" t="e">
        <f>AND('Current Index'!C763,"AAAAAEy67yM=")</f>
        <v>#VALUE!</v>
      </c>
      <c r="AK31" t="e">
        <f>AND('Current Index'!D763,"AAAAAEy67yQ=")</f>
        <v>#VALUE!</v>
      </c>
      <c r="AL31" t="e">
        <f>AND('Current Index'!E763,"AAAAAEy67yU=")</f>
        <v>#VALUE!</v>
      </c>
      <c r="AM31" t="e">
        <f>AND('Current Index'!F763,"AAAAAEy67yY=")</f>
        <v>#VALUE!</v>
      </c>
      <c r="AN31" t="e">
        <f>AND('Current Index'!G763,"AAAAAEy67yc=")</f>
        <v>#VALUE!</v>
      </c>
      <c r="AO31" t="e">
        <f>AND('Current Index'!H763,"AAAAAEy67yg=")</f>
        <v>#VALUE!</v>
      </c>
      <c r="AP31" t="e">
        <f>AND('Current Index'!I763,"AAAAAEy67yk=")</f>
        <v>#VALUE!</v>
      </c>
      <c r="AQ31">
        <f>IF('Current Index'!764:764,"AAAAAEy67yo=",0)</f>
        <v>0</v>
      </c>
      <c r="AR31" t="e">
        <f>AND('Current Index'!A764,"AAAAAEy67ys=")</f>
        <v>#VALUE!</v>
      </c>
      <c r="AS31" t="e">
        <f>AND('Current Index'!#REF!,"AAAAAEy67yw=")</f>
        <v>#REF!</v>
      </c>
      <c r="AT31" t="e">
        <f>AND('Current Index'!B764,"AAAAAEy67y0=")</f>
        <v>#VALUE!</v>
      </c>
      <c r="AU31" t="e">
        <f>AND('Current Index'!C764,"AAAAAEy67y4=")</f>
        <v>#VALUE!</v>
      </c>
      <c r="AV31" t="e">
        <f>AND('Current Index'!D764,"AAAAAEy67y8=")</f>
        <v>#VALUE!</v>
      </c>
      <c r="AW31" t="e">
        <f>AND('Current Index'!E764,"AAAAAEy67zA=")</f>
        <v>#VALUE!</v>
      </c>
      <c r="AX31" t="e">
        <f>AND('Current Index'!F764,"AAAAAEy67zE=")</f>
        <v>#VALUE!</v>
      </c>
      <c r="AY31" t="e">
        <f>AND('Current Index'!G764,"AAAAAEy67zI=")</f>
        <v>#VALUE!</v>
      </c>
      <c r="AZ31" t="e">
        <f>AND('Current Index'!H764,"AAAAAEy67zM=")</f>
        <v>#VALUE!</v>
      </c>
      <c r="BA31" t="e">
        <f>AND('Current Index'!I764,"AAAAAEy67zQ=")</f>
        <v>#VALUE!</v>
      </c>
      <c r="BB31">
        <f>IF('Current Index'!765:765,"AAAAAEy67zU=",0)</f>
        <v>0</v>
      </c>
      <c r="BC31" t="e">
        <f>AND('Current Index'!A765,"AAAAAEy67zY=")</f>
        <v>#VALUE!</v>
      </c>
      <c r="BD31" t="e">
        <f>AND('Current Index'!#REF!,"AAAAAEy67zc=")</f>
        <v>#REF!</v>
      </c>
      <c r="BE31" t="e">
        <f>AND('Current Index'!B765,"AAAAAEy67zg=")</f>
        <v>#VALUE!</v>
      </c>
      <c r="BF31" t="e">
        <f>AND('Current Index'!C765,"AAAAAEy67zk=")</f>
        <v>#VALUE!</v>
      </c>
      <c r="BG31" t="e">
        <f>AND('Current Index'!D765,"AAAAAEy67zo=")</f>
        <v>#VALUE!</v>
      </c>
      <c r="BH31" t="e">
        <f>AND('Current Index'!E765,"AAAAAEy67zs=")</f>
        <v>#VALUE!</v>
      </c>
      <c r="BI31" t="e">
        <f>AND('Current Index'!F765,"AAAAAEy67zw=")</f>
        <v>#VALUE!</v>
      </c>
      <c r="BJ31" t="e">
        <f>AND('Current Index'!G765,"AAAAAEy67z0=")</f>
        <v>#VALUE!</v>
      </c>
      <c r="BK31" t="e">
        <f>AND('Current Index'!H765,"AAAAAEy67z4=")</f>
        <v>#VALUE!</v>
      </c>
      <c r="BL31" t="e">
        <f>AND('Current Index'!I765,"AAAAAEy67z8=")</f>
        <v>#VALUE!</v>
      </c>
      <c r="BM31">
        <f>IF('Current Index'!766:766,"AAAAAEy670A=",0)</f>
        <v>0</v>
      </c>
      <c r="BN31" t="e">
        <f>AND('Current Index'!A766,"AAAAAEy670E=")</f>
        <v>#VALUE!</v>
      </c>
      <c r="BO31" t="e">
        <f>AND('Current Index'!#REF!,"AAAAAEy670I=")</f>
        <v>#REF!</v>
      </c>
      <c r="BP31" t="e">
        <f>AND('Current Index'!B766,"AAAAAEy670M=")</f>
        <v>#VALUE!</v>
      </c>
      <c r="BQ31" t="e">
        <f>AND('Current Index'!C766,"AAAAAEy670Q=")</f>
        <v>#VALUE!</v>
      </c>
      <c r="BR31" t="e">
        <f>AND('Current Index'!D766,"AAAAAEy670U=")</f>
        <v>#VALUE!</v>
      </c>
      <c r="BS31" t="e">
        <f>AND('Current Index'!E766,"AAAAAEy670Y=")</f>
        <v>#VALUE!</v>
      </c>
      <c r="BT31" t="e">
        <f>AND('Current Index'!F766,"AAAAAEy670c=")</f>
        <v>#VALUE!</v>
      </c>
      <c r="BU31" t="e">
        <f>AND('Current Index'!G766,"AAAAAEy670g=")</f>
        <v>#VALUE!</v>
      </c>
      <c r="BV31" t="e">
        <f>AND('Current Index'!H766,"AAAAAEy670k=")</f>
        <v>#VALUE!</v>
      </c>
      <c r="BW31" t="e">
        <f>AND('Current Index'!I766,"AAAAAEy670o=")</f>
        <v>#VALUE!</v>
      </c>
      <c r="BX31">
        <f>IF('Current Index'!767:767,"AAAAAEy670s=",0)</f>
        <v>0</v>
      </c>
      <c r="BY31" t="e">
        <f>AND('Current Index'!A767,"AAAAAEy670w=")</f>
        <v>#VALUE!</v>
      </c>
      <c r="BZ31" t="e">
        <f>AND('Current Index'!#REF!,"AAAAAEy6700=")</f>
        <v>#REF!</v>
      </c>
      <c r="CA31" t="e">
        <f>AND('Current Index'!B767,"AAAAAEy6704=")</f>
        <v>#VALUE!</v>
      </c>
      <c r="CB31" t="e">
        <f>AND('Current Index'!C767,"AAAAAEy6708=")</f>
        <v>#VALUE!</v>
      </c>
      <c r="CC31" t="e">
        <f>AND('Current Index'!D767,"AAAAAEy671A=")</f>
        <v>#VALUE!</v>
      </c>
      <c r="CD31" t="e">
        <f>AND('Current Index'!E767,"AAAAAEy671E=")</f>
        <v>#VALUE!</v>
      </c>
      <c r="CE31" t="e">
        <f>AND('Current Index'!F767,"AAAAAEy671I=")</f>
        <v>#VALUE!</v>
      </c>
      <c r="CF31" t="e">
        <f>AND('Current Index'!G767,"AAAAAEy671M=")</f>
        <v>#VALUE!</v>
      </c>
      <c r="CG31" t="e">
        <f>AND('Current Index'!H767,"AAAAAEy671Q=")</f>
        <v>#VALUE!</v>
      </c>
      <c r="CH31" t="e">
        <f>AND('Current Index'!I767,"AAAAAEy671U=")</f>
        <v>#VALUE!</v>
      </c>
      <c r="CI31">
        <f>IF('Current Index'!768:768,"AAAAAEy671Y=",0)</f>
        <v>0</v>
      </c>
      <c r="CJ31" t="e">
        <f>AND('Current Index'!A768,"AAAAAEy671c=")</f>
        <v>#VALUE!</v>
      </c>
      <c r="CK31" t="e">
        <f>AND('Current Index'!#REF!,"AAAAAEy671g=")</f>
        <v>#REF!</v>
      </c>
      <c r="CL31" t="e">
        <f>AND('Current Index'!B768,"AAAAAEy671k=")</f>
        <v>#VALUE!</v>
      </c>
      <c r="CM31" t="e">
        <f>AND('Current Index'!C768,"AAAAAEy671o=")</f>
        <v>#VALUE!</v>
      </c>
      <c r="CN31" t="e">
        <f>AND('Current Index'!D768,"AAAAAEy671s=")</f>
        <v>#VALUE!</v>
      </c>
      <c r="CO31" t="e">
        <f>AND('Current Index'!E768,"AAAAAEy671w=")</f>
        <v>#VALUE!</v>
      </c>
      <c r="CP31" t="e">
        <f>AND('Current Index'!F768,"AAAAAEy6710=")</f>
        <v>#VALUE!</v>
      </c>
      <c r="CQ31" t="e">
        <f>AND('Current Index'!G768,"AAAAAEy6714=")</f>
        <v>#VALUE!</v>
      </c>
      <c r="CR31" t="e">
        <f>AND('Current Index'!H768,"AAAAAEy6718=")</f>
        <v>#VALUE!</v>
      </c>
      <c r="CS31" t="e">
        <f>AND('Current Index'!I768,"AAAAAEy672A=")</f>
        <v>#VALUE!</v>
      </c>
      <c r="CT31">
        <f>IF('Current Index'!769:769,"AAAAAEy672E=",0)</f>
        <v>0</v>
      </c>
      <c r="CU31" t="e">
        <f>AND('Current Index'!A769,"AAAAAEy672I=")</f>
        <v>#VALUE!</v>
      </c>
      <c r="CV31" t="e">
        <f>AND('Current Index'!#REF!,"AAAAAEy672M=")</f>
        <v>#REF!</v>
      </c>
      <c r="CW31" t="e">
        <f>AND('Current Index'!B769,"AAAAAEy672Q=")</f>
        <v>#VALUE!</v>
      </c>
      <c r="CX31" t="e">
        <f>AND('Current Index'!C769,"AAAAAEy672U=")</f>
        <v>#VALUE!</v>
      </c>
      <c r="CY31" t="e">
        <f>AND('Current Index'!D769,"AAAAAEy672Y=")</f>
        <v>#VALUE!</v>
      </c>
      <c r="CZ31" t="e">
        <f>AND('Current Index'!E769,"AAAAAEy672c=")</f>
        <v>#VALUE!</v>
      </c>
      <c r="DA31" t="e">
        <f>AND('Current Index'!F769,"AAAAAEy672g=")</f>
        <v>#VALUE!</v>
      </c>
      <c r="DB31" t="e">
        <f>AND('Current Index'!G769,"AAAAAEy672k=")</f>
        <v>#VALUE!</v>
      </c>
      <c r="DC31" t="e">
        <f>AND('Current Index'!H769,"AAAAAEy672o=")</f>
        <v>#VALUE!</v>
      </c>
      <c r="DD31" t="e">
        <f>AND('Current Index'!I769,"AAAAAEy672s=")</f>
        <v>#VALUE!</v>
      </c>
      <c r="DE31">
        <f>IF('Current Index'!770:770,"AAAAAEy672w=",0)</f>
        <v>0</v>
      </c>
      <c r="DF31" t="e">
        <f>AND('Current Index'!A770,"AAAAAEy6720=")</f>
        <v>#VALUE!</v>
      </c>
      <c r="DG31" t="e">
        <f>AND('Current Index'!#REF!,"AAAAAEy6724=")</f>
        <v>#REF!</v>
      </c>
      <c r="DH31" t="e">
        <f>AND('Current Index'!B770,"AAAAAEy6728=")</f>
        <v>#VALUE!</v>
      </c>
      <c r="DI31" t="e">
        <f>AND('Current Index'!C770,"AAAAAEy673A=")</f>
        <v>#VALUE!</v>
      </c>
      <c r="DJ31" t="e">
        <f>AND('Current Index'!D770,"AAAAAEy673E=")</f>
        <v>#VALUE!</v>
      </c>
      <c r="DK31" t="e">
        <f>AND('Current Index'!E770,"AAAAAEy673I=")</f>
        <v>#VALUE!</v>
      </c>
      <c r="DL31" t="e">
        <f>AND('Current Index'!F770,"AAAAAEy673M=")</f>
        <v>#VALUE!</v>
      </c>
      <c r="DM31" t="e">
        <f>AND('Current Index'!G770,"AAAAAEy673Q=")</f>
        <v>#VALUE!</v>
      </c>
      <c r="DN31" t="e">
        <f>AND('Current Index'!H770,"AAAAAEy673U=")</f>
        <v>#VALUE!</v>
      </c>
      <c r="DO31" t="e">
        <f>AND('Current Index'!I770,"AAAAAEy673Y=")</f>
        <v>#VALUE!</v>
      </c>
      <c r="DP31">
        <f>IF('Current Index'!771:771,"AAAAAEy673c=",0)</f>
        <v>0</v>
      </c>
      <c r="DQ31" t="e">
        <f>AND('Current Index'!A771,"AAAAAEy673g=")</f>
        <v>#VALUE!</v>
      </c>
      <c r="DR31" t="e">
        <f>AND('Current Index'!#REF!,"AAAAAEy673k=")</f>
        <v>#REF!</v>
      </c>
      <c r="DS31" t="e">
        <f>AND('Current Index'!B771,"AAAAAEy673o=")</f>
        <v>#VALUE!</v>
      </c>
      <c r="DT31" t="e">
        <f>AND('Current Index'!C771,"AAAAAEy673s=")</f>
        <v>#VALUE!</v>
      </c>
      <c r="DU31" t="e">
        <f>AND('Current Index'!D771,"AAAAAEy673w=")</f>
        <v>#VALUE!</v>
      </c>
      <c r="DV31" t="e">
        <f>AND('Current Index'!E771,"AAAAAEy6730=")</f>
        <v>#VALUE!</v>
      </c>
      <c r="DW31" t="e">
        <f>AND('Current Index'!F771,"AAAAAEy6734=")</f>
        <v>#VALUE!</v>
      </c>
      <c r="DX31" t="e">
        <f>AND('Current Index'!G771,"AAAAAEy6738=")</f>
        <v>#VALUE!</v>
      </c>
      <c r="DY31" t="e">
        <f>AND('Current Index'!H771,"AAAAAEy674A=")</f>
        <v>#VALUE!</v>
      </c>
      <c r="DZ31" t="e">
        <f>AND('Current Index'!I771,"AAAAAEy674E=")</f>
        <v>#VALUE!</v>
      </c>
      <c r="EA31">
        <f>IF('Current Index'!772:772,"AAAAAEy674I=",0)</f>
        <v>0</v>
      </c>
      <c r="EB31" t="e">
        <f>AND('Current Index'!A772,"AAAAAEy674M=")</f>
        <v>#VALUE!</v>
      </c>
      <c r="EC31" t="e">
        <f>AND('Current Index'!#REF!,"AAAAAEy674Q=")</f>
        <v>#REF!</v>
      </c>
      <c r="ED31" t="e">
        <f>AND('Current Index'!B772,"AAAAAEy674U=")</f>
        <v>#VALUE!</v>
      </c>
      <c r="EE31" t="e">
        <f>AND('Current Index'!C772,"AAAAAEy674Y=")</f>
        <v>#VALUE!</v>
      </c>
      <c r="EF31" t="e">
        <f>AND('Current Index'!D772,"AAAAAEy674c=")</f>
        <v>#VALUE!</v>
      </c>
      <c r="EG31" t="e">
        <f>AND('Current Index'!E772,"AAAAAEy674g=")</f>
        <v>#VALUE!</v>
      </c>
      <c r="EH31" t="e">
        <f>AND('Current Index'!F772,"AAAAAEy674k=")</f>
        <v>#VALUE!</v>
      </c>
      <c r="EI31" t="e">
        <f>AND('Current Index'!G772,"AAAAAEy674o=")</f>
        <v>#VALUE!</v>
      </c>
      <c r="EJ31" t="e">
        <f>AND('Current Index'!H772,"AAAAAEy674s=")</f>
        <v>#VALUE!</v>
      </c>
      <c r="EK31" t="e">
        <f>AND('Current Index'!I772,"AAAAAEy674w=")</f>
        <v>#VALUE!</v>
      </c>
      <c r="EL31">
        <f>IF('Current Index'!773:773,"AAAAAEy6740=",0)</f>
        <v>0</v>
      </c>
      <c r="EM31" t="e">
        <f>AND('Current Index'!A773,"AAAAAEy6744=")</f>
        <v>#VALUE!</v>
      </c>
      <c r="EN31" t="e">
        <f>AND('Current Index'!#REF!,"AAAAAEy6748=")</f>
        <v>#REF!</v>
      </c>
      <c r="EO31" t="e">
        <f>AND('Current Index'!B773,"AAAAAEy675A=")</f>
        <v>#VALUE!</v>
      </c>
      <c r="EP31" t="e">
        <f>AND('Current Index'!C773,"AAAAAEy675E=")</f>
        <v>#VALUE!</v>
      </c>
      <c r="EQ31" t="e">
        <f>AND('Current Index'!D773,"AAAAAEy675I=")</f>
        <v>#VALUE!</v>
      </c>
      <c r="ER31" t="e">
        <f>AND('Current Index'!E773,"AAAAAEy675M=")</f>
        <v>#VALUE!</v>
      </c>
      <c r="ES31" t="e">
        <f>AND('Current Index'!F773,"AAAAAEy675Q=")</f>
        <v>#VALUE!</v>
      </c>
      <c r="ET31" t="e">
        <f>AND('Current Index'!G773,"AAAAAEy675U=")</f>
        <v>#VALUE!</v>
      </c>
      <c r="EU31" t="e">
        <f>AND('Current Index'!H773,"AAAAAEy675Y=")</f>
        <v>#VALUE!</v>
      </c>
      <c r="EV31" t="e">
        <f>AND('Current Index'!I773,"AAAAAEy675c=")</f>
        <v>#VALUE!</v>
      </c>
      <c r="EW31">
        <f>IF('Current Index'!774:774,"AAAAAEy675g=",0)</f>
        <v>0</v>
      </c>
      <c r="EX31" t="e">
        <f>AND('Current Index'!A774,"AAAAAEy675k=")</f>
        <v>#VALUE!</v>
      </c>
      <c r="EY31" t="e">
        <f>AND('Current Index'!#REF!,"AAAAAEy675o=")</f>
        <v>#REF!</v>
      </c>
      <c r="EZ31" t="e">
        <f>AND('Current Index'!B774,"AAAAAEy675s=")</f>
        <v>#VALUE!</v>
      </c>
      <c r="FA31" t="e">
        <f>AND('Current Index'!C774,"AAAAAEy675w=")</f>
        <v>#VALUE!</v>
      </c>
      <c r="FB31" t="e">
        <f>AND('Current Index'!D774,"AAAAAEy6750=")</f>
        <v>#VALUE!</v>
      </c>
      <c r="FC31" t="e">
        <f>AND('Current Index'!E774,"AAAAAEy6754=")</f>
        <v>#VALUE!</v>
      </c>
      <c r="FD31" t="e">
        <f>AND('Current Index'!F774,"AAAAAEy6758=")</f>
        <v>#VALUE!</v>
      </c>
      <c r="FE31" t="e">
        <f>AND('Current Index'!G774,"AAAAAEy676A=")</f>
        <v>#VALUE!</v>
      </c>
      <c r="FF31" t="e">
        <f>AND('Current Index'!H774,"AAAAAEy676E=")</f>
        <v>#VALUE!</v>
      </c>
      <c r="FG31" t="e">
        <f>AND('Current Index'!I774,"AAAAAEy676I=")</f>
        <v>#VALUE!</v>
      </c>
      <c r="FH31">
        <f>IF('Current Index'!775:775,"AAAAAEy676M=",0)</f>
        <v>0</v>
      </c>
      <c r="FI31" t="e">
        <f>AND('Current Index'!A775,"AAAAAEy676Q=")</f>
        <v>#VALUE!</v>
      </c>
      <c r="FJ31" t="e">
        <f>AND('Current Index'!#REF!,"AAAAAEy676U=")</f>
        <v>#REF!</v>
      </c>
      <c r="FK31" t="e">
        <f>AND('Current Index'!B775,"AAAAAEy676Y=")</f>
        <v>#VALUE!</v>
      </c>
      <c r="FL31" t="e">
        <f>AND('Current Index'!C775,"AAAAAEy676c=")</f>
        <v>#VALUE!</v>
      </c>
      <c r="FM31" t="e">
        <f>AND('Current Index'!D775,"AAAAAEy676g=")</f>
        <v>#VALUE!</v>
      </c>
      <c r="FN31" t="e">
        <f>AND('Current Index'!E775,"AAAAAEy676k=")</f>
        <v>#VALUE!</v>
      </c>
      <c r="FO31" t="e">
        <f>AND('Current Index'!F775,"AAAAAEy676o=")</f>
        <v>#VALUE!</v>
      </c>
      <c r="FP31" t="e">
        <f>AND('Current Index'!G775,"AAAAAEy676s=")</f>
        <v>#VALUE!</v>
      </c>
      <c r="FQ31" t="e">
        <f>AND('Current Index'!H775,"AAAAAEy676w=")</f>
        <v>#VALUE!</v>
      </c>
      <c r="FR31" t="e">
        <f>AND('Current Index'!I775,"AAAAAEy6760=")</f>
        <v>#VALUE!</v>
      </c>
      <c r="FS31">
        <f>IF('Current Index'!776:776,"AAAAAEy6764=",0)</f>
        <v>0</v>
      </c>
      <c r="FT31" t="e">
        <f>AND('Current Index'!A776,"AAAAAEy6768=")</f>
        <v>#VALUE!</v>
      </c>
      <c r="FU31" t="e">
        <f>AND('Current Index'!#REF!,"AAAAAEy677A=")</f>
        <v>#REF!</v>
      </c>
      <c r="FV31" t="e">
        <f>AND('Current Index'!B776,"AAAAAEy677E=")</f>
        <v>#VALUE!</v>
      </c>
      <c r="FW31" t="e">
        <f>AND('Current Index'!C776,"AAAAAEy677I=")</f>
        <v>#VALUE!</v>
      </c>
      <c r="FX31" t="e">
        <f>AND('Current Index'!D776,"AAAAAEy677M=")</f>
        <v>#VALUE!</v>
      </c>
      <c r="FY31" t="e">
        <f>AND('Current Index'!E776,"AAAAAEy677Q=")</f>
        <v>#VALUE!</v>
      </c>
      <c r="FZ31" t="e">
        <f>AND('Current Index'!F776,"AAAAAEy677U=")</f>
        <v>#VALUE!</v>
      </c>
      <c r="GA31" t="e">
        <f>AND('Current Index'!G776,"AAAAAEy677Y=")</f>
        <v>#VALUE!</v>
      </c>
      <c r="GB31" t="e">
        <f>AND('Current Index'!H776,"AAAAAEy677c=")</f>
        <v>#VALUE!</v>
      </c>
      <c r="GC31" t="e">
        <f>AND('Current Index'!I776,"AAAAAEy677g=")</f>
        <v>#VALUE!</v>
      </c>
      <c r="GD31">
        <f>IF('Current Index'!777:777,"AAAAAEy677k=",0)</f>
        <v>0</v>
      </c>
      <c r="GE31" t="e">
        <f>AND('Current Index'!A777,"AAAAAEy677o=")</f>
        <v>#VALUE!</v>
      </c>
      <c r="GF31" t="e">
        <f>AND('Current Index'!#REF!,"AAAAAEy677s=")</f>
        <v>#REF!</v>
      </c>
      <c r="GG31" t="e">
        <f>AND('Current Index'!B777,"AAAAAEy677w=")</f>
        <v>#VALUE!</v>
      </c>
      <c r="GH31" t="e">
        <f>AND('Current Index'!C777,"AAAAAEy6770=")</f>
        <v>#VALUE!</v>
      </c>
      <c r="GI31" t="e">
        <f>AND('Current Index'!D777,"AAAAAEy6774=")</f>
        <v>#VALUE!</v>
      </c>
      <c r="GJ31" t="e">
        <f>AND('Current Index'!E777,"AAAAAEy6778=")</f>
        <v>#VALUE!</v>
      </c>
      <c r="GK31" t="e">
        <f>AND('Current Index'!F777,"AAAAAEy678A=")</f>
        <v>#VALUE!</v>
      </c>
      <c r="GL31" t="e">
        <f>AND('Current Index'!G777,"AAAAAEy678E=")</f>
        <v>#VALUE!</v>
      </c>
      <c r="GM31" t="e">
        <f>AND('Current Index'!H777,"AAAAAEy678I=")</f>
        <v>#VALUE!</v>
      </c>
      <c r="GN31" t="e">
        <f>AND('Current Index'!I777,"AAAAAEy678M=")</f>
        <v>#VALUE!</v>
      </c>
      <c r="GO31">
        <f>IF('Current Index'!778:778,"AAAAAEy678Q=",0)</f>
        <v>0</v>
      </c>
      <c r="GP31" t="e">
        <f>AND('Current Index'!A778,"AAAAAEy678U=")</f>
        <v>#VALUE!</v>
      </c>
      <c r="GQ31" t="e">
        <f>AND('Current Index'!#REF!,"AAAAAEy678Y=")</f>
        <v>#REF!</v>
      </c>
      <c r="GR31" t="e">
        <f>AND('Current Index'!B778,"AAAAAEy678c=")</f>
        <v>#VALUE!</v>
      </c>
      <c r="GS31" t="e">
        <f>AND('Current Index'!C778,"AAAAAEy678g=")</f>
        <v>#VALUE!</v>
      </c>
      <c r="GT31" t="e">
        <f>AND('Current Index'!D778,"AAAAAEy678k=")</f>
        <v>#VALUE!</v>
      </c>
      <c r="GU31" t="e">
        <f>AND('Current Index'!E778,"AAAAAEy678o=")</f>
        <v>#VALUE!</v>
      </c>
      <c r="GV31" t="e">
        <f>AND('Current Index'!F778,"AAAAAEy678s=")</f>
        <v>#VALUE!</v>
      </c>
      <c r="GW31" t="e">
        <f>AND('Current Index'!G778,"AAAAAEy678w=")</f>
        <v>#VALUE!</v>
      </c>
      <c r="GX31" t="e">
        <f>AND('Current Index'!H778,"AAAAAEy6780=")</f>
        <v>#VALUE!</v>
      </c>
      <c r="GY31" t="e">
        <f>AND('Current Index'!I778,"AAAAAEy6784=")</f>
        <v>#VALUE!</v>
      </c>
      <c r="GZ31">
        <f>IF('Current Index'!779:779,"AAAAAEy6788=",0)</f>
        <v>0</v>
      </c>
      <c r="HA31" t="e">
        <f>AND('Current Index'!A779,"AAAAAEy679A=")</f>
        <v>#VALUE!</v>
      </c>
      <c r="HB31" t="e">
        <f>AND('Current Index'!#REF!,"AAAAAEy679E=")</f>
        <v>#REF!</v>
      </c>
      <c r="HC31" t="e">
        <f>AND('Current Index'!B779,"AAAAAEy679I=")</f>
        <v>#VALUE!</v>
      </c>
      <c r="HD31" t="e">
        <f>AND('Current Index'!C779,"AAAAAEy679M=")</f>
        <v>#VALUE!</v>
      </c>
      <c r="HE31" t="e">
        <f>AND('Current Index'!D779,"AAAAAEy679Q=")</f>
        <v>#VALUE!</v>
      </c>
      <c r="HF31" t="e">
        <f>AND('Current Index'!E779,"AAAAAEy679U=")</f>
        <v>#VALUE!</v>
      </c>
      <c r="HG31" t="e">
        <f>AND('Current Index'!F779,"AAAAAEy679Y=")</f>
        <v>#VALUE!</v>
      </c>
      <c r="HH31" t="e">
        <f>AND('Current Index'!G779,"AAAAAEy679c=")</f>
        <v>#VALUE!</v>
      </c>
      <c r="HI31" t="e">
        <f>AND('Current Index'!H779,"AAAAAEy679g=")</f>
        <v>#VALUE!</v>
      </c>
      <c r="HJ31" t="e">
        <f>AND('Current Index'!I779,"AAAAAEy679k=")</f>
        <v>#VALUE!</v>
      </c>
      <c r="HK31">
        <f>IF('Current Index'!780:780,"AAAAAEy679o=",0)</f>
        <v>0</v>
      </c>
      <c r="HL31" t="e">
        <f>AND('Current Index'!A780,"AAAAAEy679s=")</f>
        <v>#VALUE!</v>
      </c>
      <c r="HM31" t="e">
        <f>AND('Current Index'!#REF!,"AAAAAEy679w=")</f>
        <v>#REF!</v>
      </c>
      <c r="HN31" t="e">
        <f>AND('Current Index'!B780,"AAAAAEy6790=")</f>
        <v>#VALUE!</v>
      </c>
      <c r="HO31" t="e">
        <f>AND('Current Index'!C780,"AAAAAEy6794=")</f>
        <v>#VALUE!</v>
      </c>
      <c r="HP31" t="e">
        <f>AND('Current Index'!D780,"AAAAAEy6798=")</f>
        <v>#VALUE!</v>
      </c>
      <c r="HQ31" t="e">
        <f>AND('Current Index'!E780,"AAAAAEy67+A=")</f>
        <v>#VALUE!</v>
      </c>
      <c r="HR31" t="e">
        <f>AND('Current Index'!F780,"AAAAAEy67+E=")</f>
        <v>#VALUE!</v>
      </c>
      <c r="HS31" t="e">
        <f>AND('Current Index'!G780,"AAAAAEy67+I=")</f>
        <v>#VALUE!</v>
      </c>
      <c r="HT31" t="e">
        <f>AND('Current Index'!H780,"AAAAAEy67+M=")</f>
        <v>#VALUE!</v>
      </c>
      <c r="HU31" t="e">
        <f>AND('Current Index'!I780,"AAAAAEy67+Q=")</f>
        <v>#VALUE!</v>
      </c>
      <c r="HV31">
        <f>IF('Current Index'!785:785,"AAAAAEy67+U=",0)</f>
        <v>0</v>
      </c>
      <c r="HW31" t="e">
        <f>AND('Current Index'!A785,"AAAAAEy67+Y=")</f>
        <v>#VALUE!</v>
      </c>
      <c r="HX31" t="e">
        <f>AND('Current Index'!#REF!,"AAAAAEy67+c=")</f>
        <v>#REF!</v>
      </c>
      <c r="HY31" t="e">
        <f>AND('Current Index'!B785,"AAAAAEy67+g=")</f>
        <v>#VALUE!</v>
      </c>
      <c r="HZ31" t="e">
        <f>AND('Current Index'!C785,"AAAAAEy67+k=")</f>
        <v>#VALUE!</v>
      </c>
      <c r="IA31" t="e">
        <f>AND('Current Index'!D785,"AAAAAEy67+o=")</f>
        <v>#VALUE!</v>
      </c>
      <c r="IB31" t="e">
        <f>AND('Current Index'!E785,"AAAAAEy67+s=")</f>
        <v>#VALUE!</v>
      </c>
      <c r="IC31" t="e">
        <f>AND('Current Index'!F785,"AAAAAEy67+w=")</f>
        <v>#VALUE!</v>
      </c>
      <c r="ID31" t="e">
        <f>AND('Current Index'!G785,"AAAAAEy67+0=")</f>
        <v>#VALUE!</v>
      </c>
      <c r="IE31" t="e">
        <f>AND('Current Index'!H785,"AAAAAEy67+4=")</f>
        <v>#VALUE!</v>
      </c>
      <c r="IF31" t="e">
        <f>AND('Current Index'!I785,"AAAAAEy67+8=")</f>
        <v>#VALUE!</v>
      </c>
      <c r="IG31">
        <f>IF('Current Index'!786:786,"AAAAAEy67/A=",0)</f>
        <v>0</v>
      </c>
      <c r="IH31" t="e">
        <f>AND('Current Index'!A786,"AAAAAEy67/E=")</f>
        <v>#VALUE!</v>
      </c>
      <c r="II31" t="e">
        <f>AND('Current Index'!#REF!,"AAAAAEy67/I=")</f>
        <v>#REF!</v>
      </c>
      <c r="IJ31" t="e">
        <f>AND('Current Index'!B786,"AAAAAEy67/M=")</f>
        <v>#VALUE!</v>
      </c>
      <c r="IK31" t="e">
        <f>AND('Current Index'!C786,"AAAAAEy67/Q=")</f>
        <v>#VALUE!</v>
      </c>
      <c r="IL31" t="e">
        <f>AND('Current Index'!D786,"AAAAAEy67/U=")</f>
        <v>#VALUE!</v>
      </c>
      <c r="IM31" t="e">
        <f>AND('Current Index'!E786,"AAAAAEy67/Y=")</f>
        <v>#VALUE!</v>
      </c>
      <c r="IN31" t="e">
        <f>AND('Current Index'!F786,"AAAAAEy67/c=")</f>
        <v>#VALUE!</v>
      </c>
      <c r="IO31" t="e">
        <f>AND('Current Index'!G786,"AAAAAEy67/g=")</f>
        <v>#VALUE!</v>
      </c>
      <c r="IP31" t="e">
        <f>AND('Current Index'!H786,"AAAAAEy67/k=")</f>
        <v>#VALUE!</v>
      </c>
      <c r="IQ31" t="e">
        <f>AND('Current Index'!I786,"AAAAAEy67/o=")</f>
        <v>#VALUE!</v>
      </c>
      <c r="IR31">
        <f>IF('Current Index'!787:787,"AAAAAEy67/s=",0)</f>
        <v>0</v>
      </c>
      <c r="IS31" t="e">
        <f>AND('Current Index'!A787,"AAAAAEy67/w=")</f>
        <v>#VALUE!</v>
      </c>
      <c r="IT31" t="e">
        <f>AND('Current Index'!#REF!,"AAAAAEy67/0=")</f>
        <v>#REF!</v>
      </c>
      <c r="IU31" t="e">
        <f>AND('Current Index'!B787,"AAAAAEy67/4=")</f>
        <v>#VALUE!</v>
      </c>
      <c r="IV31" t="e">
        <f>AND('Current Index'!C787,"AAAAAEy67/8=")</f>
        <v>#VALUE!</v>
      </c>
    </row>
    <row r="32" spans="1:256" x14ac:dyDescent="0.25">
      <c r="A32" t="e">
        <f>AND('Current Index'!D787,"AAAAAHn9fAA=")</f>
        <v>#VALUE!</v>
      </c>
      <c r="B32" t="e">
        <f>AND('Current Index'!E787,"AAAAAHn9fAE=")</f>
        <v>#VALUE!</v>
      </c>
      <c r="C32" t="e">
        <f>AND('Current Index'!F787,"AAAAAHn9fAI=")</f>
        <v>#VALUE!</v>
      </c>
      <c r="D32" t="e">
        <f>AND('Current Index'!G787,"AAAAAHn9fAM=")</f>
        <v>#VALUE!</v>
      </c>
      <c r="E32" t="e">
        <f>AND('Current Index'!H787,"AAAAAHn9fAQ=")</f>
        <v>#VALUE!</v>
      </c>
      <c r="F32" t="e">
        <f>AND('Current Index'!I787,"AAAAAHn9fAU=")</f>
        <v>#VALUE!</v>
      </c>
      <c r="G32" t="e">
        <f>IF('Current Index'!788:788,"AAAAAHn9fAY=",0)</f>
        <v>#VALUE!</v>
      </c>
      <c r="H32" t="e">
        <f>AND('Current Index'!A788,"AAAAAHn9fAc=")</f>
        <v>#VALUE!</v>
      </c>
      <c r="I32" t="e">
        <f>AND('Current Index'!#REF!,"AAAAAHn9fAg=")</f>
        <v>#REF!</v>
      </c>
      <c r="J32" t="e">
        <f>AND('Current Index'!B788,"AAAAAHn9fAk=")</f>
        <v>#VALUE!</v>
      </c>
      <c r="K32" t="e">
        <f>AND('Current Index'!C788,"AAAAAHn9fAo=")</f>
        <v>#VALUE!</v>
      </c>
      <c r="L32" t="e">
        <f>AND('Current Index'!D788,"AAAAAHn9fAs=")</f>
        <v>#VALUE!</v>
      </c>
      <c r="M32" t="e">
        <f>AND('Current Index'!E788,"AAAAAHn9fAw=")</f>
        <v>#VALUE!</v>
      </c>
      <c r="N32" t="e">
        <f>AND('Current Index'!F788,"AAAAAHn9fA0=")</f>
        <v>#VALUE!</v>
      </c>
      <c r="O32" t="e">
        <f>AND('Current Index'!G788,"AAAAAHn9fA4=")</f>
        <v>#VALUE!</v>
      </c>
      <c r="P32" t="e">
        <f>AND('Current Index'!H788,"AAAAAHn9fA8=")</f>
        <v>#VALUE!</v>
      </c>
      <c r="Q32" t="e">
        <f>AND('Current Index'!I788,"AAAAAHn9fBA=")</f>
        <v>#VALUE!</v>
      </c>
      <c r="R32">
        <f>IF('Current Index'!789:789,"AAAAAHn9fBE=",0)</f>
        <v>0</v>
      </c>
      <c r="S32" t="e">
        <f>AND('Current Index'!A789,"AAAAAHn9fBI=")</f>
        <v>#VALUE!</v>
      </c>
      <c r="T32" t="e">
        <f>AND('Current Index'!#REF!,"AAAAAHn9fBM=")</f>
        <v>#REF!</v>
      </c>
      <c r="U32" t="e">
        <f>AND('Current Index'!B789,"AAAAAHn9fBQ=")</f>
        <v>#VALUE!</v>
      </c>
      <c r="V32" t="e">
        <f>AND('Current Index'!C789,"AAAAAHn9fBU=")</f>
        <v>#VALUE!</v>
      </c>
      <c r="W32" t="e">
        <f>AND('Current Index'!D789,"AAAAAHn9fBY=")</f>
        <v>#VALUE!</v>
      </c>
      <c r="X32" t="e">
        <f>AND('Current Index'!E789,"AAAAAHn9fBc=")</f>
        <v>#VALUE!</v>
      </c>
      <c r="Y32" t="e">
        <f>AND('Current Index'!F789,"AAAAAHn9fBg=")</f>
        <v>#VALUE!</v>
      </c>
      <c r="Z32" t="e">
        <f>AND('Current Index'!G789,"AAAAAHn9fBk=")</f>
        <v>#VALUE!</v>
      </c>
      <c r="AA32" t="e">
        <f>AND('Current Index'!H789,"AAAAAHn9fBo=")</f>
        <v>#VALUE!</v>
      </c>
      <c r="AB32" t="e">
        <f>AND('Current Index'!I789,"AAAAAHn9fBs=")</f>
        <v>#VALUE!</v>
      </c>
      <c r="AC32">
        <f>IF('Current Index'!790:790,"AAAAAHn9fBw=",0)</f>
        <v>0</v>
      </c>
      <c r="AD32" t="e">
        <f>AND('Current Index'!A790,"AAAAAHn9fB0=")</f>
        <v>#VALUE!</v>
      </c>
      <c r="AE32" t="e">
        <f>AND('Current Index'!#REF!,"AAAAAHn9fB4=")</f>
        <v>#REF!</v>
      </c>
      <c r="AF32" t="e">
        <f>AND('Current Index'!B790,"AAAAAHn9fB8=")</f>
        <v>#VALUE!</v>
      </c>
      <c r="AG32" t="e">
        <f>AND('Current Index'!C790,"AAAAAHn9fCA=")</f>
        <v>#VALUE!</v>
      </c>
      <c r="AH32" t="e">
        <f>AND('Current Index'!D790,"AAAAAHn9fCE=")</f>
        <v>#VALUE!</v>
      </c>
      <c r="AI32" t="e">
        <f>AND('Current Index'!E790,"AAAAAHn9fCI=")</f>
        <v>#VALUE!</v>
      </c>
      <c r="AJ32" t="e">
        <f>AND('Current Index'!F790,"AAAAAHn9fCM=")</f>
        <v>#VALUE!</v>
      </c>
      <c r="AK32" t="e">
        <f>AND('Current Index'!G790,"AAAAAHn9fCQ=")</f>
        <v>#VALUE!</v>
      </c>
      <c r="AL32" t="e">
        <f>AND('Current Index'!H790,"AAAAAHn9fCU=")</f>
        <v>#VALUE!</v>
      </c>
      <c r="AM32" t="e">
        <f>AND('Current Index'!I790,"AAAAAHn9fCY=")</f>
        <v>#VALUE!</v>
      </c>
      <c r="AN32">
        <f>IF('Current Index'!791:791,"AAAAAHn9fCc=",0)</f>
        <v>0</v>
      </c>
      <c r="AO32" t="e">
        <f>AND('Current Index'!A791,"AAAAAHn9fCg=")</f>
        <v>#VALUE!</v>
      </c>
      <c r="AP32" t="e">
        <f>AND('Current Index'!#REF!,"AAAAAHn9fCk=")</f>
        <v>#REF!</v>
      </c>
      <c r="AQ32" t="e">
        <f>AND('Current Index'!B791,"AAAAAHn9fCo=")</f>
        <v>#VALUE!</v>
      </c>
      <c r="AR32" t="e">
        <f>AND('Current Index'!C791,"AAAAAHn9fCs=")</f>
        <v>#VALUE!</v>
      </c>
      <c r="AS32" t="e">
        <f>AND('Current Index'!D791,"AAAAAHn9fCw=")</f>
        <v>#VALUE!</v>
      </c>
      <c r="AT32" t="e">
        <f>AND('Current Index'!E791,"AAAAAHn9fC0=")</f>
        <v>#VALUE!</v>
      </c>
      <c r="AU32" t="e">
        <f>AND('Current Index'!F791,"AAAAAHn9fC4=")</f>
        <v>#VALUE!</v>
      </c>
      <c r="AV32" t="e">
        <f>AND('Current Index'!G791,"AAAAAHn9fC8=")</f>
        <v>#VALUE!</v>
      </c>
      <c r="AW32" t="e">
        <f>AND('Current Index'!H791,"AAAAAHn9fDA=")</f>
        <v>#VALUE!</v>
      </c>
      <c r="AX32" t="e">
        <f>AND('Current Index'!I791,"AAAAAHn9fDE=")</f>
        <v>#VALUE!</v>
      </c>
      <c r="AY32">
        <f>IF('Current Index'!792:792,"AAAAAHn9fDI=",0)</f>
        <v>0</v>
      </c>
      <c r="AZ32" t="e">
        <f>AND('Current Index'!A792,"AAAAAHn9fDM=")</f>
        <v>#VALUE!</v>
      </c>
      <c r="BA32" t="e">
        <f>AND('Current Index'!#REF!,"AAAAAHn9fDQ=")</f>
        <v>#REF!</v>
      </c>
      <c r="BB32" t="e">
        <f>AND('Current Index'!B792,"AAAAAHn9fDU=")</f>
        <v>#VALUE!</v>
      </c>
      <c r="BC32" t="e">
        <f>AND('Current Index'!C792,"AAAAAHn9fDY=")</f>
        <v>#VALUE!</v>
      </c>
      <c r="BD32" t="e">
        <f>AND('Current Index'!D792,"AAAAAHn9fDc=")</f>
        <v>#VALUE!</v>
      </c>
      <c r="BE32" t="e">
        <f>AND('Current Index'!E792,"AAAAAHn9fDg=")</f>
        <v>#VALUE!</v>
      </c>
      <c r="BF32" t="e">
        <f>AND('Current Index'!F792,"AAAAAHn9fDk=")</f>
        <v>#VALUE!</v>
      </c>
      <c r="BG32" t="e">
        <f>AND('Current Index'!G792,"AAAAAHn9fDo=")</f>
        <v>#VALUE!</v>
      </c>
      <c r="BH32" t="e">
        <f>AND('Current Index'!H792,"AAAAAHn9fDs=")</f>
        <v>#VALUE!</v>
      </c>
      <c r="BI32" t="e">
        <f>AND('Current Index'!I792,"AAAAAHn9fDw=")</f>
        <v>#VALUE!</v>
      </c>
      <c r="BJ32">
        <f>IF('Current Index'!793:793,"AAAAAHn9fD0=",0)</f>
        <v>0</v>
      </c>
      <c r="BK32" t="e">
        <f>AND('Current Index'!A793,"AAAAAHn9fD4=")</f>
        <v>#VALUE!</v>
      </c>
      <c r="BL32" t="e">
        <f>AND('Current Index'!#REF!,"AAAAAHn9fD8=")</f>
        <v>#REF!</v>
      </c>
      <c r="BM32" t="e">
        <f>AND('Current Index'!B793,"AAAAAHn9fEA=")</f>
        <v>#VALUE!</v>
      </c>
      <c r="BN32" t="e">
        <f>AND('Current Index'!C793,"AAAAAHn9fEE=")</f>
        <v>#VALUE!</v>
      </c>
      <c r="BO32" t="e">
        <f>AND('Current Index'!D793,"AAAAAHn9fEI=")</f>
        <v>#VALUE!</v>
      </c>
      <c r="BP32" t="e">
        <f>AND('Current Index'!E793,"AAAAAHn9fEM=")</f>
        <v>#VALUE!</v>
      </c>
      <c r="BQ32" t="e">
        <f>AND('Current Index'!F793,"AAAAAHn9fEQ=")</f>
        <v>#VALUE!</v>
      </c>
      <c r="BR32" t="e">
        <f>AND('Current Index'!G793,"AAAAAHn9fEU=")</f>
        <v>#VALUE!</v>
      </c>
      <c r="BS32" t="e">
        <f>AND('Current Index'!H793,"AAAAAHn9fEY=")</f>
        <v>#VALUE!</v>
      </c>
      <c r="BT32" t="e">
        <f>AND('Current Index'!I793,"AAAAAHn9fEc=")</f>
        <v>#VALUE!</v>
      </c>
      <c r="BU32">
        <f>IF('Current Index'!794:794,"AAAAAHn9fEg=",0)</f>
        <v>0</v>
      </c>
      <c r="BV32" t="e">
        <f>AND('Current Index'!A794,"AAAAAHn9fEk=")</f>
        <v>#VALUE!</v>
      </c>
      <c r="BW32" t="e">
        <f>AND('Current Index'!#REF!,"AAAAAHn9fEo=")</f>
        <v>#REF!</v>
      </c>
      <c r="BX32" t="e">
        <f>AND('Current Index'!B794,"AAAAAHn9fEs=")</f>
        <v>#VALUE!</v>
      </c>
      <c r="BY32" t="e">
        <f>AND('Current Index'!C794,"AAAAAHn9fEw=")</f>
        <v>#VALUE!</v>
      </c>
      <c r="BZ32" t="e">
        <f>AND('Current Index'!D794,"AAAAAHn9fE0=")</f>
        <v>#VALUE!</v>
      </c>
      <c r="CA32" t="e">
        <f>AND('Current Index'!E794,"AAAAAHn9fE4=")</f>
        <v>#VALUE!</v>
      </c>
      <c r="CB32" t="e">
        <f>AND('Current Index'!F794,"AAAAAHn9fE8=")</f>
        <v>#VALUE!</v>
      </c>
      <c r="CC32" t="e">
        <f>AND('Current Index'!G794,"AAAAAHn9fFA=")</f>
        <v>#VALUE!</v>
      </c>
      <c r="CD32" t="e">
        <f>AND('Current Index'!H794,"AAAAAHn9fFE=")</f>
        <v>#VALUE!</v>
      </c>
      <c r="CE32" t="e">
        <f>AND('Current Index'!I794,"AAAAAHn9fFI=")</f>
        <v>#VALUE!</v>
      </c>
      <c r="CF32">
        <f>IF('Current Index'!795:795,"AAAAAHn9fFM=",0)</f>
        <v>0</v>
      </c>
      <c r="CG32" t="e">
        <f>AND('Current Index'!A795,"AAAAAHn9fFQ=")</f>
        <v>#VALUE!</v>
      </c>
      <c r="CH32" t="e">
        <f>AND('Current Index'!#REF!,"AAAAAHn9fFU=")</f>
        <v>#REF!</v>
      </c>
      <c r="CI32" t="e">
        <f>AND('Current Index'!B795,"AAAAAHn9fFY=")</f>
        <v>#VALUE!</v>
      </c>
      <c r="CJ32" t="e">
        <f>AND('Current Index'!C795,"AAAAAHn9fFc=")</f>
        <v>#VALUE!</v>
      </c>
      <c r="CK32" t="e">
        <f>AND('Current Index'!D795,"AAAAAHn9fFg=")</f>
        <v>#VALUE!</v>
      </c>
      <c r="CL32" t="e">
        <f>AND('Current Index'!E795,"AAAAAHn9fFk=")</f>
        <v>#VALUE!</v>
      </c>
      <c r="CM32" t="e">
        <f>AND('Current Index'!F795,"AAAAAHn9fFo=")</f>
        <v>#VALUE!</v>
      </c>
      <c r="CN32" t="e">
        <f>AND('Current Index'!G795,"AAAAAHn9fFs=")</f>
        <v>#VALUE!</v>
      </c>
      <c r="CO32" t="e">
        <f>AND('Current Index'!H795,"AAAAAHn9fFw=")</f>
        <v>#VALUE!</v>
      </c>
      <c r="CP32" t="e">
        <f>AND('Current Index'!I795,"AAAAAHn9fF0=")</f>
        <v>#VALUE!</v>
      </c>
      <c r="CQ32">
        <f>IF('Current Index'!796:796,"AAAAAHn9fF4=",0)</f>
        <v>0</v>
      </c>
      <c r="CR32" t="e">
        <f>AND('Current Index'!A796,"AAAAAHn9fF8=")</f>
        <v>#VALUE!</v>
      </c>
      <c r="CS32" t="e">
        <f>AND('Current Index'!#REF!,"AAAAAHn9fGA=")</f>
        <v>#REF!</v>
      </c>
      <c r="CT32" t="e">
        <f>AND('Current Index'!B796,"AAAAAHn9fGE=")</f>
        <v>#VALUE!</v>
      </c>
      <c r="CU32" t="e">
        <f>AND('Current Index'!C796,"AAAAAHn9fGI=")</f>
        <v>#VALUE!</v>
      </c>
      <c r="CV32" t="e">
        <f>AND('Current Index'!D796,"AAAAAHn9fGM=")</f>
        <v>#VALUE!</v>
      </c>
      <c r="CW32" t="e">
        <f>AND('Current Index'!E796,"AAAAAHn9fGQ=")</f>
        <v>#VALUE!</v>
      </c>
      <c r="CX32" t="e">
        <f>AND('Current Index'!F796,"AAAAAHn9fGU=")</f>
        <v>#VALUE!</v>
      </c>
      <c r="CY32" t="e">
        <f>AND('Current Index'!G796,"AAAAAHn9fGY=")</f>
        <v>#VALUE!</v>
      </c>
      <c r="CZ32" t="e">
        <f>AND('Current Index'!H796,"AAAAAHn9fGc=")</f>
        <v>#VALUE!</v>
      </c>
      <c r="DA32" t="e">
        <f>AND('Current Index'!I796,"AAAAAHn9fGg=")</f>
        <v>#VALUE!</v>
      </c>
      <c r="DB32">
        <f>IF('Current Index'!797:797,"AAAAAHn9fGk=",0)</f>
        <v>0</v>
      </c>
      <c r="DC32" t="e">
        <f>AND('Current Index'!A797,"AAAAAHn9fGo=")</f>
        <v>#VALUE!</v>
      </c>
      <c r="DD32" t="e">
        <f>AND('Current Index'!#REF!,"AAAAAHn9fGs=")</f>
        <v>#REF!</v>
      </c>
      <c r="DE32" t="e">
        <f>AND('Current Index'!B797,"AAAAAHn9fGw=")</f>
        <v>#VALUE!</v>
      </c>
      <c r="DF32" t="e">
        <f>AND('Current Index'!C797,"AAAAAHn9fG0=")</f>
        <v>#VALUE!</v>
      </c>
      <c r="DG32" t="e">
        <f>AND('Current Index'!D797,"AAAAAHn9fG4=")</f>
        <v>#VALUE!</v>
      </c>
      <c r="DH32" t="e">
        <f>AND('Current Index'!E797,"AAAAAHn9fG8=")</f>
        <v>#VALUE!</v>
      </c>
      <c r="DI32" t="e">
        <f>AND('Current Index'!F797,"AAAAAHn9fHA=")</f>
        <v>#VALUE!</v>
      </c>
      <c r="DJ32" t="e">
        <f>AND('Current Index'!G797,"AAAAAHn9fHE=")</f>
        <v>#VALUE!</v>
      </c>
      <c r="DK32" t="e">
        <f>AND('Current Index'!H797,"AAAAAHn9fHI=")</f>
        <v>#VALUE!</v>
      </c>
      <c r="DL32" t="e">
        <f>AND('Current Index'!I797,"AAAAAHn9fHM=")</f>
        <v>#VALUE!</v>
      </c>
      <c r="DM32">
        <f>IF('Current Index'!798:798,"AAAAAHn9fHQ=",0)</f>
        <v>0</v>
      </c>
      <c r="DN32" t="e">
        <f>AND('Current Index'!A798,"AAAAAHn9fHU=")</f>
        <v>#VALUE!</v>
      </c>
      <c r="DO32" t="e">
        <f>AND('Current Index'!#REF!,"AAAAAHn9fHY=")</f>
        <v>#REF!</v>
      </c>
      <c r="DP32" t="e">
        <f>AND('Current Index'!B798,"AAAAAHn9fHc=")</f>
        <v>#VALUE!</v>
      </c>
      <c r="DQ32" t="e">
        <f>AND('Current Index'!C798,"AAAAAHn9fHg=")</f>
        <v>#VALUE!</v>
      </c>
      <c r="DR32" t="e">
        <f>AND('Current Index'!D798,"AAAAAHn9fHk=")</f>
        <v>#VALUE!</v>
      </c>
      <c r="DS32" t="e">
        <f>AND('Current Index'!E798,"AAAAAHn9fHo=")</f>
        <v>#VALUE!</v>
      </c>
      <c r="DT32" t="e">
        <f>AND('Current Index'!F798,"AAAAAHn9fHs=")</f>
        <v>#VALUE!</v>
      </c>
      <c r="DU32" t="e">
        <f>AND('Current Index'!G798,"AAAAAHn9fHw=")</f>
        <v>#VALUE!</v>
      </c>
      <c r="DV32" t="e">
        <f>AND('Current Index'!H798,"AAAAAHn9fH0=")</f>
        <v>#VALUE!</v>
      </c>
      <c r="DW32" t="e">
        <f>AND('Current Index'!I798,"AAAAAHn9fH4=")</f>
        <v>#VALUE!</v>
      </c>
      <c r="DX32">
        <f>IF('Current Index'!799:799,"AAAAAHn9fH8=",0)</f>
        <v>0</v>
      </c>
      <c r="DY32" t="e">
        <f>AND('Current Index'!A799,"AAAAAHn9fIA=")</f>
        <v>#VALUE!</v>
      </c>
      <c r="DZ32" t="e">
        <f>AND('Current Index'!#REF!,"AAAAAHn9fIE=")</f>
        <v>#REF!</v>
      </c>
      <c r="EA32" t="e">
        <f>AND('Current Index'!B799,"AAAAAHn9fII=")</f>
        <v>#VALUE!</v>
      </c>
      <c r="EB32" t="e">
        <f>AND('Current Index'!C799,"AAAAAHn9fIM=")</f>
        <v>#VALUE!</v>
      </c>
      <c r="EC32" t="e">
        <f>AND('Current Index'!D799,"AAAAAHn9fIQ=")</f>
        <v>#VALUE!</v>
      </c>
      <c r="ED32" t="e">
        <f>AND('Current Index'!E799,"AAAAAHn9fIU=")</f>
        <v>#VALUE!</v>
      </c>
      <c r="EE32" t="e">
        <f>AND('Current Index'!F799,"AAAAAHn9fIY=")</f>
        <v>#VALUE!</v>
      </c>
      <c r="EF32" t="e">
        <f>AND('Current Index'!G799,"AAAAAHn9fIc=")</f>
        <v>#VALUE!</v>
      </c>
      <c r="EG32" t="e">
        <f>AND('Current Index'!H799,"AAAAAHn9fIg=")</f>
        <v>#VALUE!</v>
      </c>
      <c r="EH32" t="e">
        <f>AND('Current Index'!I799,"AAAAAHn9fIk=")</f>
        <v>#VALUE!</v>
      </c>
      <c r="EI32" t="e">
        <f>IF('Current Index'!#REF!,"AAAAAHn9fIo=",0)</f>
        <v>#REF!</v>
      </c>
      <c r="EJ32" t="e">
        <f>AND('Current Index'!#REF!,"AAAAAHn9fIs=")</f>
        <v>#REF!</v>
      </c>
      <c r="EK32" t="e">
        <f>AND('Current Index'!#REF!,"AAAAAHn9fIw=")</f>
        <v>#REF!</v>
      </c>
      <c r="EL32" t="e">
        <f>AND('Current Index'!#REF!,"AAAAAHn9fI0=")</f>
        <v>#REF!</v>
      </c>
      <c r="EM32" t="e">
        <f>AND('Current Index'!#REF!,"AAAAAHn9fI4=")</f>
        <v>#REF!</v>
      </c>
      <c r="EN32" t="e">
        <f>AND('Current Index'!#REF!,"AAAAAHn9fI8=")</f>
        <v>#REF!</v>
      </c>
      <c r="EO32" t="e">
        <f>AND('Current Index'!#REF!,"AAAAAHn9fJA=")</f>
        <v>#REF!</v>
      </c>
      <c r="EP32" t="e">
        <f>AND('Current Index'!#REF!,"AAAAAHn9fJE=")</f>
        <v>#REF!</v>
      </c>
      <c r="EQ32" t="e">
        <f>AND('Current Index'!#REF!,"AAAAAHn9fJI=")</f>
        <v>#REF!</v>
      </c>
      <c r="ER32" t="e">
        <f>AND('Current Index'!#REF!,"AAAAAHn9fJM=")</f>
        <v>#REF!</v>
      </c>
      <c r="ES32" t="e">
        <f>AND('Current Index'!#REF!,"AAAAAHn9fJQ=")</f>
        <v>#REF!</v>
      </c>
      <c r="ET32">
        <f>IF('Current Index'!800:800,"AAAAAHn9fJU=",0)</f>
        <v>0</v>
      </c>
      <c r="EU32" t="e">
        <f>AND('Current Index'!A800,"AAAAAHn9fJY=")</f>
        <v>#VALUE!</v>
      </c>
      <c r="EV32" t="e">
        <f>AND('Current Index'!#REF!,"AAAAAHn9fJc=")</f>
        <v>#REF!</v>
      </c>
      <c r="EW32" t="e">
        <f>AND('Current Index'!B800,"AAAAAHn9fJg=")</f>
        <v>#VALUE!</v>
      </c>
      <c r="EX32" t="e">
        <f>AND('Current Index'!C800,"AAAAAHn9fJk=")</f>
        <v>#VALUE!</v>
      </c>
      <c r="EY32" t="e">
        <f>AND('Current Index'!D800,"AAAAAHn9fJo=")</f>
        <v>#VALUE!</v>
      </c>
      <c r="EZ32" t="e">
        <f>AND('Current Index'!E800,"AAAAAHn9fJs=")</f>
        <v>#VALUE!</v>
      </c>
      <c r="FA32" t="e">
        <f>AND('Current Index'!F800,"AAAAAHn9fJw=")</f>
        <v>#VALUE!</v>
      </c>
      <c r="FB32" t="e">
        <f>AND('Current Index'!G800,"AAAAAHn9fJ0=")</f>
        <v>#VALUE!</v>
      </c>
      <c r="FC32" t="e">
        <f>AND('Current Index'!H800,"AAAAAHn9fJ4=")</f>
        <v>#VALUE!</v>
      </c>
      <c r="FD32" t="e">
        <f>AND('Current Index'!I800,"AAAAAHn9fJ8=")</f>
        <v>#VALUE!</v>
      </c>
      <c r="FE32">
        <f>IF('Current Index'!801:801,"AAAAAHn9fKA=",0)</f>
        <v>0</v>
      </c>
      <c r="FF32" t="e">
        <f>AND('Current Index'!A801,"AAAAAHn9fKE=")</f>
        <v>#VALUE!</v>
      </c>
      <c r="FG32" t="e">
        <f>AND('Current Index'!#REF!,"AAAAAHn9fKI=")</f>
        <v>#REF!</v>
      </c>
      <c r="FH32" t="e">
        <f>AND('Current Index'!B801,"AAAAAHn9fKM=")</f>
        <v>#VALUE!</v>
      </c>
      <c r="FI32" t="e">
        <f>AND('Current Index'!C801,"AAAAAHn9fKQ=")</f>
        <v>#VALUE!</v>
      </c>
      <c r="FJ32" t="e">
        <f>AND('Current Index'!D801,"AAAAAHn9fKU=")</f>
        <v>#VALUE!</v>
      </c>
      <c r="FK32" t="e">
        <f>AND('Current Index'!E801,"AAAAAHn9fKY=")</f>
        <v>#VALUE!</v>
      </c>
      <c r="FL32" t="e">
        <f>AND('Current Index'!F801,"AAAAAHn9fKc=")</f>
        <v>#VALUE!</v>
      </c>
      <c r="FM32" t="e">
        <f>AND('Current Index'!G801,"AAAAAHn9fKg=")</f>
        <v>#VALUE!</v>
      </c>
      <c r="FN32" t="e">
        <f>AND('Current Index'!H801,"AAAAAHn9fKk=")</f>
        <v>#VALUE!</v>
      </c>
      <c r="FO32" t="e">
        <f>AND('Current Index'!I801,"AAAAAHn9fKo=")</f>
        <v>#VALUE!</v>
      </c>
      <c r="FP32">
        <f>IF('Current Index'!802:802,"AAAAAHn9fKs=",0)</f>
        <v>0</v>
      </c>
      <c r="FQ32" t="e">
        <f>AND('Current Index'!A802,"AAAAAHn9fKw=")</f>
        <v>#VALUE!</v>
      </c>
      <c r="FR32" t="e">
        <f>AND('Current Index'!#REF!,"AAAAAHn9fK0=")</f>
        <v>#REF!</v>
      </c>
      <c r="FS32" t="e">
        <f>AND('Current Index'!B802,"AAAAAHn9fK4=")</f>
        <v>#VALUE!</v>
      </c>
      <c r="FT32" t="e">
        <f>AND('Current Index'!C802,"AAAAAHn9fK8=")</f>
        <v>#VALUE!</v>
      </c>
      <c r="FU32" t="e">
        <f>AND('Current Index'!D802,"AAAAAHn9fLA=")</f>
        <v>#VALUE!</v>
      </c>
      <c r="FV32" t="e">
        <f>AND('Current Index'!E802,"AAAAAHn9fLE=")</f>
        <v>#VALUE!</v>
      </c>
      <c r="FW32" t="e">
        <f>AND('Current Index'!F802,"AAAAAHn9fLI=")</f>
        <v>#VALUE!</v>
      </c>
      <c r="FX32" t="e">
        <f>AND('Current Index'!G802,"AAAAAHn9fLM=")</f>
        <v>#VALUE!</v>
      </c>
      <c r="FY32" t="e">
        <f>AND('Current Index'!H802,"AAAAAHn9fLQ=")</f>
        <v>#VALUE!</v>
      </c>
      <c r="FZ32" t="e">
        <f>AND('Current Index'!I802,"AAAAAHn9fLU=")</f>
        <v>#VALUE!</v>
      </c>
      <c r="GA32">
        <f>IF('Current Index'!803:803,"AAAAAHn9fLY=",0)</f>
        <v>0</v>
      </c>
      <c r="GB32" t="e">
        <f>AND('Current Index'!A803,"AAAAAHn9fLc=")</f>
        <v>#VALUE!</v>
      </c>
      <c r="GC32" t="e">
        <f>AND('Current Index'!#REF!,"AAAAAHn9fLg=")</f>
        <v>#REF!</v>
      </c>
      <c r="GD32" t="e">
        <f>AND('Current Index'!B803,"AAAAAHn9fLk=")</f>
        <v>#VALUE!</v>
      </c>
      <c r="GE32" t="e">
        <f>AND('Current Index'!C803,"AAAAAHn9fLo=")</f>
        <v>#VALUE!</v>
      </c>
      <c r="GF32" t="e">
        <f>AND('Current Index'!D803,"AAAAAHn9fLs=")</f>
        <v>#VALUE!</v>
      </c>
      <c r="GG32" t="e">
        <f>AND('Current Index'!E803,"AAAAAHn9fLw=")</f>
        <v>#VALUE!</v>
      </c>
      <c r="GH32" t="e">
        <f>AND('Current Index'!F803,"AAAAAHn9fL0=")</f>
        <v>#VALUE!</v>
      </c>
      <c r="GI32" t="e">
        <f>AND('Current Index'!G803,"AAAAAHn9fL4=")</f>
        <v>#VALUE!</v>
      </c>
      <c r="GJ32" t="e">
        <f>AND('Current Index'!H803,"AAAAAHn9fL8=")</f>
        <v>#VALUE!</v>
      </c>
      <c r="GK32" t="e">
        <f>AND('Current Index'!I803,"AAAAAHn9fMA=")</f>
        <v>#VALUE!</v>
      </c>
      <c r="GL32">
        <f>IF('Current Index'!804:804,"AAAAAHn9fME=",0)</f>
        <v>0</v>
      </c>
      <c r="GM32" t="e">
        <f>AND('Current Index'!A804,"AAAAAHn9fMI=")</f>
        <v>#VALUE!</v>
      </c>
      <c r="GN32" t="e">
        <f>AND('Current Index'!#REF!,"AAAAAHn9fMM=")</f>
        <v>#REF!</v>
      </c>
      <c r="GO32" t="e">
        <f>AND('Current Index'!B804,"AAAAAHn9fMQ=")</f>
        <v>#VALUE!</v>
      </c>
      <c r="GP32" t="e">
        <f>AND('Current Index'!C804,"AAAAAHn9fMU=")</f>
        <v>#VALUE!</v>
      </c>
      <c r="GQ32" t="e">
        <f>AND('Current Index'!D804,"AAAAAHn9fMY=")</f>
        <v>#VALUE!</v>
      </c>
      <c r="GR32" t="e">
        <f>AND('Current Index'!E804,"AAAAAHn9fMc=")</f>
        <v>#VALUE!</v>
      </c>
      <c r="GS32" t="e">
        <f>AND('Current Index'!F804,"AAAAAHn9fMg=")</f>
        <v>#VALUE!</v>
      </c>
      <c r="GT32" t="e">
        <f>AND('Current Index'!G804,"AAAAAHn9fMk=")</f>
        <v>#VALUE!</v>
      </c>
      <c r="GU32" t="e">
        <f>AND('Current Index'!H804,"AAAAAHn9fMo=")</f>
        <v>#VALUE!</v>
      </c>
      <c r="GV32" t="e">
        <f>AND('Current Index'!I804,"AAAAAHn9fMs=")</f>
        <v>#VALUE!</v>
      </c>
      <c r="GW32">
        <f>IF('Current Index'!805:805,"AAAAAHn9fMw=",0)</f>
        <v>0</v>
      </c>
      <c r="GX32" t="e">
        <f>AND('Current Index'!A805,"AAAAAHn9fM0=")</f>
        <v>#VALUE!</v>
      </c>
      <c r="GY32" t="e">
        <f>AND('Current Index'!#REF!,"AAAAAHn9fM4=")</f>
        <v>#REF!</v>
      </c>
      <c r="GZ32" t="e">
        <f>AND('Current Index'!B805,"AAAAAHn9fM8=")</f>
        <v>#VALUE!</v>
      </c>
      <c r="HA32" t="e">
        <f>AND('Current Index'!C805,"AAAAAHn9fNA=")</f>
        <v>#VALUE!</v>
      </c>
      <c r="HB32" t="e">
        <f>AND('Current Index'!D805,"AAAAAHn9fNE=")</f>
        <v>#VALUE!</v>
      </c>
      <c r="HC32" t="e">
        <f>AND('Current Index'!E805,"AAAAAHn9fNI=")</f>
        <v>#VALUE!</v>
      </c>
      <c r="HD32" t="e">
        <f>AND('Current Index'!F805,"AAAAAHn9fNM=")</f>
        <v>#VALUE!</v>
      </c>
      <c r="HE32" t="e">
        <f>AND('Current Index'!G805,"AAAAAHn9fNQ=")</f>
        <v>#VALUE!</v>
      </c>
      <c r="HF32" t="e">
        <f>AND('Current Index'!H805,"AAAAAHn9fNU=")</f>
        <v>#VALUE!</v>
      </c>
      <c r="HG32" t="e">
        <f>AND('Current Index'!I805,"AAAAAHn9fNY=")</f>
        <v>#VALUE!</v>
      </c>
      <c r="HH32">
        <f>IF('Current Index'!806:806,"AAAAAHn9fNc=",0)</f>
        <v>0</v>
      </c>
      <c r="HI32" t="e">
        <f>AND('Current Index'!A806,"AAAAAHn9fNg=")</f>
        <v>#VALUE!</v>
      </c>
      <c r="HJ32" t="e">
        <f>AND('Current Index'!#REF!,"AAAAAHn9fNk=")</f>
        <v>#REF!</v>
      </c>
      <c r="HK32" t="e">
        <f>AND('Current Index'!B806,"AAAAAHn9fNo=")</f>
        <v>#VALUE!</v>
      </c>
      <c r="HL32" t="e">
        <f>AND('Current Index'!C806,"AAAAAHn9fNs=")</f>
        <v>#VALUE!</v>
      </c>
      <c r="HM32" t="e">
        <f>AND('Current Index'!D806,"AAAAAHn9fNw=")</f>
        <v>#VALUE!</v>
      </c>
      <c r="HN32" t="e">
        <f>AND('Current Index'!E806,"AAAAAHn9fN0=")</f>
        <v>#VALUE!</v>
      </c>
      <c r="HO32" t="e">
        <f>AND('Current Index'!F806,"AAAAAHn9fN4=")</f>
        <v>#VALUE!</v>
      </c>
      <c r="HP32" t="e">
        <f>AND('Current Index'!G806,"AAAAAHn9fN8=")</f>
        <v>#VALUE!</v>
      </c>
      <c r="HQ32" t="e">
        <f>AND('Current Index'!H806,"AAAAAHn9fOA=")</f>
        <v>#VALUE!</v>
      </c>
      <c r="HR32" t="e">
        <f>AND('Current Index'!I806,"AAAAAHn9fOE=")</f>
        <v>#VALUE!</v>
      </c>
      <c r="HS32">
        <f>IF('Current Index'!807:807,"AAAAAHn9fOI=",0)</f>
        <v>0</v>
      </c>
      <c r="HT32" t="e">
        <f>AND('Current Index'!A807,"AAAAAHn9fOM=")</f>
        <v>#VALUE!</v>
      </c>
      <c r="HU32" t="e">
        <f>AND('Current Index'!#REF!,"AAAAAHn9fOQ=")</f>
        <v>#REF!</v>
      </c>
      <c r="HV32" t="e">
        <f>AND('Current Index'!B807,"AAAAAHn9fOU=")</f>
        <v>#VALUE!</v>
      </c>
      <c r="HW32" t="e">
        <f>AND('Current Index'!C807,"AAAAAHn9fOY=")</f>
        <v>#VALUE!</v>
      </c>
      <c r="HX32" t="e">
        <f>AND('Current Index'!D807,"AAAAAHn9fOc=")</f>
        <v>#VALUE!</v>
      </c>
      <c r="HY32" t="e">
        <f>AND('Current Index'!E807,"AAAAAHn9fOg=")</f>
        <v>#VALUE!</v>
      </c>
      <c r="HZ32" t="e">
        <f>AND('Current Index'!F807,"AAAAAHn9fOk=")</f>
        <v>#VALUE!</v>
      </c>
      <c r="IA32" t="e">
        <f>AND('Current Index'!G807,"AAAAAHn9fOo=")</f>
        <v>#VALUE!</v>
      </c>
      <c r="IB32" t="e">
        <f>AND('Current Index'!H807,"AAAAAHn9fOs=")</f>
        <v>#VALUE!</v>
      </c>
      <c r="IC32" t="e">
        <f>AND('Current Index'!I807,"AAAAAHn9fOw=")</f>
        <v>#VALUE!</v>
      </c>
      <c r="ID32" t="e">
        <f>IF('Current Index'!#REF!,"AAAAAHn9fO0=",0)</f>
        <v>#REF!</v>
      </c>
      <c r="IE32" t="e">
        <f>AND('Current Index'!#REF!,"AAAAAHn9fO4=")</f>
        <v>#REF!</v>
      </c>
      <c r="IF32" t="e">
        <f>AND('Current Index'!#REF!,"AAAAAHn9fO8=")</f>
        <v>#REF!</v>
      </c>
      <c r="IG32" t="e">
        <f>AND('Current Index'!#REF!,"AAAAAHn9fPA=")</f>
        <v>#REF!</v>
      </c>
      <c r="IH32" t="e">
        <f>AND('Current Index'!#REF!,"AAAAAHn9fPE=")</f>
        <v>#REF!</v>
      </c>
      <c r="II32" t="e">
        <f>AND('Current Index'!#REF!,"AAAAAHn9fPI=")</f>
        <v>#REF!</v>
      </c>
      <c r="IJ32" t="e">
        <f>AND('Current Index'!#REF!,"AAAAAHn9fPM=")</f>
        <v>#REF!</v>
      </c>
      <c r="IK32" t="e">
        <f>AND('Current Index'!#REF!,"AAAAAHn9fPQ=")</f>
        <v>#REF!</v>
      </c>
      <c r="IL32" t="e">
        <f>AND('Current Index'!#REF!,"AAAAAHn9fPU=")</f>
        <v>#REF!</v>
      </c>
      <c r="IM32" t="e">
        <f>AND('Current Index'!#REF!,"AAAAAHn9fPY=")</f>
        <v>#REF!</v>
      </c>
      <c r="IN32" t="e">
        <f>AND('Current Index'!#REF!,"AAAAAHn9fPc=")</f>
        <v>#REF!</v>
      </c>
      <c r="IO32">
        <f>IF('Current Index'!814:814,"AAAAAHn9fPg=",0)</f>
        <v>0</v>
      </c>
      <c r="IP32" t="e">
        <f>AND('Current Index'!A814,"AAAAAHn9fPk=")</f>
        <v>#VALUE!</v>
      </c>
      <c r="IQ32" t="e">
        <f>AND('Current Index'!#REF!,"AAAAAHn9fPo=")</f>
        <v>#REF!</v>
      </c>
      <c r="IR32" t="e">
        <f>AND('Current Index'!B814,"AAAAAHn9fPs=")</f>
        <v>#VALUE!</v>
      </c>
      <c r="IS32" t="e">
        <f>AND('Current Index'!C814,"AAAAAHn9fPw=")</f>
        <v>#VALUE!</v>
      </c>
      <c r="IT32" t="e">
        <f>AND('Current Index'!D814,"AAAAAHn9fP0=")</f>
        <v>#VALUE!</v>
      </c>
      <c r="IU32" t="e">
        <f>AND('Current Index'!E814,"AAAAAHn9fP4=")</f>
        <v>#VALUE!</v>
      </c>
      <c r="IV32" t="e">
        <f>AND('Current Index'!F814,"AAAAAHn9fP8=")</f>
        <v>#VALUE!</v>
      </c>
    </row>
    <row r="33" spans="1:256" x14ac:dyDescent="0.25">
      <c r="A33" t="e">
        <f>AND('Current Index'!G814,"AAAAAH7Z7wA=")</f>
        <v>#VALUE!</v>
      </c>
      <c r="B33" t="e">
        <f>AND('Current Index'!H814,"AAAAAH7Z7wE=")</f>
        <v>#VALUE!</v>
      </c>
      <c r="C33" t="e">
        <f>AND('Current Index'!I814,"AAAAAH7Z7wI=")</f>
        <v>#VALUE!</v>
      </c>
      <c r="D33" t="e">
        <f>IF('Current Index'!815:815,"AAAAAH7Z7wM=",0)</f>
        <v>#VALUE!</v>
      </c>
      <c r="E33" t="e">
        <f>AND('Current Index'!A815,"AAAAAH7Z7wQ=")</f>
        <v>#VALUE!</v>
      </c>
      <c r="F33" t="e">
        <f>AND('Current Index'!#REF!,"AAAAAH7Z7wU=")</f>
        <v>#REF!</v>
      </c>
      <c r="G33" t="e">
        <f>AND('Current Index'!B815,"AAAAAH7Z7wY=")</f>
        <v>#VALUE!</v>
      </c>
      <c r="H33" t="e">
        <f>AND('Current Index'!C815,"AAAAAH7Z7wc=")</f>
        <v>#VALUE!</v>
      </c>
      <c r="I33" t="e">
        <f>AND('Current Index'!D815,"AAAAAH7Z7wg=")</f>
        <v>#VALUE!</v>
      </c>
      <c r="J33" t="e">
        <f>AND('Current Index'!E815,"AAAAAH7Z7wk=")</f>
        <v>#VALUE!</v>
      </c>
      <c r="K33" t="e">
        <f>AND('Current Index'!F815,"AAAAAH7Z7wo=")</f>
        <v>#VALUE!</v>
      </c>
      <c r="L33" t="e">
        <f>AND('Current Index'!G815,"AAAAAH7Z7ws=")</f>
        <v>#VALUE!</v>
      </c>
      <c r="M33" t="e">
        <f>AND('Current Index'!H815,"AAAAAH7Z7ww=")</f>
        <v>#VALUE!</v>
      </c>
      <c r="N33" t="e">
        <f>AND('Current Index'!I815,"AAAAAH7Z7w0=")</f>
        <v>#VALUE!</v>
      </c>
      <c r="O33">
        <f>IF('Current Index'!816:816,"AAAAAH7Z7w4=",0)</f>
        <v>0</v>
      </c>
      <c r="P33" t="e">
        <f>AND('Current Index'!A816,"AAAAAH7Z7w8=")</f>
        <v>#VALUE!</v>
      </c>
      <c r="Q33" t="e">
        <f>AND('Current Index'!#REF!,"AAAAAH7Z7xA=")</f>
        <v>#REF!</v>
      </c>
      <c r="R33" t="e">
        <f>AND('Current Index'!B816,"AAAAAH7Z7xE=")</f>
        <v>#VALUE!</v>
      </c>
      <c r="S33" t="e">
        <f>AND('Current Index'!C816,"AAAAAH7Z7xI=")</f>
        <v>#VALUE!</v>
      </c>
      <c r="T33" t="e">
        <f>AND('Current Index'!D816,"AAAAAH7Z7xM=")</f>
        <v>#VALUE!</v>
      </c>
      <c r="U33" t="e">
        <f>AND('Current Index'!E816,"AAAAAH7Z7xQ=")</f>
        <v>#VALUE!</v>
      </c>
      <c r="V33" t="e">
        <f>AND('Current Index'!F816,"AAAAAH7Z7xU=")</f>
        <v>#VALUE!</v>
      </c>
      <c r="W33" t="e">
        <f>AND('Current Index'!G816,"AAAAAH7Z7xY=")</f>
        <v>#VALUE!</v>
      </c>
      <c r="X33" t="e">
        <f>AND('Current Index'!H816,"AAAAAH7Z7xc=")</f>
        <v>#VALUE!</v>
      </c>
      <c r="Y33" t="e">
        <f>AND('Current Index'!I816,"AAAAAH7Z7xg=")</f>
        <v>#VALUE!</v>
      </c>
      <c r="Z33">
        <f>IF('Current Index'!817:817,"AAAAAH7Z7xk=",0)</f>
        <v>0</v>
      </c>
      <c r="AA33" t="e">
        <f>AND('Current Index'!A817,"AAAAAH7Z7xo=")</f>
        <v>#VALUE!</v>
      </c>
      <c r="AB33" t="e">
        <f>AND('Current Index'!#REF!,"AAAAAH7Z7xs=")</f>
        <v>#REF!</v>
      </c>
      <c r="AC33" t="e">
        <f>AND('Current Index'!B817,"AAAAAH7Z7xw=")</f>
        <v>#VALUE!</v>
      </c>
      <c r="AD33" t="e">
        <f>AND('Current Index'!C817,"AAAAAH7Z7x0=")</f>
        <v>#VALUE!</v>
      </c>
      <c r="AE33" t="e">
        <f>AND('Current Index'!D817,"AAAAAH7Z7x4=")</f>
        <v>#VALUE!</v>
      </c>
      <c r="AF33" t="e">
        <f>AND('Current Index'!E817,"AAAAAH7Z7x8=")</f>
        <v>#VALUE!</v>
      </c>
      <c r="AG33" t="e">
        <f>AND('Current Index'!F817,"AAAAAH7Z7yA=")</f>
        <v>#VALUE!</v>
      </c>
      <c r="AH33" t="e">
        <f>AND('Current Index'!G817,"AAAAAH7Z7yE=")</f>
        <v>#VALUE!</v>
      </c>
      <c r="AI33" t="e">
        <f>AND('Current Index'!H817,"AAAAAH7Z7yI=")</f>
        <v>#VALUE!</v>
      </c>
      <c r="AJ33" t="e">
        <f>AND('Current Index'!I817,"AAAAAH7Z7yM=")</f>
        <v>#VALUE!</v>
      </c>
      <c r="AK33">
        <f>IF('Current Index'!818:818,"AAAAAH7Z7yQ=",0)</f>
        <v>0</v>
      </c>
      <c r="AL33" t="e">
        <f>AND('Current Index'!A818,"AAAAAH7Z7yU=")</f>
        <v>#VALUE!</v>
      </c>
      <c r="AM33" t="e">
        <f>AND('Current Index'!#REF!,"AAAAAH7Z7yY=")</f>
        <v>#REF!</v>
      </c>
      <c r="AN33" t="e">
        <f>AND('Current Index'!B818,"AAAAAH7Z7yc=")</f>
        <v>#VALUE!</v>
      </c>
      <c r="AO33" t="e">
        <f>AND('Current Index'!C818,"AAAAAH7Z7yg=")</f>
        <v>#VALUE!</v>
      </c>
      <c r="AP33" t="e">
        <f>AND('Current Index'!D818,"AAAAAH7Z7yk=")</f>
        <v>#VALUE!</v>
      </c>
      <c r="AQ33" t="e">
        <f>AND('Current Index'!E818,"AAAAAH7Z7yo=")</f>
        <v>#VALUE!</v>
      </c>
      <c r="AR33" t="e">
        <f>AND('Current Index'!F818,"AAAAAH7Z7ys=")</f>
        <v>#VALUE!</v>
      </c>
      <c r="AS33" t="e">
        <f>AND('Current Index'!G818,"AAAAAH7Z7yw=")</f>
        <v>#VALUE!</v>
      </c>
      <c r="AT33" t="e">
        <f>AND('Current Index'!H818,"AAAAAH7Z7y0=")</f>
        <v>#VALUE!</v>
      </c>
      <c r="AU33" t="e">
        <f>AND('Current Index'!I818,"AAAAAH7Z7y4=")</f>
        <v>#VALUE!</v>
      </c>
      <c r="AV33">
        <f>IF('Current Index'!819:819,"AAAAAH7Z7y8=",0)</f>
        <v>0</v>
      </c>
      <c r="AW33" t="e">
        <f>AND('Current Index'!A819,"AAAAAH7Z7zA=")</f>
        <v>#VALUE!</v>
      </c>
      <c r="AX33" t="e">
        <f>AND('Current Index'!#REF!,"AAAAAH7Z7zE=")</f>
        <v>#REF!</v>
      </c>
      <c r="AY33" t="e">
        <f>AND('Current Index'!B819,"AAAAAH7Z7zI=")</f>
        <v>#VALUE!</v>
      </c>
      <c r="AZ33" t="e">
        <f>AND('Current Index'!C819,"AAAAAH7Z7zM=")</f>
        <v>#VALUE!</v>
      </c>
      <c r="BA33" t="e">
        <f>AND('Current Index'!D819,"AAAAAH7Z7zQ=")</f>
        <v>#VALUE!</v>
      </c>
      <c r="BB33" t="e">
        <f>AND('Current Index'!E819,"AAAAAH7Z7zU=")</f>
        <v>#VALUE!</v>
      </c>
      <c r="BC33" t="e">
        <f>AND('Current Index'!F819,"AAAAAH7Z7zY=")</f>
        <v>#VALUE!</v>
      </c>
      <c r="BD33" t="e">
        <f>AND('Current Index'!G819,"AAAAAH7Z7zc=")</f>
        <v>#VALUE!</v>
      </c>
      <c r="BE33" t="e">
        <f>AND('Current Index'!H819,"AAAAAH7Z7zg=")</f>
        <v>#VALUE!</v>
      </c>
      <c r="BF33" t="e">
        <f>AND('Current Index'!I819,"AAAAAH7Z7zk=")</f>
        <v>#VALUE!</v>
      </c>
      <c r="BG33">
        <f>IF('Current Index'!820:820,"AAAAAH7Z7zo=",0)</f>
        <v>0</v>
      </c>
      <c r="BH33" t="e">
        <f>AND('Current Index'!A820,"AAAAAH7Z7zs=")</f>
        <v>#VALUE!</v>
      </c>
      <c r="BI33" t="e">
        <f>AND('Current Index'!#REF!,"AAAAAH7Z7zw=")</f>
        <v>#REF!</v>
      </c>
      <c r="BJ33" t="e">
        <f>AND('Current Index'!B820,"AAAAAH7Z7z0=")</f>
        <v>#VALUE!</v>
      </c>
      <c r="BK33" t="e">
        <f>AND('Current Index'!C820,"AAAAAH7Z7z4=")</f>
        <v>#VALUE!</v>
      </c>
      <c r="BL33" t="e">
        <f>AND('Current Index'!D820,"AAAAAH7Z7z8=")</f>
        <v>#VALUE!</v>
      </c>
      <c r="BM33" t="e">
        <f>AND('Current Index'!E820,"AAAAAH7Z70A=")</f>
        <v>#VALUE!</v>
      </c>
      <c r="BN33" t="e">
        <f>AND('Current Index'!F820,"AAAAAH7Z70E=")</f>
        <v>#VALUE!</v>
      </c>
      <c r="BO33" t="e">
        <f>AND('Current Index'!G820,"AAAAAH7Z70I=")</f>
        <v>#VALUE!</v>
      </c>
      <c r="BP33" t="e">
        <f>AND('Current Index'!H820,"AAAAAH7Z70M=")</f>
        <v>#VALUE!</v>
      </c>
      <c r="BQ33" t="e">
        <f>AND('Current Index'!I820,"AAAAAH7Z70Q=")</f>
        <v>#VALUE!</v>
      </c>
      <c r="BR33">
        <f>IF('Current Index'!821:821,"AAAAAH7Z70U=",0)</f>
        <v>0</v>
      </c>
      <c r="BS33" t="e">
        <f>AND('Current Index'!A821,"AAAAAH7Z70Y=")</f>
        <v>#VALUE!</v>
      </c>
      <c r="BT33" t="e">
        <f>AND('Current Index'!#REF!,"AAAAAH7Z70c=")</f>
        <v>#REF!</v>
      </c>
      <c r="BU33" t="e">
        <f>AND('Current Index'!B821,"AAAAAH7Z70g=")</f>
        <v>#VALUE!</v>
      </c>
      <c r="BV33" t="e">
        <f>AND('Current Index'!C821,"AAAAAH7Z70k=")</f>
        <v>#VALUE!</v>
      </c>
      <c r="BW33" t="e">
        <f>AND('Current Index'!D821,"AAAAAH7Z70o=")</f>
        <v>#VALUE!</v>
      </c>
      <c r="BX33" t="e">
        <f>AND('Current Index'!E821,"AAAAAH7Z70s=")</f>
        <v>#VALUE!</v>
      </c>
      <c r="BY33" t="e">
        <f>AND('Current Index'!F821,"AAAAAH7Z70w=")</f>
        <v>#VALUE!</v>
      </c>
      <c r="BZ33" t="e">
        <f>AND('Current Index'!G821,"AAAAAH7Z700=")</f>
        <v>#VALUE!</v>
      </c>
      <c r="CA33" t="e">
        <f>AND('Current Index'!H821,"AAAAAH7Z704=")</f>
        <v>#VALUE!</v>
      </c>
      <c r="CB33" t="e">
        <f>AND('Current Index'!I821,"AAAAAH7Z708=")</f>
        <v>#VALUE!</v>
      </c>
      <c r="CC33">
        <f>IF('Current Index'!822:822,"AAAAAH7Z71A=",0)</f>
        <v>0</v>
      </c>
      <c r="CD33" t="e">
        <f>AND('Current Index'!A822,"AAAAAH7Z71E=")</f>
        <v>#VALUE!</v>
      </c>
      <c r="CE33" t="e">
        <f>AND('Current Index'!#REF!,"AAAAAH7Z71I=")</f>
        <v>#REF!</v>
      </c>
      <c r="CF33" t="e">
        <f>AND('Current Index'!B822,"AAAAAH7Z71M=")</f>
        <v>#VALUE!</v>
      </c>
      <c r="CG33" t="e">
        <f>AND('Current Index'!C822,"AAAAAH7Z71Q=")</f>
        <v>#VALUE!</v>
      </c>
      <c r="CH33" t="e">
        <f>AND('Current Index'!D822,"AAAAAH7Z71U=")</f>
        <v>#VALUE!</v>
      </c>
      <c r="CI33" t="e">
        <f>AND('Current Index'!E822,"AAAAAH7Z71Y=")</f>
        <v>#VALUE!</v>
      </c>
      <c r="CJ33" t="e">
        <f>AND('Current Index'!F822,"AAAAAH7Z71c=")</f>
        <v>#VALUE!</v>
      </c>
      <c r="CK33" t="e">
        <f>AND('Current Index'!G822,"AAAAAH7Z71g=")</f>
        <v>#VALUE!</v>
      </c>
      <c r="CL33" t="e">
        <f>AND('Current Index'!H822,"AAAAAH7Z71k=")</f>
        <v>#VALUE!</v>
      </c>
      <c r="CM33" t="e">
        <f>AND('Current Index'!I822,"AAAAAH7Z71o=")</f>
        <v>#VALUE!</v>
      </c>
      <c r="CN33" t="e">
        <f>IF('Current Index'!#REF!,"AAAAAH7Z71s=",0)</f>
        <v>#REF!</v>
      </c>
      <c r="CO33" t="e">
        <f>AND('Current Index'!#REF!,"AAAAAH7Z71w=")</f>
        <v>#REF!</v>
      </c>
      <c r="CP33" t="e">
        <f>AND('Current Index'!#REF!,"AAAAAH7Z710=")</f>
        <v>#REF!</v>
      </c>
      <c r="CQ33" t="e">
        <f>AND('Current Index'!#REF!,"AAAAAH7Z714=")</f>
        <v>#REF!</v>
      </c>
      <c r="CR33" t="e">
        <f>AND('Current Index'!#REF!,"AAAAAH7Z718=")</f>
        <v>#REF!</v>
      </c>
      <c r="CS33" t="e">
        <f>AND('Current Index'!#REF!,"AAAAAH7Z72A=")</f>
        <v>#REF!</v>
      </c>
      <c r="CT33" t="e">
        <f>AND('Current Index'!#REF!,"AAAAAH7Z72E=")</f>
        <v>#REF!</v>
      </c>
      <c r="CU33" t="e">
        <f>AND('Current Index'!#REF!,"AAAAAH7Z72I=")</f>
        <v>#REF!</v>
      </c>
      <c r="CV33" t="e">
        <f>AND('Current Index'!#REF!,"AAAAAH7Z72M=")</f>
        <v>#REF!</v>
      </c>
      <c r="CW33" t="e">
        <f>AND('Current Index'!#REF!,"AAAAAH7Z72Q=")</f>
        <v>#REF!</v>
      </c>
      <c r="CX33" t="e">
        <f>AND('Current Index'!#REF!,"AAAAAH7Z72U=")</f>
        <v>#REF!</v>
      </c>
      <c r="CY33" t="e">
        <f>IF('Current Index'!#REF!,"AAAAAH7Z72Y=",0)</f>
        <v>#REF!</v>
      </c>
      <c r="CZ33" t="e">
        <f>AND('Current Index'!#REF!,"AAAAAH7Z72c=")</f>
        <v>#REF!</v>
      </c>
      <c r="DA33" t="e">
        <f>AND('Current Index'!#REF!,"AAAAAH7Z72g=")</f>
        <v>#REF!</v>
      </c>
      <c r="DB33" t="e">
        <f>AND('Current Index'!#REF!,"AAAAAH7Z72k=")</f>
        <v>#REF!</v>
      </c>
      <c r="DC33" t="e">
        <f>AND('Current Index'!#REF!,"AAAAAH7Z72o=")</f>
        <v>#REF!</v>
      </c>
      <c r="DD33" t="e">
        <f>AND('Current Index'!#REF!,"AAAAAH7Z72s=")</f>
        <v>#REF!</v>
      </c>
      <c r="DE33" t="e">
        <f>AND('Current Index'!#REF!,"AAAAAH7Z72w=")</f>
        <v>#REF!</v>
      </c>
      <c r="DF33" t="e">
        <f>AND('Current Index'!#REF!,"AAAAAH7Z720=")</f>
        <v>#REF!</v>
      </c>
      <c r="DG33" t="e">
        <f>AND('Current Index'!#REF!,"AAAAAH7Z724=")</f>
        <v>#REF!</v>
      </c>
      <c r="DH33" t="e">
        <f>AND('Current Index'!#REF!,"AAAAAH7Z728=")</f>
        <v>#REF!</v>
      </c>
      <c r="DI33" t="e">
        <f>AND('Current Index'!#REF!,"AAAAAH7Z73A=")</f>
        <v>#REF!</v>
      </c>
      <c r="DJ33">
        <f>IF('Current Index'!823:823,"AAAAAH7Z73E=",0)</f>
        <v>0</v>
      </c>
      <c r="DK33" t="e">
        <f>AND('Current Index'!A823,"AAAAAH7Z73I=")</f>
        <v>#VALUE!</v>
      </c>
      <c r="DL33" t="e">
        <f>AND('Current Index'!#REF!,"AAAAAH7Z73M=")</f>
        <v>#REF!</v>
      </c>
      <c r="DM33" t="e">
        <f>AND('Current Index'!B823,"AAAAAH7Z73Q=")</f>
        <v>#VALUE!</v>
      </c>
      <c r="DN33" t="e">
        <f>AND('Current Index'!C823,"AAAAAH7Z73U=")</f>
        <v>#VALUE!</v>
      </c>
      <c r="DO33" t="e">
        <f>AND('Current Index'!D823,"AAAAAH7Z73Y=")</f>
        <v>#VALUE!</v>
      </c>
      <c r="DP33" t="e">
        <f>AND('Current Index'!E823,"AAAAAH7Z73c=")</f>
        <v>#VALUE!</v>
      </c>
      <c r="DQ33" t="e">
        <f>AND('Current Index'!F823,"AAAAAH7Z73g=")</f>
        <v>#VALUE!</v>
      </c>
      <c r="DR33" t="e">
        <f>AND('Current Index'!G823,"AAAAAH7Z73k=")</f>
        <v>#VALUE!</v>
      </c>
      <c r="DS33" t="e">
        <f>AND('Current Index'!H823,"AAAAAH7Z73o=")</f>
        <v>#VALUE!</v>
      </c>
      <c r="DT33" t="e">
        <f>AND('Current Index'!I823,"AAAAAH7Z73s=")</f>
        <v>#VALUE!</v>
      </c>
      <c r="DU33">
        <f>IF('Current Index'!824:824,"AAAAAH7Z73w=",0)</f>
        <v>0</v>
      </c>
      <c r="DV33" t="e">
        <f>AND('Current Index'!A824,"AAAAAH7Z730=")</f>
        <v>#VALUE!</v>
      </c>
      <c r="DW33" t="e">
        <f>AND('Current Index'!#REF!,"AAAAAH7Z734=")</f>
        <v>#REF!</v>
      </c>
      <c r="DX33" t="e">
        <f>AND('Current Index'!B824,"AAAAAH7Z738=")</f>
        <v>#VALUE!</v>
      </c>
      <c r="DY33" t="e">
        <f>AND('Current Index'!C824,"AAAAAH7Z74A=")</f>
        <v>#VALUE!</v>
      </c>
      <c r="DZ33" t="e">
        <f>AND('Current Index'!D824,"AAAAAH7Z74E=")</f>
        <v>#VALUE!</v>
      </c>
      <c r="EA33" t="e">
        <f>AND('Current Index'!E824,"AAAAAH7Z74I=")</f>
        <v>#VALUE!</v>
      </c>
      <c r="EB33" t="e">
        <f>AND('Current Index'!F824,"AAAAAH7Z74M=")</f>
        <v>#VALUE!</v>
      </c>
      <c r="EC33" t="e">
        <f>AND('Current Index'!G824,"AAAAAH7Z74Q=")</f>
        <v>#VALUE!</v>
      </c>
      <c r="ED33" t="e">
        <f>AND('Current Index'!H824,"AAAAAH7Z74U=")</f>
        <v>#VALUE!</v>
      </c>
      <c r="EE33" t="e">
        <f>AND('Current Index'!I824,"AAAAAH7Z74Y=")</f>
        <v>#VALUE!</v>
      </c>
      <c r="EF33">
        <f>IF('Current Index'!828:828,"AAAAAH7Z74c=",0)</f>
        <v>0</v>
      </c>
      <c r="EG33" t="e">
        <f>AND('Current Index'!A828,"AAAAAH7Z74g=")</f>
        <v>#VALUE!</v>
      </c>
      <c r="EH33" t="e">
        <f>AND('Current Index'!#REF!,"AAAAAH7Z74k=")</f>
        <v>#REF!</v>
      </c>
      <c r="EI33" t="e">
        <f>AND('Current Index'!B828,"AAAAAH7Z74o=")</f>
        <v>#VALUE!</v>
      </c>
      <c r="EJ33" t="e">
        <f>AND('Current Index'!C828,"AAAAAH7Z74s=")</f>
        <v>#VALUE!</v>
      </c>
      <c r="EK33" t="e">
        <f>AND('Current Index'!D828,"AAAAAH7Z74w=")</f>
        <v>#VALUE!</v>
      </c>
      <c r="EL33" t="e">
        <f>AND('Current Index'!E828,"AAAAAH7Z740=")</f>
        <v>#VALUE!</v>
      </c>
      <c r="EM33" t="e">
        <f>AND('Current Index'!F828,"AAAAAH7Z744=")</f>
        <v>#VALUE!</v>
      </c>
      <c r="EN33" t="e">
        <f>AND('Current Index'!G828,"AAAAAH7Z748=")</f>
        <v>#VALUE!</v>
      </c>
      <c r="EO33" t="e">
        <f>AND('Current Index'!H828,"AAAAAH7Z75A=")</f>
        <v>#VALUE!</v>
      </c>
      <c r="EP33" t="e">
        <f>AND('Current Index'!I828,"AAAAAH7Z75E=")</f>
        <v>#VALUE!</v>
      </c>
      <c r="EQ33">
        <f>IF('Current Index'!829:829,"AAAAAH7Z75I=",0)</f>
        <v>0</v>
      </c>
      <c r="ER33" t="e">
        <f>AND('Current Index'!A829,"AAAAAH7Z75M=")</f>
        <v>#VALUE!</v>
      </c>
      <c r="ES33" t="e">
        <f>AND('Current Index'!#REF!,"AAAAAH7Z75Q=")</f>
        <v>#REF!</v>
      </c>
      <c r="ET33" t="e">
        <f>AND('Current Index'!B829,"AAAAAH7Z75U=")</f>
        <v>#VALUE!</v>
      </c>
      <c r="EU33" t="e">
        <f>AND('Current Index'!C829,"AAAAAH7Z75Y=")</f>
        <v>#VALUE!</v>
      </c>
      <c r="EV33" t="e">
        <f>AND('Current Index'!D829,"AAAAAH7Z75c=")</f>
        <v>#VALUE!</v>
      </c>
      <c r="EW33" t="e">
        <f>AND('Current Index'!E829,"AAAAAH7Z75g=")</f>
        <v>#VALUE!</v>
      </c>
      <c r="EX33" t="e">
        <f>AND('Current Index'!F829,"AAAAAH7Z75k=")</f>
        <v>#VALUE!</v>
      </c>
      <c r="EY33" t="e">
        <f>AND('Current Index'!G829,"AAAAAH7Z75o=")</f>
        <v>#VALUE!</v>
      </c>
      <c r="EZ33" t="e">
        <f>AND('Current Index'!H829,"AAAAAH7Z75s=")</f>
        <v>#VALUE!</v>
      </c>
      <c r="FA33" t="e">
        <f>AND('Current Index'!I829,"AAAAAH7Z75w=")</f>
        <v>#VALUE!</v>
      </c>
      <c r="FB33">
        <f>IF('Current Index'!830:830,"AAAAAH7Z750=",0)</f>
        <v>0</v>
      </c>
      <c r="FC33" t="e">
        <f>AND('Current Index'!A830,"AAAAAH7Z754=")</f>
        <v>#VALUE!</v>
      </c>
      <c r="FD33" t="e">
        <f>AND('Current Index'!#REF!,"AAAAAH7Z758=")</f>
        <v>#REF!</v>
      </c>
      <c r="FE33" t="e">
        <f>AND('Current Index'!B830,"AAAAAH7Z76A=")</f>
        <v>#VALUE!</v>
      </c>
      <c r="FF33" t="e">
        <f>AND('Current Index'!C830,"AAAAAH7Z76E=")</f>
        <v>#VALUE!</v>
      </c>
      <c r="FG33" t="e">
        <f>AND('Current Index'!D830,"AAAAAH7Z76I=")</f>
        <v>#VALUE!</v>
      </c>
      <c r="FH33" t="e">
        <f>AND('Current Index'!E830,"AAAAAH7Z76M=")</f>
        <v>#VALUE!</v>
      </c>
      <c r="FI33" t="e">
        <f>AND('Current Index'!F830,"AAAAAH7Z76Q=")</f>
        <v>#VALUE!</v>
      </c>
      <c r="FJ33" t="e">
        <f>AND('Current Index'!G830,"AAAAAH7Z76U=")</f>
        <v>#VALUE!</v>
      </c>
      <c r="FK33" t="e">
        <f>AND('Current Index'!H830,"AAAAAH7Z76Y=")</f>
        <v>#VALUE!</v>
      </c>
      <c r="FL33" t="e">
        <f>AND('Current Index'!I830,"AAAAAH7Z76c=")</f>
        <v>#VALUE!</v>
      </c>
      <c r="FM33">
        <f>IF('Current Index'!831:831,"AAAAAH7Z76g=",0)</f>
        <v>0</v>
      </c>
      <c r="FN33" t="e">
        <f>AND('Current Index'!A831,"AAAAAH7Z76k=")</f>
        <v>#VALUE!</v>
      </c>
      <c r="FO33" t="e">
        <f>AND('Current Index'!#REF!,"AAAAAH7Z76o=")</f>
        <v>#REF!</v>
      </c>
      <c r="FP33" t="e">
        <f>AND('Current Index'!B831,"AAAAAH7Z76s=")</f>
        <v>#VALUE!</v>
      </c>
      <c r="FQ33" t="e">
        <f>AND('Current Index'!C831,"AAAAAH7Z76w=")</f>
        <v>#VALUE!</v>
      </c>
      <c r="FR33" t="e">
        <f>AND('Current Index'!D831,"AAAAAH7Z760=")</f>
        <v>#VALUE!</v>
      </c>
      <c r="FS33" t="e">
        <f>AND('Current Index'!E831,"AAAAAH7Z764=")</f>
        <v>#VALUE!</v>
      </c>
      <c r="FT33" t="e">
        <f>AND('Current Index'!F831,"AAAAAH7Z768=")</f>
        <v>#VALUE!</v>
      </c>
      <c r="FU33" t="e">
        <f>AND('Current Index'!G831,"AAAAAH7Z77A=")</f>
        <v>#VALUE!</v>
      </c>
      <c r="FV33" t="e">
        <f>AND('Current Index'!H831,"AAAAAH7Z77E=")</f>
        <v>#VALUE!</v>
      </c>
      <c r="FW33" t="e">
        <f>AND('Current Index'!I831,"AAAAAH7Z77I=")</f>
        <v>#VALUE!</v>
      </c>
      <c r="FX33">
        <f>IF('Current Index'!832:832,"AAAAAH7Z77M=",0)</f>
        <v>0</v>
      </c>
      <c r="FY33" t="e">
        <f>AND('Current Index'!A832,"AAAAAH7Z77Q=")</f>
        <v>#VALUE!</v>
      </c>
      <c r="FZ33" t="e">
        <f>AND('Current Index'!#REF!,"AAAAAH7Z77U=")</f>
        <v>#REF!</v>
      </c>
      <c r="GA33" t="e">
        <f>AND('Current Index'!B832,"AAAAAH7Z77Y=")</f>
        <v>#VALUE!</v>
      </c>
      <c r="GB33" t="e">
        <f>AND('Current Index'!C832,"AAAAAH7Z77c=")</f>
        <v>#VALUE!</v>
      </c>
      <c r="GC33" t="e">
        <f>AND('Current Index'!D832,"AAAAAH7Z77g=")</f>
        <v>#VALUE!</v>
      </c>
      <c r="GD33" t="e">
        <f>AND('Current Index'!E832,"AAAAAH7Z77k=")</f>
        <v>#VALUE!</v>
      </c>
      <c r="GE33" t="e">
        <f>AND('Current Index'!F832,"AAAAAH7Z77o=")</f>
        <v>#VALUE!</v>
      </c>
      <c r="GF33" t="e">
        <f>AND('Current Index'!G832,"AAAAAH7Z77s=")</f>
        <v>#VALUE!</v>
      </c>
      <c r="GG33" t="e">
        <f>AND('Current Index'!H832,"AAAAAH7Z77w=")</f>
        <v>#VALUE!</v>
      </c>
      <c r="GH33" t="e">
        <f>AND('Current Index'!I832,"AAAAAH7Z770=")</f>
        <v>#VALUE!</v>
      </c>
      <c r="GI33">
        <f>IF('Current Index'!833:833,"AAAAAH7Z774=",0)</f>
        <v>0</v>
      </c>
      <c r="GJ33" t="e">
        <f>AND('Current Index'!A833,"AAAAAH7Z778=")</f>
        <v>#VALUE!</v>
      </c>
      <c r="GK33" t="e">
        <f>AND('Current Index'!#REF!,"AAAAAH7Z78A=")</f>
        <v>#REF!</v>
      </c>
      <c r="GL33" t="e">
        <f>AND('Current Index'!B833,"AAAAAH7Z78E=")</f>
        <v>#VALUE!</v>
      </c>
      <c r="GM33" t="e">
        <f>AND('Current Index'!C833,"AAAAAH7Z78I=")</f>
        <v>#VALUE!</v>
      </c>
      <c r="GN33" t="e">
        <f>AND('Current Index'!D833,"AAAAAH7Z78M=")</f>
        <v>#VALUE!</v>
      </c>
      <c r="GO33" t="e">
        <f>AND('Current Index'!E833,"AAAAAH7Z78Q=")</f>
        <v>#VALUE!</v>
      </c>
      <c r="GP33" t="e">
        <f>AND('Current Index'!F833,"AAAAAH7Z78U=")</f>
        <v>#VALUE!</v>
      </c>
      <c r="GQ33" t="e">
        <f>AND('Current Index'!G833,"AAAAAH7Z78Y=")</f>
        <v>#VALUE!</v>
      </c>
      <c r="GR33" t="e">
        <f>AND('Current Index'!H833,"AAAAAH7Z78c=")</f>
        <v>#VALUE!</v>
      </c>
      <c r="GS33" t="e">
        <f>AND('Current Index'!I833,"AAAAAH7Z78g=")</f>
        <v>#VALUE!</v>
      </c>
      <c r="GT33">
        <f>IF('Current Index'!834:834,"AAAAAH7Z78k=",0)</f>
        <v>0</v>
      </c>
      <c r="GU33" t="e">
        <f>AND('Current Index'!A834,"AAAAAH7Z78o=")</f>
        <v>#VALUE!</v>
      </c>
      <c r="GV33" t="e">
        <f>AND('Current Index'!#REF!,"AAAAAH7Z78s=")</f>
        <v>#REF!</v>
      </c>
      <c r="GW33" t="e">
        <f>AND('Current Index'!B834,"AAAAAH7Z78w=")</f>
        <v>#VALUE!</v>
      </c>
      <c r="GX33" t="e">
        <f>AND('Current Index'!C834,"AAAAAH7Z780=")</f>
        <v>#VALUE!</v>
      </c>
      <c r="GY33" t="e">
        <f>AND('Current Index'!D834,"AAAAAH7Z784=")</f>
        <v>#VALUE!</v>
      </c>
      <c r="GZ33" t="e">
        <f>AND('Current Index'!E834,"AAAAAH7Z788=")</f>
        <v>#VALUE!</v>
      </c>
      <c r="HA33" t="e">
        <f>AND('Current Index'!F834,"AAAAAH7Z79A=")</f>
        <v>#VALUE!</v>
      </c>
      <c r="HB33" t="e">
        <f>AND('Current Index'!G834,"AAAAAH7Z79E=")</f>
        <v>#VALUE!</v>
      </c>
      <c r="HC33" t="e">
        <f>AND('Current Index'!H834,"AAAAAH7Z79I=")</f>
        <v>#VALUE!</v>
      </c>
      <c r="HD33" t="e">
        <f>AND('Current Index'!I834,"AAAAAH7Z79M=")</f>
        <v>#VALUE!</v>
      </c>
      <c r="HE33">
        <f>IF('Current Index'!835:835,"AAAAAH7Z79Q=",0)</f>
        <v>0</v>
      </c>
      <c r="HF33" t="e">
        <f>AND('Current Index'!A835,"AAAAAH7Z79U=")</f>
        <v>#VALUE!</v>
      </c>
      <c r="HG33" t="e">
        <f>AND('Current Index'!#REF!,"AAAAAH7Z79Y=")</f>
        <v>#REF!</v>
      </c>
      <c r="HH33" t="e">
        <f>AND('Current Index'!B835,"AAAAAH7Z79c=")</f>
        <v>#VALUE!</v>
      </c>
      <c r="HI33" t="e">
        <f>AND('Current Index'!C835,"AAAAAH7Z79g=")</f>
        <v>#VALUE!</v>
      </c>
      <c r="HJ33" t="e">
        <f>AND('Current Index'!D835,"AAAAAH7Z79k=")</f>
        <v>#VALUE!</v>
      </c>
      <c r="HK33" t="e">
        <f>AND('Current Index'!E835,"AAAAAH7Z79o=")</f>
        <v>#VALUE!</v>
      </c>
      <c r="HL33" t="e">
        <f>AND('Current Index'!F835,"AAAAAH7Z79s=")</f>
        <v>#VALUE!</v>
      </c>
      <c r="HM33" t="e">
        <f>AND('Current Index'!G835,"AAAAAH7Z79w=")</f>
        <v>#VALUE!</v>
      </c>
      <c r="HN33" t="e">
        <f>AND('Current Index'!H835,"AAAAAH7Z790=")</f>
        <v>#VALUE!</v>
      </c>
      <c r="HO33" t="e">
        <f>AND('Current Index'!I835,"AAAAAH7Z794=")</f>
        <v>#VALUE!</v>
      </c>
      <c r="HP33">
        <f>IF('Current Index'!836:836,"AAAAAH7Z798=",0)</f>
        <v>0</v>
      </c>
      <c r="HQ33" t="e">
        <f>AND('Current Index'!A836,"AAAAAH7Z7+A=")</f>
        <v>#VALUE!</v>
      </c>
      <c r="HR33" t="e">
        <f>AND('Current Index'!#REF!,"AAAAAH7Z7+E=")</f>
        <v>#REF!</v>
      </c>
      <c r="HS33" t="e">
        <f>AND('Current Index'!B836,"AAAAAH7Z7+I=")</f>
        <v>#VALUE!</v>
      </c>
      <c r="HT33" t="e">
        <f>AND('Current Index'!C836,"AAAAAH7Z7+M=")</f>
        <v>#VALUE!</v>
      </c>
      <c r="HU33" t="e">
        <f>AND('Current Index'!D836,"AAAAAH7Z7+Q=")</f>
        <v>#VALUE!</v>
      </c>
      <c r="HV33" t="e">
        <f>AND('Current Index'!E836,"AAAAAH7Z7+U=")</f>
        <v>#VALUE!</v>
      </c>
      <c r="HW33" t="e">
        <f>AND('Current Index'!F836,"AAAAAH7Z7+Y=")</f>
        <v>#VALUE!</v>
      </c>
      <c r="HX33" t="e">
        <f>AND('Current Index'!G836,"AAAAAH7Z7+c=")</f>
        <v>#VALUE!</v>
      </c>
      <c r="HY33" t="e">
        <f>AND('Current Index'!H836,"AAAAAH7Z7+g=")</f>
        <v>#VALUE!</v>
      </c>
      <c r="HZ33" t="e">
        <f>AND('Current Index'!I836,"AAAAAH7Z7+k=")</f>
        <v>#VALUE!</v>
      </c>
      <c r="IA33">
        <f>IF('Current Index'!837:837,"AAAAAH7Z7+o=",0)</f>
        <v>0</v>
      </c>
      <c r="IB33" t="e">
        <f>AND('Current Index'!A837,"AAAAAH7Z7+s=")</f>
        <v>#VALUE!</v>
      </c>
      <c r="IC33" t="e">
        <f>AND('Current Index'!#REF!,"AAAAAH7Z7+w=")</f>
        <v>#REF!</v>
      </c>
      <c r="ID33" t="e">
        <f>AND('Current Index'!B837,"AAAAAH7Z7+0=")</f>
        <v>#VALUE!</v>
      </c>
      <c r="IE33" t="e">
        <f>AND('Current Index'!C837,"AAAAAH7Z7+4=")</f>
        <v>#VALUE!</v>
      </c>
      <c r="IF33" t="e">
        <f>AND('Current Index'!D837,"AAAAAH7Z7+8=")</f>
        <v>#VALUE!</v>
      </c>
      <c r="IG33" t="e">
        <f>AND('Current Index'!E837,"AAAAAH7Z7/A=")</f>
        <v>#VALUE!</v>
      </c>
      <c r="IH33" t="e">
        <f>AND('Current Index'!F837,"AAAAAH7Z7/E=")</f>
        <v>#VALUE!</v>
      </c>
      <c r="II33" t="e">
        <f>AND('Current Index'!G837,"AAAAAH7Z7/I=")</f>
        <v>#VALUE!</v>
      </c>
      <c r="IJ33" t="e">
        <f>AND('Current Index'!H837,"AAAAAH7Z7/M=")</f>
        <v>#VALUE!</v>
      </c>
      <c r="IK33" t="e">
        <f>AND('Current Index'!I837,"AAAAAH7Z7/Q=")</f>
        <v>#VALUE!</v>
      </c>
      <c r="IL33">
        <f>IF('Current Index'!838:838,"AAAAAH7Z7/U=",0)</f>
        <v>0</v>
      </c>
      <c r="IM33" t="e">
        <f>AND('Current Index'!A838,"AAAAAH7Z7/Y=")</f>
        <v>#VALUE!</v>
      </c>
      <c r="IN33" t="e">
        <f>AND('Current Index'!#REF!,"AAAAAH7Z7/c=")</f>
        <v>#REF!</v>
      </c>
      <c r="IO33" t="e">
        <f>AND('Current Index'!B838,"AAAAAH7Z7/g=")</f>
        <v>#VALUE!</v>
      </c>
      <c r="IP33" t="e">
        <f>AND('Current Index'!C838,"AAAAAH7Z7/k=")</f>
        <v>#VALUE!</v>
      </c>
      <c r="IQ33" t="e">
        <f>AND('Current Index'!D838,"AAAAAH7Z7/o=")</f>
        <v>#VALUE!</v>
      </c>
      <c r="IR33" t="e">
        <f>AND('Current Index'!E838,"AAAAAH7Z7/s=")</f>
        <v>#VALUE!</v>
      </c>
      <c r="IS33" t="e">
        <f>AND('Current Index'!F838,"AAAAAH7Z7/w=")</f>
        <v>#VALUE!</v>
      </c>
      <c r="IT33" t="e">
        <f>AND('Current Index'!G838,"AAAAAH7Z7/0=")</f>
        <v>#VALUE!</v>
      </c>
      <c r="IU33" t="e">
        <f>AND('Current Index'!H838,"AAAAAH7Z7/4=")</f>
        <v>#VALUE!</v>
      </c>
      <c r="IV33" t="e">
        <f>AND('Current Index'!I838,"AAAAAH7Z7/8=")</f>
        <v>#VALUE!</v>
      </c>
    </row>
    <row r="34" spans="1:256" x14ac:dyDescent="0.25">
      <c r="A34">
        <f>IF('Current Index'!839:839,"AAAAAEw8eQA=",0)</f>
        <v>0</v>
      </c>
      <c r="B34" t="e">
        <f>AND('Current Index'!A839,"AAAAAEw8eQE=")</f>
        <v>#VALUE!</v>
      </c>
      <c r="C34" t="e">
        <f>AND('Current Index'!#REF!,"AAAAAEw8eQI=")</f>
        <v>#REF!</v>
      </c>
      <c r="D34" t="e">
        <f>AND('Current Index'!B839,"AAAAAEw8eQM=")</f>
        <v>#VALUE!</v>
      </c>
      <c r="E34" t="e">
        <f>AND('Current Index'!C839,"AAAAAEw8eQQ=")</f>
        <v>#VALUE!</v>
      </c>
      <c r="F34" t="e">
        <f>AND('Current Index'!D839,"AAAAAEw8eQU=")</f>
        <v>#VALUE!</v>
      </c>
      <c r="G34" t="e">
        <f>AND('Current Index'!E839,"AAAAAEw8eQY=")</f>
        <v>#VALUE!</v>
      </c>
      <c r="H34" t="e">
        <f>AND('Current Index'!F839,"AAAAAEw8eQc=")</f>
        <v>#VALUE!</v>
      </c>
      <c r="I34" t="e">
        <f>AND('Current Index'!G839,"AAAAAEw8eQg=")</f>
        <v>#VALUE!</v>
      </c>
      <c r="J34" t="e">
        <f>AND('Current Index'!H839,"AAAAAEw8eQk=")</f>
        <v>#VALUE!</v>
      </c>
      <c r="K34" t="e">
        <f>AND('Current Index'!I839,"AAAAAEw8eQo=")</f>
        <v>#VALUE!</v>
      </c>
      <c r="L34">
        <f>IF('Current Index'!840:840,"AAAAAEw8eQs=",0)</f>
        <v>0</v>
      </c>
      <c r="M34" t="e">
        <f>AND('Current Index'!A840,"AAAAAEw8eQw=")</f>
        <v>#VALUE!</v>
      </c>
      <c r="N34" t="e">
        <f>AND('Current Index'!#REF!,"AAAAAEw8eQ0=")</f>
        <v>#REF!</v>
      </c>
      <c r="O34" t="e">
        <f>AND('Current Index'!B840,"AAAAAEw8eQ4=")</f>
        <v>#VALUE!</v>
      </c>
      <c r="P34" t="e">
        <f>AND('Current Index'!C840,"AAAAAEw8eQ8=")</f>
        <v>#VALUE!</v>
      </c>
      <c r="Q34" t="e">
        <f>AND('Current Index'!D840,"AAAAAEw8eRA=")</f>
        <v>#VALUE!</v>
      </c>
      <c r="R34" t="e">
        <f>AND('Current Index'!E840,"AAAAAEw8eRE=")</f>
        <v>#VALUE!</v>
      </c>
      <c r="S34" t="e">
        <f>AND('Current Index'!F840,"AAAAAEw8eRI=")</f>
        <v>#VALUE!</v>
      </c>
      <c r="T34" t="e">
        <f>AND('Current Index'!G840,"AAAAAEw8eRM=")</f>
        <v>#VALUE!</v>
      </c>
      <c r="U34" t="e">
        <f>AND('Current Index'!H840,"AAAAAEw8eRQ=")</f>
        <v>#VALUE!</v>
      </c>
      <c r="V34" t="e">
        <f>AND('Current Index'!I840,"AAAAAEw8eRU=")</f>
        <v>#VALUE!</v>
      </c>
      <c r="W34" t="e">
        <f>IF('Current Index'!#REF!,"AAAAAEw8eRY=",0)</f>
        <v>#REF!</v>
      </c>
      <c r="X34" t="e">
        <f>AND('Current Index'!#REF!,"AAAAAEw8eRc=")</f>
        <v>#REF!</v>
      </c>
      <c r="Y34" t="e">
        <f>AND('Current Index'!#REF!,"AAAAAEw8eRg=")</f>
        <v>#REF!</v>
      </c>
      <c r="Z34" t="e">
        <f>AND('Current Index'!#REF!,"AAAAAEw8eRk=")</f>
        <v>#REF!</v>
      </c>
      <c r="AA34" t="e">
        <f>AND('Current Index'!#REF!,"AAAAAEw8eRo=")</f>
        <v>#REF!</v>
      </c>
      <c r="AB34" t="e">
        <f>AND('Current Index'!#REF!,"AAAAAEw8eRs=")</f>
        <v>#REF!</v>
      </c>
      <c r="AC34" t="e">
        <f>AND('Current Index'!#REF!,"AAAAAEw8eRw=")</f>
        <v>#REF!</v>
      </c>
      <c r="AD34" t="e">
        <f>AND('Current Index'!#REF!,"AAAAAEw8eR0=")</f>
        <v>#REF!</v>
      </c>
      <c r="AE34" t="e">
        <f>AND('Current Index'!#REF!,"AAAAAEw8eR4=")</f>
        <v>#REF!</v>
      </c>
      <c r="AF34" t="e">
        <f>AND('Current Index'!#REF!,"AAAAAEw8eR8=")</f>
        <v>#REF!</v>
      </c>
      <c r="AG34" t="e">
        <f>AND('Current Index'!#REF!,"AAAAAEw8eSA=")</f>
        <v>#REF!</v>
      </c>
      <c r="AH34">
        <f>IF('Current Index'!841:841,"AAAAAEw8eSE=",0)</f>
        <v>0</v>
      </c>
      <c r="AI34" t="e">
        <f>AND('Current Index'!A841,"AAAAAEw8eSI=")</f>
        <v>#VALUE!</v>
      </c>
      <c r="AJ34" t="e">
        <f>AND('Current Index'!#REF!,"AAAAAEw8eSM=")</f>
        <v>#REF!</v>
      </c>
      <c r="AK34" t="e">
        <f>AND('Current Index'!B841,"AAAAAEw8eSQ=")</f>
        <v>#VALUE!</v>
      </c>
      <c r="AL34" t="e">
        <f>AND('Current Index'!C841,"AAAAAEw8eSU=")</f>
        <v>#VALUE!</v>
      </c>
      <c r="AM34" t="e">
        <f>AND('Current Index'!D841,"AAAAAEw8eSY=")</f>
        <v>#VALUE!</v>
      </c>
      <c r="AN34" t="e">
        <f>AND('Current Index'!E841,"AAAAAEw8eSc=")</f>
        <v>#VALUE!</v>
      </c>
      <c r="AO34" t="e">
        <f>AND('Current Index'!F841,"AAAAAEw8eSg=")</f>
        <v>#VALUE!</v>
      </c>
      <c r="AP34" t="e">
        <f>AND('Current Index'!G841,"AAAAAEw8eSk=")</f>
        <v>#VALUE!</v>
      </c>
      <c r="AQ34" t="e">
        <f>AND('Current Index'!H841,"AAAAAEw8eSo=")</f>
        <v>#VALUE!</v>
      </c>
      <c r="AR34" t="e">
        <f>AND('Current Index'!I841,"AAAAAEw8eSs=")</f>
        <v>#VALUE!</v>
      </c>
      <c r="AS34">
        <f>IF('Current Index'!842:842,"AAAAAEw8eSw=",0)</f>
        <v>0</v>
      </c>
      <c r="AT34" t="e">
        <f>AND('Current Index'!A842,"AAAAAEw8eS0=")</f>
        <v>#VALUE!</v>
      </c>
      <c r="AU34" t="e">
        <f>AND('Current Index'!#REF!,"AAAAAEw8eS4=")</f>
        <v>#REF!</v>
      </c>
      <c r="AV34" t="e">
        <f>AND('Current Index'!B842,"AAAAAEw8eS8=")</f>
        <v>#VALUE!</v>
      </c>
      <c r="AW34" t="e">
        <f>AND('Current Index'!C842,"AAAAAEw8eTA=")</f>
        <v>#VALUE!</v>
      </c>
      <c r="AX34" t="e">
        <f>AND('Current Index'!D842,"AAAAAEw8eTE=")</f>
        <v>#VALUE!</v>
      </c>
      <c r="AY34" t="e">
        <f>AND('Current Index'!E842,"AAAAAEw8eTI=")</f>
        <v>#VALUE!</v>
      </c>
      <c r="AZ34" t="e">
        <f>AND('Current Index'!F842,"AAAAAEw8eTM=")</f>
        <v>#VALUE!</v>
      </c>
      <c r="BA34" t="e">
        <f>AND('Current Index'!G842,"AAAAAEw8eTQ=")</f>
        <v>#VALUE!</v>
      </c>
      <c r="BB34" t="e">
        <f>AND('Current Index'!H842,"AAAAAEw8eTU=")</f>
        <v>#VALUE!</v>
      </c>
      <c r="BC34" t="e">
        <f>AND('Current Index'!I842,"AAAAAEw8eTY=")</f>
        <v>#VALUE!</v>
      </c>
      <c r="BD34">
        <f>IF('Current Index'!843:843,"AAAAAEw8eTc=",0)</f>
        <v>0</v>
      </c>
      <c r="BE34" t="e">
        <f>AND('Current Index'!A843,"AAAAAEw8eTg=")</f>
        <v>#VALUE!</v>
      </c>
      <c r="BF34" t="e">
        <f>AND('Current Index'!#REF!,"AAAAAEw8eTk=")</f>
        <v>#REF!</v>
      </c>
      <c r="BG34" t="e">
        <f>AND('Current Index'!B843,"AAAAAEw8eTo=")</f>
        <v>#VALUE!</v>
      </c>
      <c r="BH34" t="e">
        <f>AND('Current Index'!C843,"AAAAAEw8eTs=")</f>
        <v>#VALUE!</v>
      </c>
      <c r="BI34" t="e">
        <f>AND('Current Index'!D843,"AAAAAEw8eTw=")</f>
        <v>#VALUE!</v>
      </c>
      <c r="BJ34" t="e">
        <f>AND('Current Index'!E843,"AAAAAEw8eT0=")</f>
        <v>#VALUE!</v>
      </c>
      <c r="BK34" t="e">
        <f>AND('Current Index'!F843,"AAAAAEw8eT4=")</f>
        <v>#VALUE!</v>
      </c>
      <c r="BL34" t="e">
        <f>AND('Current Index'!G843,"AAAAAEw8eT8=")</f>
        <v>#VALUE!</v>
      </c>
      <c r="BM34" t="e">
        <f>AND('Current Index'!H843,"AAAAAEw8eUA=")</f>
        <v>#VALUE!</v>
      </c>
      <c r="BN34" t="e">
        <f>AND('Current Index'!I843,"AAAAAEw8eUE=")</f>
        <v>#VALUE!</v>
      </c>
      <c r="BO34">
        <f>IF('Current Index'!844:844,"AAAAAEw8eUI=",0)</f>
        <v>0</v>
      </c>
      <c r="BP34" t="e">
        <f>AND('Current Index'!A844,"AAAAAEw8eUM=")</f>
        <v>#VALUE!</v>
      </c>
      <c r="BQ34" t="e">
        <f>AND('Current Index'!#REF!,"AAAAAEw8eUQ=")</f>
        <v>#REF!</v>
      </c>
      <c r="BR34" t="e">
        <f>AND('Current Index'!B844,"AAAAAEw8eUU=")</f>
        <v>#VALUE!</v>
      </c>
      <c r="BS34" t="e">
        <f>AND('Current Index'!C844,"AAAAAEw8eUY=")</f>
        <v>#VALUE!</v>
      </c>
      <c r="BT34" t="e">
        <f>AND('Current Index'!D844,"AAAAAEw8eUc=")</f>
        <v>#VALUE!</v>
      </c>
      <c r="BU34" t="e">
        <f>AND('Current Index'!E844,"AAAAAEw8eUg=")</f>
        <v>#VALUE!</v>
      </c>
      <c r="BV34" t="e">
        <f>AND('Current Index'!F844,"AAAAAEw8eUk=")</f>
        <v>#VALUE!</v>
      </c>
      <c r="BW34" t="e">
        <f>AND('Current Index'!G844,"AAAAAEw8eUo=")</f>
        <v>#VALUE!</v>
      </c>
      <c r="BX34" t="e">
        <f>AND('Current Index'!H844,"AAAAAEw8eUs=")</f>
        <v>#VALUE!</v>
      </c>
      <c r="BY34" t="e">
        <f>AND('Current Index'!I844,"AAAAAEw8eUw=")</f>
        <v>#VALUE!</v>
      </c>
      <c r="BZ34">
        <f>IF('Current Index'!845:845,"AAAAAEw8eU0=",0)</f>
        <v>0</v>
      </c>
      <c r="CA34" t="e">
        <f>AND('Current Index'!A845,"AAAAAEw8eU4=")</f>
        <v>#VALUE!</v>
      </c>
      <c r="CB34" t="e">
        <f>AND('Current Index'!#REF!,"AAAAAEw8eU8=")</f>
        <v>#REF!</v>
      </c>
      <c r="CC34" t="e">
        <f>AND('Current Index'!B845,"AAAAAEw8eVA=")</f>
        <v>#VALUE!</v>
      </c>
      <c r="CD34" t="e">
        <f>AND('Current Index'!C845,"AAAAAEw8eVE=")</f>
        <v>#VALUE!</v>
      </c>
      <c r="CE34" t="e">
        <f>AND('Current Index'!D845,"AAAAAEw8eVI=")</f>
        <v>#VALUE!</v>
      </c>
      <c r="CF34" t="e">
        <f>AND('Current Index'!E845,"AAAAAEw8eVM=")</f>
        <v>#VALUE!</v>
      </c>
      <c r="CG34" t="e">
        <f>AND('Current Index'!F845,"AAAAAEw8eVQ=")</f>
        <v>#VALUE!</v>
      </c>
      <c r="CH34" t="e">
        <f>AND('Current Index'!G845,"AAAAAEw8eVU=")</f>
        <v>#VALUE!</v>
      </c>
      <c r="CI34" t="e">
        <f>AND('Current Index'!H845,"AAAAAEw8eVY=")</f>
        <v>#VALUE!</v>
      </c>
      <c r="CJ34" t="e">
        <f>AND('Current Index'!I845,"AAAAAEw8eVc=")</f>
        <v>#VALUE!</v>
      </c>
      <c r="CK34" t="e">
        <f>IF('Current Index'!#REF!,"AAAAAEw8eVg=",0)</f>
        <v>#REF!</v>
      </c>
      <c r="CL34" t="e">
        <f>AND('Current Index'!#REF!,"AAAAAEw8eVk=")</f>
        <v>#REF!</v>
      </c>
      <c r="CM34" t="e">
        <f>AND('Current Index'!#REF!,"AAAAAEw8eVo=")</f>
        <v>#REF!</v>
      </c>
      <c r="CN34" t="e">
        <f>AND('Current Index'!#REF!,"AAAAAEw8eVs=")</f>
        <v>#REF!</v>
      </c>
      <c r="CO34" t="e">
        <f>AND('Current Index'!#REF!,"AAAAAEw8eVw=")</f>
        <v>#REF!</v>
      </c>
      <c r="CP34" t="e">
        <f>AND('Current Index'!#REF!,"AAAAAEw8eV0=")</f>
        <v>#REF!</v>
      </c>
      <c r="CQ34" t="e">
        <f>AND('Current Index'!#REF!,"AAAAAEw8eV4=")</f>
        <v>#REF!</v>
      </c>
      <c r="CR34" t="e">
        <f>AND('Current Index'!#REF!,"AAAAAEw8eV8=")</f>
        <v>#REF!</v>
      </c>
      <c r="CS34" t="e">
        <f>AND('Current Index'!#REF!,"AAAAAEw8eWA=")</f>
        <v>#REF!</v>
      </c>
      <c r="CT34" t="e">
        <f>AND('Current Index'!#REF!,"AAAAAEw8eWE=")</f>
        <v>#REF!</v>
      </c>
      <c r="CU34" t="e">
        <f>AND('Current Index'!#REF!,"AAAAAEw8eWI=")</f>
        <v>#REF!</v>
      </c>
      <c r="CV34">
        <f>IF('Current Index'!846:846,"AAAAAEw8eWM=",0)</f>
        <v>0</v>
      </c>
      <c r="CW34" t="e">
        <f>AND('Current Index'!A846,"AAAAAEw8eWQ=")</f>
        <v>#VALUE!</v>
      </c>
      <c r="CX34" t="e">
        <f>AND('Current Index'!#REF!,"AAAAAEw8eWU=")</f>
        <v>#REF!</v>
      </c>
      <c r="CY34" t="e">
        <f>AND('Current Index'!B846,"AAAAAEw8eWY=")</f>
        <v>#VALUE!</v>
      </c>
      <c r="CZ34" t="e">
        <f>AND('Current Index'!C846,"AAAAAEw8eWc=")</f>
        <v>#VALUE!</v>
      </c>
      <c r="DA34" t="e">
        <f>AND('Current Index'!D846,"AAAAAEw8eWg=")</f>
        <v>#VALUE!</v>
      </c>
      <c r="DB34" t="e">
        <f>AND('Current Index'!E846,"AAAAAEw8eWk=")</f>
        <v>#VALUE!</v>
      </c>
      <c r="DC34" t="e">
        <f>AND('Current Index'!F846,"AAAAAEw8eWo=")</f>
        <v>#VALUE!</v>
      </c>
      <c r="DD34" t="e">
        <f>AND('Current Index'!G846,"AAAAAEw8eWs=")</f>
        <v>#VALUE!</v>
      </c>
      <c r="DE34" t="e">
        <f>AND('Current Index'!H846,"AAAAAEw8eWw=")</f>
        <v>#VALUE!</v>
      </c>
      <c r="DF34" t="e">
        <f>AND('Current Index'!I846,"AAAAAEw8eW0=")</f>
        <v>#VALUE!</v>
      </c>
      <c r="DG34">
        <f>IF('Current Index'!847:847,"AAAAAEw8eW4=",0)</f>
        <v>0</v>
      </c>
      <c r="DH34" t="e">
        <f>AND('Current Index'!A847,"AAAAAEw8eW8=")</f>
        <v>#VALUE!</v>
      </c>
      <c r="DI34" t="e">
        <f>AND('Current Index'!#REF!,"AAAAAEw8eXA=")</f>
        <v>#REF!</v>
      </c>
      <c r="DJ34" t="e">
        <f>AND('Current Index'!B847,"AAAAAEw8eXE=")</f>
        <v>#VALUE!</v>
      </c>
      <c r="DK34" t="e">
        <f>AND('Current Index'!C847,"AAAAAEw8eXI=")</f>
        <v>#VALUE!</v>
      </c>
      <c r="DL34" t="e">
        <f>AND('Current Index'!D847,"AAAAAEw8eXM=")</f>
        <v>#VALUE!</v>
      </c>
      <c r="DM34" t="e">
        <f>AND('Current Index'!E847,"AAAAAEw8eXQ=")</f>
        <v>#VALUE!</v>
      </c>
      <c r="DN34" t="e">
        <f>AND('Current Index'!F847,"AAAAAEw8eXU=")</f>
        <v>#VALUE!</v>
      </c>
      <c r="DO34" t="e">
        <f>AND('Current Index'!G847,"AAAAAEw8eXY=")</f>
        <v>#VALUE!</v>
      </c>
      <c r="DP34" t="e">
        <f>AND('Current Index'!H847,"AAAAAEw8eXc=")</f>
        <v>#VALUE!</v>
      </c>
      <c r="DQ34" t="e">
        <f>AND('Current Index'!I847,"AAAAAEw8eXg=")</f>
        <v>#VALUE!</v>
      </c>
      <c r="DR34">
        <f>IF('Current Index'!848:848,"AAAAAEw8eXk=",0)</f>
        <v>0</v>
      </c>
      <c r="DS34" t="e">
        <f>AND('Current Index'!A848,"AAAAAEw8eXo=")</f>
        <v>#VALUE!</v>
      </c>
      <c r="DT34" t="e">
        <f>AND('Current Index'!#REF!,"AAAAAEw8eXs=")</f>
        <v>#REF!</v>
      </c>
      <c r="DU34" t="e">
        <f>AND('Current Index'!B848,"AAAAAEw8eXw=")</f>
        <v>#VALUE!</v>
      </c>
      <c r="DV34" t="e">
        <f>AND('Current Index'!C848,"AAAAAEw8eX0=")</f>
        <v>#VALUE!</v>
      </c>
      <c r="DW34" t="e">
        <f>AND('Current Index'!D848,"AAAAAEw8eX4=")</f>
        <v>#VALUE!</v>
      </c>
      <c r="DX34" t="e">
        <f>AND('Current Index'!E848,"AAAAAEw8eX8=")</f>
        <v>#VALUE!</v>
      </c>
      <c r="DY34" t="e">
        <f>AND('Current Index'!F848,"AAAAAEw8eYA=")</f>
        <v>#VALUE!</v>
      </c>
      <c r="DZ34" t="e">
        <f>AND('Current Index'!G848,"AAAAAEw8eYE=")</f>
        <v>#VALUE!</v>
      </c>
      <c r="EA34" t="e">
        <f>AND('Current Index'!H848,"AAAAAEw8eYI=")</f>
        <v>#VALUE!</v>
      </c>
      <c r="EB34" t="e">
        <f>AND('Current Index'!I848,"AAAAAEw8eYM=")</f>
        <v>#VALUE!</v>
      </c>
      <c r="EC34">
        <f>IF('Current Index'!849:849,"AAAAAEw8eYQ=",0)</f>
        <v>0</v>
      </c>
      <c r="ED34" t="e">
        <f>AND('Current Index'!A849,"AAAAAEw8eYU=")</f>
        <v>#VALUE!</v>
      </c>
      <c r="EE34" t="e">
        <f>AND('Current Index'!#REF!,"AAAAAEw8eYY=")</f>
        <v>#REF!</v>
      </c>
      <c r="EF34" t="e">
        <f>AND('Current Index'!B849,"AAAAAEw8eYc=")</f>
        <v>#VALUE!</v>
      </c>
      <c r="EG34" t="e">
        <f>AND('Current Index'!C849,"AAAAAEw8eYg=")</f>
        <v>#VALUE!</v>
      </c>
      <c r="EH34" t="e">
        <f>AND('Current Index'!D849,"AAAAAEw8eYk=")</f>
        <v>#VALUE!</v>
      </c>
      <c r="EI34" t="e">
        <f>AND('Current Index'!E849,"AAAAAEw8eYo=")</f>
        <v>#VALUE!</v>
      </c>
      <c r="EJ34" t="e">
        <f>AND('Current Index'!F849,"AAAAAEw8eYs=")</f>
        <v>#VALUE!</v>
      </c>
      <c r="EK34" t="e">
        <f>AND('Current Index'!G849,"AAAAAEw8eYw=")</f>
        <v>#VALUE!</v>
      </c>
      <c r="EL34" t="e">
        <f>AND('Current Index'!H849,"AAAAAEw8eY0=")</f>
        <v>#VALUE!</v>
      </c>
      <c r="EM34" t="e">
        <f>AND('Current Index'!I849,"AAAAAEw8eY4=")</f>
        <v>#VALUE!</v>
      </c>
      <c r="EN34">
        <f>IF('Current Index'!850:850,"AAAAAEw8eY8=",0)</f>
        <v>0</v>
      </c>
      <c r="EO34" t="e">
        <f>AND('Current Index'!A850,"AAAAAEw8eZA=")</f>
        <v>#VALUE!</v>
      </c>
      <c r="EP34" t="e">
        <f>AND('Current Index'!#REF!,"AAAAAEw8eZE=")</f>
        <v>#REF!</v>
      </c>
      <c r="EQ34" t="e">
        <f>AND('Current Index'!B850,"AAAAAEw8eZI=")</f>
        <v>#VALUE!</v>
      </c>
      <c r="ER34" t="e">
        <f>AND('Current Index'!C850,"AAAAAEw8eZM=")</f>
        <v>#VALUE!</v>
      </c>
      <c r="ES34" t="e">
        <f>AND('Current Index'!D850,"AAAAAEw8eZQ=")</f>
        <v>#VALUE!</v>
      </c>
      <c r="ET34" t="e">
        <f>AND('Current Index'!E850,"AAAAAEw8eZU=")</f>
        <v>#VALUE!</v>
      </c>
      <c r="EU34" t="e">
        <f>AND('Current Index'!F850,"AAAAAEw8eZY=")</f>
        <v>#VALUE!</v>
      </c>
      <c r="EV34" t="e">
        <f>AND('Current Index'!G850,"AAAAAEw8eZc=")</f>
        <v>#VALUE!</v>
      </c>
      <c r="EW34" t="e">
        <f>AND('Current Index'!H850,"AAAAAEw8eZg=")</f>
        <v>#VALUE!</v>
      </c>
      <c r="EX34" t="e">
        <f>AND('Current Index'!I850,"AAAAAEw8eZk=")</f>
        <v>#VALUE!</v>
      </c>
      <c r="EY34">
        <f>IF('Current Index'!851:851,"AAAAAEw8eZo=",0)</f>
        <v>0</v>
      </c>
      <c r="EZ34" t="e">
        <f>AND('Current Index'!A851,"AAAAAEw8eZs=")</f>
        <v>#VALUE!</v>
      </c>
      <c r="FA34" t="e">
        <f>AND('Current Index'!#REF!,"AAAAAEw8eZw=")</f>
        <v>#REF!</v>
      </c>
      <c r="FB34" t="e">
        <f>AND('Current Index'!B851,"AAAAAEw8eZ0=")</f>
        <v>#VALUE!</v>
      </c>
      <c r="FC34" t="e">
        <f>AND('Current Index'!C851,"AAAAAEw8eZ4=")</f>
        <v>#VALUE!</v>
      </c>
      <c r="FD34" t="e">
        <f>AND('Current Index'!D851,"AAAAAEw8eZ8=")</f>
        <v>#VALUE!</v>
      </c>
      <c r="FE34" t="e">
        <f>AND('Current Index'!E851,"AAAAAEw8eaA=")</f>
        <v>#VALUE!</v>
      </c>
      <c r="FF34" t="e">
        <f>AND('Current Index'!F851,"AAAAAEw8eaE=")</f>
        <v>#VALUE!</v>
      </c>
      <c r="FG34" t="e">
        <f>AND('Current Index'!G851,"AAAAAEw8eaI=")</f>
        <v>#VALUE!</v>
      </c>
      <c r="FH34" t="e">
        <f>AND('Current Index'!H851,"AAAAAEw8eaM=")</f>
        <v>#VALUE!</v>
      </c>
      <c r="FI34" t="e">
        <f>AND('Current Index'!I851,"AAAAAEw8eaQ=")</f>
        <v>#VALUE!</v>
      </c>
      <c r="FJ34">
        <f>IF('Current Index'!852:852,"AAAAAEw8eaU=",0)</f>
        <v>0</v>
      </c>
      <c r="FK34" t="e">
        <f>AND('Current Index'!A852,"AAAAAEw8eaY=")</f>
        <v>#VALUE!</v>
      </c>
      <c r="FL34" t="e">
        <f>AND('Current Index'!#REF!,"AAAAAEw8eac=")</f>
        <v>#REF!</v>
      </c>
      <c r="FM34" t="e">
        <f>AND('Current Index'!B852,"AAAAAEw8eag=")</f>
        <v>#VALUE!</v>
      </c>
      <c r="FN34" t="e">
        <f>AND('Current Index'!C852,"AAAAAEw8eak=")</f>
        <v>#VALUE!</v>
      </c>
      <c r="FO34" t="e">
        <f>AND('Current Index'!D852,"AAAAAEw8eao=")</f>
        <v>#VALUE!</v>
      </c>
      <c r="FP34" t="e">
        <f>AND('Current Index'!E852,"AAAAAEw8eas=")</f>
        <v>#VALUE!</v>
      </c>
      <c r="FQ34" t="e">
        <f>AND('Current Index'!F852,"AAAAAEw8eaw=")</f>
        <v>#VALUE!</v>
      </c>
      <c r="FR34" t="e">
        <f>AND('Current Index'!G852,"AAAAAEw8ea0=")</f>
        <v>#VALUE!</v>
      </c>
      <c r="FS34" t="e">
        <f>AND('Current Index'!H852,"AAAAAEw8ea4=")</f>
        <v>#VALUE!</v>
      </c>
      <c r="FT34" t="e">
        <f>AND('Current Index'!I852,"AAAAAEw8ea8=")</f>
        <v>#VALUE!</v>
      </c>
      <c r="FU34">
        <f>IF('Current Index'!853:853,"AAAAAEw8ebA=",0)</f>
        <v>0</v>
      </c>
      <c r="FV34" t="e">
        <f>AND('Current Index'!A853,"AAAAAEw8ebE=")</f>
        <v>#VALUE!</v>
      </c>
      <c r="FW34" t="e">
        <f>AND('Current Index'!#REF!,"AAAAAEw8ebI=")</f>
        <v>#REF!</v>
      </c>
      <c r="FX34" t="e">
        <f>AND('Current Index'!B853,"AAAAAEw8ebM=")</f>
        <v>#VALUE!</v>
      </c>
      <c r="FY34" t="e">
        <f>AND('Current Index'!C853,"AAAAAEw8ebQ=")</f>
        <v>#VALUE!</v>
      </c>
      <c r="FZ34" t="e">
        <f>AND('Current Index'!D853,"AAAAAEw8ebU=")</f>
        <v>#VALUE!</v>
      </c>
      <c r="GA34" t="e">
        <f>AND('Current Index'!E853,"AAAAAEw8ebY=")</f>
        <v>#VALUE!</v>
      </c>
      <c r="GB34" t="e">
        <f>AND('Current Index'!F853,"AAAAAEw8ebc=")</f>
        <v>#VALUE!</v>
      </c>
      <c r="GC34" t="e">
        <f>AND('Current Index'!G853,"AAAAAEw8ebg=")</f>
        <v>#VALUE!</v>
      </c>
      <c r="GD34" t="e">
        <f>AND('Current Index'!H853,"AAAAAEw8ebk=")</f>
        <v>#VALUE!</v>
      </c>
      <c r="GE34" t="e">
        <f>AND('Current Index'!I853,"AAAAAEw8ebo=")</f>
        <v>#VALUE!</v>
      </c>
      <c r="GF34">
        <f>IF('Current Index'!854:854,"AAAAAEw8ebs=",0)</f>
        <v>0</v>
      </c>
      <c r="GG34" t="e">
        <f>AND('Current Index'!A854,"AAAAAEw8ebw=")</f>
        <v>#VALUE!</v>
      </c>
      <c r="GH34" t="e">
        <f>AND('Current Index'!#REF!,"AAAAAEw8eb0=")</f>
        <v>#REF!</v>
      </c>
      <c r="GI34" t="e">
        <f>AND('Current Index'!B854,"AAAAAEw8eb4=")</f>
        <v>#VALUE!</v>
      </c>
      <c r="GJ34" t="e">
        <f>AND('Current Index'!C854,"AAAAAEw8eb8=")</f>
        <v>#VALUE!</v>
      </c>
      <c r="GK34" t="e">
        <f>AND('Current Index'!D854,"AAAAAEw8ecA=")</f>
        <v>#VALUE!</v>
      </c>
      <c r="GL34" t="e">
        <f>AND('Current Index'!E854,"AAAAAEw8ecE=")</f>
        <v>#VALUE!</v>
      </c>
      <c r="GM34" t="e">
        <f>AND('Current Index'!F854,"AAAAAEw8ecI=")</f>
        <v>#VALUE!</v>
      </c>
      <c r="GN34" t="e">
        <f>AND('Current Index'!G854,"AAAAAEw8ecM=")</f>
        <v>#VALUE!</v>
      </c>
      <c r="GO34" t="e">
        <f>AND('Current Index'!H854,"AAAAAEw8ecQ=")</f>
        <v>#VALUE!</v>
      </c>
      <c r="GP34" t="e">
        <f>AND('Current Index'!I854,"AAAAAEw8ecU=")</f>
        <v>#VALUE!</v>
      </c>
      <c r="GQ34">
        <f>IF('Current Index'!855:855,"AAAAAEw8ecY=",0)</f>
        <v>0</v>
      </c>
      <c r="GR34" t="e">
        <f>AND('Current Index'!A855,"AAAAAEw8ecc=")</f>
        <v>#VALUE!</v>
      </c>
      <c r="GS34" t="e">
        <f>AND('Current Index'!#REF!,"AAAAAEw8ecg=")</f>
        <v>#REF!</v>
      </c>
      <c r="GT34" t="e">
        <f>AND('Current Index'!B855,"AAAAAEw8eck=")</f>
        <v>#VALUE!</v>
      </c>
      <c r="GU34" t="e">
        <f>AND('Current Index'!C855,"AAAAAEw8eco=")</f>
        <v>#VALUE!</v>
      </c>
      <c r="GV34" t="e">
        <f>AND('Current Index'!D855,"AAAAAEw8ecs=")</f>
        <v>#VALUE!</v>
      </c>
      <c r="GW34" t="e">
        <f>AND('Current Index'!E855,"AAAAAEw8ecw=")</f>
        <v>#VALUE!</v>
      </c>
      <c r="GX34" t="e">
        <f>AND('Current Index'!F855,"AAAAAEw8ec0=")</f>
        <v>#VALUE!</v>
      </c>
      <c r="GY34" t="e">
        <f>AND('Current Index'!G855,"AAAAAEw8ec4=")</f>
        <v>#VALUE!</v>
      </c>
      <c r="GZ34" t="e">
        <f>AND('Current Index'!H855,"AAAAAEw8ec8=")</f>
        <v>#VALUE!</v>
      </c>
      <c r="HA34" t="e">
        <f>AND('Current Index'!I855,"AAAAAEw8edA=")</f>
        <v>#VALUE!</v>
      </c>
      <c r="HB34">
        <f>IF('Current Index'!856:856,"AAAAAEw8edE=",0)</f>
        <v>0</v>
      </c>
      <c r="HC34" t="e">
        <f>AND('Current Index'!A856,"AAAAAEw8edI=")</f>
        <v>#VALUE!</v>
      </c>
      <c r="HD34" t="e">
        <f>AND('Current Index'!#REF!,"AAAAAEw8edM=")</f>
        <v>#REF!</v>
      </c>
      <c r="HE34" t="e">
        <f>AND('Current Index'!B856,"AAAAAEw8edQ=")</f>
        <v>#VALUE!</v>
      </c>
      <c r="HF34" t="e">
        <f>AND('Current Index'!C856,"AAAAAEw8edU=")</f>
        <v>#VALUE!</v>
      </c>
      <c r="HG34" t="e">
        <f>AND('Current Index'!D856,"AAAAAEw8edY=")</f>
        <v>#VALUE!</v>
      </c>
      <c r="HH34" t="e">
        <f>AND('Current Index'!E856,"AAAAAEw8edc=")</f>
        <v>#VALUE!</v>
      </c>
      <c r="HI34" t="e">
        <f>AND('Current Index'!F856,"AAAAAEw8edg=")</f>
        <v>#VALUE!</v>
      </c>
      <c r="HJ34" t="e">
        <f>AND('Current Index'!G856,"AAAAAEw8edk=")</f>
        <v>#VALUE!</v>
      </c>
      <c r="HK34" t="e">
        <f>AND('Current Index'!H856,"AAAAAEw8edo=")</f>
        <v>#VALUE!</v>
      </c>
      <c r="HL34" t="e">
        <f>AND('Current Index'!I856,"AAAAAEw8eds=")</f>
        <v>#VALUE!</v>
      </c>
      <c r="HM34">
        <f>IF('Current Index'!857:857,"AAAAAEw8edw=",0)</f>
        <v>0</v>
      </c>
      <c r="HN34" t="e">
        <f>AND('Current Index'!A857,"AAAAAEw8ed0=")</f>
        <v>#VALUE!</v>
      </c>
      <c r="HO34" t="e">
        <f>AND('Current Index'!#REF!,"AAAAAEw8ed4=")</f>
        <v>#REF!</v>
      </c>
      <c r="HP34" t="e">
        <f>AND('Current Index'!B857,"AAAAAEw8ed8=")</f>
        <v>#VALUE!</v>
      </c>
      <c r="HQ34" t="e">
        <f>AND('Current Index'!C857,"AAAAAEw8eeA=")</f>
        <v>#VALUE!</v>
      </c>
      <c r="HR34" t="e">
        <f>AND('Current Index'!D857,"AAAAAEw8eeE=")</f>
        <v>#VALUE!</v>
      </c>
      <c r="HS34" t="e">
        <f>AND('Current Index'!E857,"AAAAAEw8eeI=")</f>
        <v>#VALUE!</v>
      </c>
      <c r="HT34" t="e">
        <f>AND('Current Index'!F857,"AAAAAEw8eeM=")</f>
        <v>#VALUE!</v>
      </c>
      <c r="HU34" t="e">
        <f>AND('Current Index'!G857,"AAAAAEw8eeQ=")</f>
        <v>#VALUE!</v>
      </c>
      <c r="HV34" t="e">
        <f>AND('Current Index'!H857,"AAAAAEw8eeU=")</f>
        <v>#VALUE!</v>
      </c>
      <c r="HW34" t="e">
        <f>AND('Current Index'!I857,"AAAAAEw8eeY=")</f>
        <v>#VALUE!</v>
      </c>
      <c r="HX34">
        <f>IF('Current Index'!858:858,"AAAAAEw8eec=",0)</f>
        <v>0</v>
      </c>
      <c r="HY34" t="e">
        <f>AND('Current Index'!A858,"AAAAAEw8eeg=")</f>
        <v>#VALUE!</v>
      </c>
      <c r="HZ34" t="e">
        <f>AND('Current Index'!#REF!,"AAAAAEw8eek=")</f>
        <v>#REF!</v>
      </c>
      <c r="IA34" t="e">
        <f>AND('Current Index'!B858,"AAAAAEw8eeo=")</f>
        <v>#VALUE!</v>
      </c>
      <c r="IB34" t="e">
        <f>AND('Current Index'!C858,"AAAAAEw8ees=")</f>
        <v>#VALUE!</v>
      </c>
      <c r="IC34" t="e">
        <f>AND('Current Index'!D858,"AAAAAEw8eew=")</f>
        <v>#VALUE!</v>
      </c>
      <c r="ID34" t="e">
        <f>AND('Current Index'!E858,"AAAAAEw8ee0=")</f>
        <v>#VALUE!</v>
      </c>
      <c r="IE34" t="e">
        <f>AND('Current Index'!F858,"AAAAAEw8ee4=")</f>
        <v>#VALUE!</v>
      </c>
      <c r="IF34" t="e">
        <f>AND('Current Index'!G858,"AAAAAEw8ee8=")</f>
        <v>#VALUE!</v>
      </c>
      <c r="IG34" t="e">
        <f>AND('Current Index'!H858,"AAAAAEw8efA=")</f>
        <v>#VALUE!</v>
      </c>
      <c r="IH34" t="e">
        <f>AND('Current Index'!I858,"AAAAAEw8efE=")</f>
        <v>#VALUE!</v>
      </c>
      <c r="II34">
        <f>IF('Current Index'!859:859,"AAAAAEw8efI=",0)</f>
        <v>0</v>
      </c>
      <c r="IJ34" t="e">
        <f>AND('Current Index'!A859,"AAAAAEw8efM=")</f>
        <v>#VALUE!</v>
      </c>
      <c r="IK34" t="e">
        <f>AND('Current Index'!#REF!,"AAAAAEw8efQ=")</f>
        <v>#REF!</v>
      </c>
      <c r="IL34" t="e">
        <f>AND('Current Index'!B859,"AAAAAEw8efU=")</f>
        <v>#VALUE!</v>
      </c>
      <c r="IM34" t="e">
        <f>AND('Current Index'!C859,"AAAAAEw8efY=")</f>
        <v>#VALUE!</v>
      </c>
      <c r="IN34" t="e">
        <f>AND('Current Index'!D859,"AAAAAEw8efc=")</f>
        <v>#VALUE!</v>
      </c>
      <c r="IO34" t="e">
        <f>AND('Current Index'!E859,"AAAAAEw8efg=")</f>
        <v>#VALUE!</v>
      </c>
      <c r="IP34" t="e">
        <f>AND('Current Index'!F859,"AAAAAEw8efk=")</f>
        <v>#VALUE!</v>
      </c>
      <c r="IQ34" t="e">
        <f>AND('Current Index'!G859,"AAAAAEw8efo=")</f>
        <v>#VALUE!</v>
      </c>
      <c r="IR34" t="e">
        <f>AND('Current Index'!H859,"AAAAAEw8efs=")</f>
        <v>#VALUE!</v>
      </c>
      <c r="IS34" t="e">
        <f>AND('Current Index'!I859,"AAAAAEw8efw=")</f>
        <v>#VALUE!</v>
      </c>
      <c r="IT34">
        <f>IF('Current Index'!860:860,"AAAAAEw8ef0=",0)</f>
        <v>0</v>
      </c>
      <c r="IU34" t="e">
        <f>AND('Current Index'!A860,"AAAAAEw8ef4=")</f>
        <v>#VALUE!</v>
      </c>
      <c r="IV34" t="e">
        <f>AND('Current Index'!#REF!,"AAAAAEw8ef8=")</f>
        <v>#REF!</v>
      </c>
    </row>
    <row r="35" spans="1:256" x14ac:dyDescent="0.25">
      <c r="A35" t="e">
        <f>AND('Current Index'!B860,"AAAAADa3fwA=")</f>
        <v>#VALUE!</v>
      </c>
      <c r="B35" t="e">
        <f>AND('Current Index'!C860,"AAAAADa3fwE=")</f>
        <v>#VALUE!</v>
      </c>
      <c r="C35" t="e">
        <f>AND('Current Index'!D860,"AAAAADa3fwI=")</f>
        <v>#VALUE!</v>
      </c>
      <c r="D35" t="e">
        <f>AND('Current Index'!E860,"AAAAADa3fwM=")</f>
        <v>#VALUE!</v>
      </c>
      <c r="E35" t="e">
        <f>AND('Current Index'!F860,"AAAAADa3fwQ=")</f>
        <v>#VALUE!</v>
      </c>
      <c r="F35" t="e">
        <f>AND('Current Index'!G860,"AAAAADa3fwU=")</f>
        <v>#VALUE!</v>
      </c>
      <c r="G35" t="e">
        <f>AND('Current Index'!H860,"AAAAADa3fwY=")</f>
        <v>#VALUE!</v>
      </c>
      <c r="H35" t="e">
        <f>AND('Current Index'!I860,"AAAAADa3fwc=")</f>
        <v>#VALUE!</v>
      </c>
      <c r="I35">
        <f>IF('Current Index'!861:861,"AAAAADa3fwg=",0)</f>
        <v>0</v>
      </c>
      <c r="J35" t="e">
        <f>AND('Current Index'!A861,"AAAAADa3fwk=")</f>
        <v>#VALUE!</v>
      </c>
      <c r="K35" t="e">
        <f>AND('Current Index'!#REF!,"AAAAADa3fwo=")</f>
        <v>#REF!</v>
      </c>
      <c r="L35" t="e">
        <f>AND('Current Index'!B861,"AAAAADa3fws=")</f>
        <v>#VALUE!</v>
      </c>
      <c r="M35" t="e">
        <f>AND('Current Index'!C861,"AAAAADa3fww=")</f>
        <v>#VALUE!</v>
      </c>
      <c r="N35" t="e">
        <f>AND('Current Index'!D861,"AAAAADa3fw0=")</f>
        <v>#VALUE!</v>
      </c>
      <c r="O35" t="e">
        <f>AND('Current Index'!E861,"AAAAADa3fw4=")</f>
        <v>#VALUE!</v>
      </c>
      <c r="P35" t="e">
        <f>AND('Current Index'!F861,"AAAAADa3fw8=")</f>
        <v>#VALUE!</v>
      </c>
      <c r="Q35" t="e">
        <f>AND('Current Index'!G861,"AAAAADa3fxA=")</f>
        <v>#VALUE!</v>
      </c>
      <c r="R35" t="e">
        <f>AND('Current Index'!H861,"AAAAADa3fxE=")</f>
        <v>#VALUE!</v>
      </c>
      <c r="S35" t="e">
        <f>AND('Current Index'!I861,"AAAAADa3fxI=")</f>
        <v>#VALUE!</v>
      </c>
      <c r="T35">
        <f>IF('Current Index'!862:862,"AAAAADa3fxM=",0)</f>
        <v>0</v>
      </c>
      <c r="U35" t="e">
        <f>AND('Current Index'!A862,"AAAAADa3fxQ=")</f>
        <v>#VALUE!</v>
      </c>
      <c r="V35" t="e">
        <f>AND('Current Index'!#REF!,"AAAAADa3fxU=")</f>
        <v>#REF!</v>
      </c>
      <c r="W35" t="e">
        <f>AND('Current Index'!B862,"AAAAADa3fxY=")</f>
        <v>#VALUE!</v>
      </c>
      <c r="X35" t="e">
        <f>AND('Current Index'!C862,"AAAAADa3fxc=")</f>
        <v>#VALUE!</v>
      </c>
      <c r="Y35" t="e">
        <f>AND('Current Index'!D862,"AAAAADa3fxg=")</f>
        <v>#VALUE!</v>
      </c>
      <c r="Z35" t="e">
        <f>AND('Current Index'!E862,"AAAAADa3fxk=")</f>
        <v>#VALUE!</v>
      </c>
      <c r="AA35" t="e">
        <f>AND('Current Index'!F862,"AAAAADa3fxo=")</f>
        <v>#VALUE!</v>
      </c>
      <c r="AB35" t="e">
        <f>AND('Current Index'!G862,"AAAAADa3fxs=")</f>
        <v>#VALUE!</v>
      </c>
      <c r="AC35" t="e">
        <f>AND('Current Index'!H862,"AAAAADa3fxw=")</f>
        <v>#VALUE!</v>
      </c>
      <c r="AD35" t="e">
        <f>AND('Current Index'!I862,"AAAAADa3fx0=")</f>
        <v>#VALUE!</v>
      </c>
      <c r="AE35">
        <f>IF('Current Index'!863:863,"AAAAADa3fx4=",0)</f>
        <v>0</v>
      </c>
      <c r="AF35" t="e">
        <f>AND('Current Index'!A863,"AAAAADa3fx8=")</f>
        <v>#VALUE!</v>
      </c>
      <c r="AG35" t="e">
        <f>AND('Current Index'!#REF!,"AAAAADa3fyA=")</f>
        <v>#REF!</v>
      </c>
      <c r="AH35" t="e">
        <f>AND('Current Index'!B863,"AAAAADa3fyE=")</f>
        <v>#VALUE!</v>
      </c>
      <c r="AI35" t="e">
        <f>AND('Current Index'!C863,"AAAAADa3fyI=")</f>
        <v>#VALUE!</v>
      </c>
      <c r="AJ35" t="e">
        <f>AND('Current Index'!D863,"AAAAADa3fyM=")</f>
        <v>#VALUE!</v>
      </c>
      <c r="AK35" t="e">
        <f>AND('Current Index'!E863,"AAAAADa3fyQ=")</f>
        <v>#VALUE!</v>
      </c>
      <c r="AL35" t="e">
        <f>AND('Current Index'!F863,"AAAAADa3fyU=")</f>
        <v>#VALUE!</v>
      </c>
      <c r="AM35" t="e">
        <f>AND('Current Index'!G863,"AAAAADa3fyY=")</f>
        <v>#VALUE!</v>
      </c>
      <c r="AN35" t="e">
        <f>AND('Current Index'!H863,"AAAAADa3fyc=")</f>
        <v>#VALUE!</v>
      </c>
      <c r="AO35" t="e">
        <f>AND('Current Index'!I863,"AAAAADa3fyg=")</f>
        <v>#VALUE!</v>
      </c>
      <c r="AP35">
        <f>IF('Current Index'!864:864,"AAAAADa3fyk=",0)</f>
        <v>0</v>
      </c>
      <c r="AQ35" t="e">
        <f>AND('Current Index'!A864,"AAAAADa3fyo=")</f>
        <v>#VALUE!</v>
      </c>
      <c r="AR35" t="e">
        <f>AND('Current Index'!#REF!,"AAAAADa3fys=")</f>
        <v>#REF!</v>
      </c>
      <c r="AS35" t="e">
        <f>AND('Current Index'!B864,"AAAAADa3fyw=")</f>
        <v>#VALUE!</v>
      </c>
      <c r="AT35" t="e">
        <f>AND('Current Index'!C864,"AAAAADa3fy0=")</f>
        <v>#VALUE!</v>
      </c>
      <c r="AU35" t="e">
        <f>AND('Current Index'!D864,"AAAAADa3fy4=")</f>
        <v>#VALUE!</v>
      </c>
      <c r="AV35" t="e">
        <f>AND('Current Index'!E864,"AAAAADa3fy8=")</f>
        <v>#VALUE!</v>
      </c>
      <c r="AW35" t="e">
        <f>AND('Current Index'!F864,"AAAAADa3fzA=")</f>
        <v>#VALUE!</v>
      </c>
      <c r="AX35" t="e">
        <f>AND('Current Index'!G864,"AAAAADa3fzE=")</f>
        <v>#VALUE!</v>
      </c>
      <c r="AY35" t="e">
        <f>AND('Current Index'!H864,"AAAAADa3fzI=")</f>
        <v>#VALUE!</v>
      </c>
      <c r="AZ35" t="e">
        <f>AND('Current Index'!I864,"AAAAADa3fzM=")</f>
        <v>#VALUE!</v>
      </c>
      <c r="BA35">
        <f>IF('Current Index'!865:865,"AAAAADa3fzQ=",0)</f>
        <v>0</v>
      </c>
      <c r="BB35" t="e">
        <f>AND('Current Index'!A865,"AAAAADa3fzU=")</f>
        <v>#VALUE!</v>
      </c>
      <c r="BC35" t="e">
        <f>AND('Current Index'!#REF!,"AAAAADa3fzY=")</f>
        <v>#REF!</v>
      </c>
      <c r="BD35" t="e">
        <f>AND('Current Index'!B865,"AAAAADa3fzc=")</f>
        <v>#VALUE!</v>
      </c>
      <c r="BE35" t="e">
        <f>AND('Current Index'!C865,"AAAAADa3fzg=")</f>
        <v>#VALUE!</v>
      </c>
      <c r="BF35" t="e">
        <f>AND('Current Index'!D865,"AAAAADa3fzk=")</f>
        <v>#VALUE!</v>
      </c>
      <c r="BG35" t="e">
        <f>AND('Current Index'!E865,"AAAAADa3fzo=")</f>
        <v>#VALUE!</v>
      </c>
      <c r="BH35" t="e">
        <f>AND('Current Index'!F865,"AAAAADa3fzs=")</f>
        <v>#VALUE!</v>
      </c>
      <c r="BI35" t="e">
        <f>AND('Current Index'!G865,"AAAAADa3fzw=")</f>
        <v>#VALUE!</v>
      </c>
      <c r="BJ35" t="e">
        <f>AND('Current Index'!H865,"AAAAADa3fz0=")</f>
        <v>#VALUE!</v>
      </c>
      <c r="BK35" t="e">
        <f>AND('Current Index'!I865,"AAAAADa3fz4=")</f>
        <v>#VALUE!</v>
      </c>
      <c r="BL35">
        <f>IF('Current Index'!866:866,"AAAAADa3fz8=",0)</f>
        <v>0</v>
      </c>
      <c r="BM35" t="e">
        <f>AND('Current Index'!A866,"AAAAADa3f0A=")</f>
        <v>#VALUE!</v>
      </c>
      <c r="BN35" t="e">
        <f>AND('Current Index'!#REF!,"AAAAADa3f0E=")</f>
        <v>#REF!</v>
      </c>
      <c r="BO35" t="e">
        <f>AND('Current Index'!B866,"AAAAADa3f0I=")</f>
        <v>#VALUE!</v>
      </c>
      <c r="BP35" t="e">
        <f>AND('Current Index'!C866,"AAAAADa3f0M=")</f>
        <v>#VALUE!</v>
      </c>
      <c r="BQ35" t="e">
        <f>AND('Current Index'!D866,"AAAAADa3f0Q=")</f>
        <v>#VALUE!</v>
      </c>
      <c r="BR35" t="e">
        <f>AND('Current Index'!E866,"AAAAADa3f0U=")</f>
        <v>#VALUE!</v>
      </c>
      <c r="BS35" t="e">
        <f>AND('Current Index'!F866,"AAAAADa3f0Y=")</f>
        <v>#VALUE!</v>
      </c>
      <c r="BT35" t="e">
        <f>AND('Current Index'!G866,"AAAAADa3f0c=")</f>
        <v>#VALUE!</v>
      </c>
      <c r="BU35" t="e">
        <f>AND('Current Index'!H866,"AAAAADa3f0g=")</f>
        <v>#VALUE!</v>
      </c>
      <c r="BV35" t="e">
        <f>AND('Current Index'!I866,"AAAAADa3f0k=")</f>
        <v>#VALUE!</v>
      </c>
      <c r="BW35">
        <f>IF('Current Index'!867:867,"AAAAADa3f0o=",0)</f>
        <v>0</v>
      </c>
      <c r="BX35" t="e">
        <f>AND('Current Index'!A867,"AAAAADa3f0s=")</f>
        <v>#VALUE!</v>
      </c>
      <c r="BY35" t="e">
        <f>AND('Current Index'!#REF!,"AAAAADa3f0w=")</f>
        <v>#REF!</v>
      </c>
      <c r="BZ35" t="e">
        <f>AND('Current Index'!B867,"AAAAADa3f00=")</f>
        <v>#VALUE!</v>
      </c>
      <c r="CA35" t="e">
        <f>AND('Current Index'!C867,"AAAAADa3f04=")</f>
        <v>#VALUE!</v>
      </c>
      <c r="CB35" t="e">
        <f>AND('Current Index'!D867,"AAAAADa3f08=")</f>
        <v>#VALUE!</v>
      </c>
      <c r="CC35" t="e">
        <f>AND('Current Index'!E867,"AAAAADa3f1A=")</f>
        <v>#VALUE!</v>
      </c>
      <c r="CD35" t="e">
        <f>AND('Current Index'!F867,"AAAAADa3f1E=")</f>
        <v>#VALUE!</v>
      </c>
      <c r="CE35" t="e">
        <f>AND('Current Index'!G867,"AAAAADa3f1I=")</f>
        <v>#VALUE!</v>
      </c>
      <c r="CF35" t="e">
        <f>AND('Current Index'!H867,"AAAAADa3f1M=")</f>
        <v>#VALUE!</v>
      </c>
      <c r="CG35" t="e">
        <f>AND('Current Index'!I867,"AAAAADa3f1Q=")</f>
        <v>#VALUE!</v>
      </c>
      <c r="CH35">
        <f>IF('Current Index'!868:868,"AAAAADa3f1U=",0)</f>
        <v>0</v>
      </c>
      <c r="CI35" t="e">
        <f>AND('Current Index'!A868,"AAAAADa3f1Y=")</f>
        <v>#VALUE!</v>
      </c>
      <c r="CJ35" t="e">
        <f>AND('Current Index'!#REF!,"AAAAADa3f1c=")</f>
        <v>#REF!</v>
      </c>
      <c r="CK35" t="e">
        <f>AND('Current Index'!B868,"AAAAADa3f1g=")</f>
        <v>#VALUE!</v>
      </c>
      <c r="CL35" t="e">
        <f>AND('Current Index'!C868,"AAAAADa3f1k=")</f>
        <v>#VALUE!</v>
      </c>
      <c r="CM35" t="e">
        <f>AND('Current Index'!D868,"AAAAADa3f1o=")</f>
        <v>#VALUE!</v>
      </c>
      <c r="CN35" t="e">
        <f>AND('Current Index'!E868,"AAAAADa3f1s=")</f>
        <v>#VALUE!</v>
      </c>
      <c r="CO35" t="e">
        <f>AND('Current Index'!F868,"AAAAADa3f1w=")</f>
        <v>#VALUE!</v>
      </c>
      <c r="CP35" t="e">
        <f>AND('Current Index'!G868,"AAAAADa3f10=")</f>
        <v>#VALUE!</v>
      </c>
      <c r="CQ35" t="e">
        <f>AND('Current Index'!H868,"AAAAADa3f14=")</f>
        <v>#VALUE!</v>
      </c>
      <c r="CR35" t="e">
        <f>AND('Current Index'!I868,"AAAAADa3f18=")</f>
        <v>#VALUE!</v>
      </c>
      <c r="CS35">
        <f>IF('Current Index'!876:876,"AAAAADa3f2A=",0)</f>
        <v>0</v>
      </c>
      <c r="CT35" t="e">
        <f>AND('Current Index'!A876,"AAAAADa3f2E=")</f>
        <v>#VALUE!</v>
      </c>
      <c r="CU35" t="e">
        <f>AND('Current Index'!#REF!,"AAAAADa3f2I=")</f>
        <v>#REF!</v>
      </c>
      <c r="CV35" t="e">
        <f>AND('Current Index'!B876,"AAAAADa3f2M=")</f>
        <v>#VALUE!</v>
      </c>
      <c r="CW35" t="e">
        <f>AND('Current Index'!C876,"AAAAADa3f2Q=")</f>
        <v>#VALUE!</v>
      </c>
      <c r="CX35" t="e">
        <f>AND('Current Index'!D876,"AAAAADa3f2U=")</f>
        <v>#VALUE!</v>
      </c>
      <c r="CY35" t="e">
        <f>AND('Current Index'!E876,"AAAAADa3f2Y=")</f>
        <v>#VALUE!</v>
      </c>
      <c r="CZ35" t="e">
        <f>AND('Current Index'!F876,"AAAAADa3f2c=")</f>
        <v>#VALUE!</v>
      </c>
      <c r="DA35" t="e">
        <f>AND('Current Index'!G876,"AAAAADa3f2g=")</f>
        <v>#VALUE!</v>
      </c>
      <c r="DB35" t="e">
        <f>AND('Current Index'!H876,"AAAAADa3f2k=")</f>
        <v>#VALUE!</v>
      </c>
      <c r="DC35" t="e">
        <f>AND('Current Index'!I876,"AAAAADa3f2o=")</f>
        <v>#VALUE!</v>
      </c>
      <c r="DD35" t="e">
        <f>IF('Current Index'!#REF!,"AAAAADa3f2s=",0)</f>
        <v>#REF!</v>
      </c>
      <c r="DE35" t="e">
        <f>AND('Current Index'!#REF!,"AAAAADa3f2w=")</f>
        <v>#REF!</v>
      </c>
      <c r="DF35" t="e">
        <f>AND('Current Index'!#REF!,"AAAAADa3f20=")</f>
        <v>#REF!</v>
      </c>
      <c r="DG35" t="e">
        <f>AND('Current Index'!#REF!,"AAAAADa3f24=")</f>
        <v>#REF!</v>
      </c>
      <c r="DH35" t="e">
        <f>AND('Current Index'!#REF!,"AAAAADa3f28=")</f>
        <v>#REF!</v>
      </c>
      <c r="DI35" t="e">
        <f>AND('Current Index'!#REF!,"AAAAADa3f3A=")</f>
        <v>#REF!</v>
      </c>
      <c r="DJ35" t="e">
        <f>AND('Current Index'!#REF!,"AAAAADa3f3E=")</f>
        <v>#REF!</v>
      </c>
      <c r="DK35" t="e">
        <f>AND('Current Index'!#REF!,"AAAAADa3f3I=")</f>
        <v>#REF!</v>
      </c>
      <c r="DL35" t="e">
        <f>AND('Current Index'!#REF!,"AAAAADa3f3M=")</f>
        <v>#REF!</v>
      </c>
      <c r="DM35" t="e">
        <f>AND('Current Index'!#REF!,"AAAAADa3f3Q=")</f>
        <v>#REF!</v>
      </c>
      <c r="DN35" t="e">
        <f>AND('Current Index'!#REF!,"AAAAADa3f3U=")</f>
        <v>#REF!</v>
      </c>
      <c r="DO35">
        <f>IF('Current Index'!877:877,"AAAAADa3f3Y=",0)</f>
        <v>0</v>
      </c>
      <c r="DP35" t="e">
        <f>AND('Current Index'!A877,"AAAAADa3f3c=")</f>
        <v>#VALUE!</v>
      </c>
      <c r="DQ35" t="e">
        <f>AND('Current Index'!#REF!,"AAAAADa3f3g=")</f>
        <v>#REF!</v>
      </c>
      <c r="DR35" t="e">
        <f>AND('Current Index'!B877,"AAAAADa3f3k=")</f>
        <v>#VALUE!</v>
      </c>
      <c r="DS35" t="e">
        <f>AND('Current Index'!C877,"AAAAADa3f3o=")</f>
        <v>#VALUE!</v>
      </c>
      <c r="DT35" t="e">
        <f>AND('Current Index'!D877,"AAAAADa3f3s=")</f>
        <v>#VALUE!</v>
      </c>
      <c r="DU35" t="e">
        <f>AND('Current Index'!E877,"AAAAADa3f3w=")</f>
        <v>#VALUE!</v>
      </c>
      <c r="DV35" t="e">
        <f>AND('Current Index'!F877,"AAAAADa3f30=")</f>
        <v>#VALUE!</v>
      </c>
      <c r="DW35" t="e">
        <f>AND('Current Index'!G877,"AAAAADa3f34=")</f>
        <v>#VALUE!</v>
      </c>
      <c r="DX35" t="e">
        <f>AND('Current Index'!H877,"AAAAADa3f38=")</f>
        <v>#VALUE!</v>
      </c>
      <c r="DY35" t="e">
        <f>AND('Current Index'!I877,"AAAAADa3f4A=")</f>
        <v>#VALUE!</v>
      </c>
      <c r="DZ35" t="e">
        <f>IF('Current Index'!#REF!,"AAAAADa3f4E=",0)</f>
        <v>#REF!</v>
      </c>
      <c r="EA35" t="e">
        <f>AND('Current Index'!#REF!,"AAAAADa3f4I=")</f>
        <v>#REF!</v>
      </c>
      <c r="EB35" t="e">
        <f>AND('Current Index'!#REF!,"AAAAADa3f4M=")</f>
        <v>#REF!</v>
      </c>
      <c r="EC35" t="e">
        <f>AND('Current Index'!#REF!,"AAAAADa3f4Q=")</f>
        <v>#REF!</v>
      </c>
      <c r="ED35" t="e">
        <f>AND('Current Index'!#REF!,"AAAAADa3f4U=")</f>
        <v>#REF!</v>
      </c>
      <c r="EE35" t="e">
        <f>AND('Current Index'!#REF!,"AAAAADa3f4Y=")</f>
        <v>#REF!</v>
      </c>
      <c r="EF35" t="e">
        <f>AND('Current Index'!#REF!,"AAAAADa3f4c=")</f>
        <v>#REF!</v>
      </c>
      <c r="EG35" t="e">
        <f>AND('Current Index'!#REF!,"AAAAADa3f4g=")</f>
        <v>#REF!</v>
      </c>
      <c r="EH35" t="e">
        <f>AND('Current Index'!#REF!,"AAAAADa3f4k=")</f>
        <v>#REF!</v>
      </c>
      <c r="EI35" t="e">
        <f>AND('Current Index'!#REF!,"AAAAADa3f4o=")</f>
        <v>#REF!</v>
      </c>
      <c r="EJ35" t="e">
        <f>AND('Current Index'!#REF!,"AAAAADa3f4s=")</f>
        <v>#REF!</v>
      </c>
      <c r="EK35">
        <f>IF('Current Index'!878:878,"AAAAADa3f4w=",0)</f>
        <v>0</v>
      </c>
      <c r="EL35" t="e">
        <f>AND('Current Index'!A878,"AAAAADa3f40=")</f>
        <v>#VALUE!</v>
      </c>
      <c r="EM35" t="e">
        <f>AND('Current Index'!#REF!,"AAAAADa3f44=")</f>
        <v>#REF!</v>
      </c>
      <c r="EN35" t="e">
        <f>AND('Current Index'!B878,"AAAAADa3f48=")</f>
        <v>#VALUE!</v>
      </c>
      <c r="EO35" t="e">
        <f>AND('Current Index'!C878,"AAAAADa3f5A=")</f>
        <v>#VALUE!</v>
      </c>
      <c r="EP35" t="e">
        <f>AND('Current Index'!D878,"AAAAADa3f5E=")</f>
        <v>#VALUE!</v>
      </c>
      <c r="EQ35" t="e">
        <f>AND('Current Index'!E878,"AAAAADa3f5I=")</f>
        <v>#VALUE!</v>
      </c>
      <c r="ER35" t="e">
        <f>AND('Current Index'!F878,"AAAAADa3f5M=")</f>
        <v>#VALUE!</v>
      </c>
      <c r="ES35" t="e">
        <f>AND('Current Index'!G878,"AAAAADa3f5Q=")</f>
        <v>#VALUE!</v>
      </c>
      <c r="ET35" t="e">
        <f>AND('Current Index'!H878,"AAAAADa3f5U=")</f>
        <v>#VALUE!</v>
      </c>
      <c r="EU35" t="e">
        <f>AND('Current Index'!I878,"AAAAADa3f5Y=")</f>
        <v>#VALUE!</v>
      </c>
      <c r="EV35">
        <f>IF('Current Index'!879:879,"AAAAADa3f5c=",0)</f>
        <v>0</v>
      </c>
      <c r="EW35" t="e">
        <f>AND('Current Index'!A879,"AAAAADa3f5g=")</f>
        <v>#VALUE!</v>
      </c>
      <c r="EX35" t="e">
        <f>AND('Current Index'!#REF!,"AAAAADa3f5k=")</f>
        <v>#REF!</v>
      </c>
      <c r="EY35" t="e">
        <f>AND('Current Index'!B879,"AAAAADa3f5o=")</f>
        <v>#VALUE!</v>
      </c>
      <c r="EZ35" t="e">
        <f>AND('Current Index'!C879,"AAAAADa3f5s=")</f>
        <v>#VALUE!</v>
      </c>
      <c r="FA35" t="e">
        <f>AND('Current Index'!D879,"AAAAADa3f5w=")</f>
        <v>#VALUE!</v>
      </c>
      <c r="FB35" t="e">
        <f>AND('Current Index'!E879,"AAAAADa3f50=")</f>
        <v>#VALUE!</v>
      </c>
      <c r="FC35" t="e">
        <f>AND('Current Index'!F879,"AAAAADa3f54=")</f>
        <v>#VALUE!</v>
      </c>
      <c r="FD35" t="e">
        <f>AND('Current Index'!G879,"AAAAADa3f58=")</f>
        <v>#VALUE!</v>
      </c>
      <c r="FE35" t="e">
        <f>AND('Current Index'!H879,"AAAAADa3f6A=")</f>
        <v>#VALUE!</v>
      </c>
      <c r="FF35" t="e">
        <f>AND('Current Index'!I879,"AAAAADa3f6E=")</f>
        <v>#VALUE!</v>
      </c>
      <c r="FG35">
        <f>IF('Current Index'!880:880,"AAAAADa3f6I=",0)</f>
        <v>0</v>
      </c>
      <c r="FH35" t="e">
        <f>AND('Current Index'!A880,"AAAAADa3f6M=")</f>
        <v>#VALUE!</v>
      </c>
      <c r="FI35" t="e">
        <f>AND('Current Index'!#REF!,"AAAAADa3f6Q=")</f>
        <v>#REF!</v>
      </c>
      <c r="FJ35" t="e">
        <f>AND('Current Index'!B880,"AAAAADa3f6U=")</f>
        <v>#VALUE!</v>
      </c>
      <c r="FK35" t="e">
        <f>AND('Current Index'!C880,"AAAAADa3f6Y=")</f>
        <v>#VALUE!</v>
      </c>
      <c r="FL35" t="e">
        <f>AND('Current Index'!D880,"AAAAADa3f6c=")</f>
        <v>#VALUE!</v>
      </c>
      <c r="FM35" t="e">
        <f>AND('Current Index'!E880,"AAAAADa3f6g=")</f>
        <v>#VALUE!</v>
      </c>
      <c r="FN35" t="e">
        <f>AND('Current Index'!F880,"AAAAADa3f6k=")</f>
        <v>#VALUE!</v>
      </c>
      <c r="FO35" t="e">
        <f>AND('Current Index'!G880,"AAAAADa3f6o=")</f>
        <v>#VALUE!</v>
      </c>
      <c r="FP35" t="e">
        <f>AND('Current Index'!H880,"AAAAADa3f6s=")</f>
        <v>#VALUE!</v>
      </c>
      <c r="FQ35" t="e">
        <f>AND('Current Index'!I880,"AAAAADa3f6w=")</f>
        <v>#VALUE!</v>
      </c>
      <c r="FR35" t="e">
        <f>IF('Current Index'!#REF!,"AAAAADa3f60=",0)</f>
        <v>#REF!</v>
      </c>
      <c r="FS35" t="e">
        <f>AND('Current Index'!#REF!,"AAAAADa3f64=")</f>
        <v>#REF!</v>
      </c>
      <c r="FT35" t="e">
        <f>AND('Current Index'!#REF!,"AAAAADa3f68=")</f>
        <v>#REF!</v>
      </c>
      <c r="FU35" t="e">
        <f>AND('Current Index'!#REF!,"AAAAADa3f7A=")</f>
        <v>#REF!</v>
      </c>
      <c r="FV35" t="e">
        <f>AND('Current Index'!#REF!,"AAAAADa3f7E=")</f>
        <v>#REF!</v>
      </c>
      <c r="FW35" t="e">
        <f>AND('Current Index'!#REF!,"AAAAADa3f7I=")</f>
        <v>#REF!</v>
      </c>
      <c r="FX35" t="e">
        <f>AND('Current Index'!#REF!,"AAAAADa3f7M=")</f>
        <v>#REF!</v>
      </c>
      <c r="FY35" t="e">
        <f>AND('Current Index'!#REF!,"AAAAADa3f7Q=")</f>
        <v>#REF!</v>
      </c>
      <c r="FZ35" t="e">
        <f>AND('Current Index'!#REF!,"AAAAADa3f7U=")</f>
        <v>#REF!</v>
      </c>
      <c r="GA35" t="e">
        <f>AND('Current Index'!#REF!,"AAAAADa3f7Y=")</f>
        <v>#REF!</v>
      </c>
      <c r="GB35" t="e">
        <f>AND('Current Index'!#REF!,"AAAAADa3f7c=")</f>
        <v>#REF!</v>
      </c>
      <c r="GC35">
        <f>IF('Current Index'!881:881,"AAAAADa3f7g=",0)</f>
        <v>0</v>
      </c>
      <c r="GD35" t="e">
        <f>AND('Current Index'!A881,"AAAAADa3f7k=")</f>
        <v>#VALUE!</v>
      </c>
      <c r="GE35" t="e">
        <f>AND('Current Index'!#REF!,"AAAAADa3f7o=")</f>
        <v>#REF!</v>
      </c>
      <c r="GF35" t="e">
        <f>AND('Current Index'!B881,"AAAAADa3f7s=")</f>
        <v>#VALUE!</v>
      </c>
      <c r="GG35" t="e">
        <f>AND('Current Index'!C881,"AAAAADa3f7w=")</f>
        <v>#VALUE!</v>
      </c>
      <c r="GH35" t="e">
        <f>AND('Current Index'!D881,"AAAAADa3f70=")</f>
        <v>#VALUE!</v>
      </c>
      <c r="GI35" t="e">
        <f>AND('Current Index'!E881,"AAAAADa3f74=")</f>
        <v>#VALUE!</v>
      </c>
      <c r="GJ35" t="e">
        <f>AND('Current Index'!F881,"AAAAADa3f78=")</f>
        <v>#VALUE!</v>
      </c>
      <c r="GK35" t="e">
        <f>AND('Current Index'!G881,"AAAAADa3f8A=")</f>
        <v>#VALUE!</v>
      </c>
      <c r="GL35" t="e">
        <f>AND('Current Index'!H881,"AAAAADa3f8E=")</f>
        <v>#VALUE!</v>
      </c>
      <c r="GM35" t="e">
        <f>AND('Current Index'!I881,"AAAAADa3f8I=")</f>
        <v>#VALUE!</v>
      </c>
      <c r="GN35" t="e">
        <f>IF('Current Index'!#REF!,"AAAAADa3f8M=",0)</f>
        <v>#REF!</v>
      </c>
      <c r="GO35" t="e">
        <f>AND('Current Index'!#REF!,"AAAAADa3f8Q=")</f>
        <v>#REF!</v>
      </c>
      <c r="GP35" t="e">
        <f>AND('Current Index'!#REF!,"AAAAADa3f8U=")</f>
        <v>#REF!</v>
      </c>
      <c r="GQ35" t="e">
        <f>AND('Current Index'!#REF!,"AAAAADa3f8Y=")</f>
        <v>#REF!</v>
      </c>
      <c r="GR35" t="e">
        <f>AND('Current Index'!#REF!,"AAAAADa3f8c=")</f>
        <v>#REF!</v>
      </c>
      <c r="GS35" t="e">
        <f>AND('Current Index'!#REF!,"AAAAADa3f8g=")</f>
        <v>#REF!</v>
      </c>
      <c r="GT35" t="e">
        <f>AND('Current Index'!#REF!,"AAAAADa3f8k=")</f>
        <v>#REF!</v>
      </c>
      <c r="GU35" t="e">
        <f>AND('Current Index'!#REF!,"AAAAADa3f8o=")</f>
        <v>#REF!</v>
      </c>
      <c r="GV35" t="e">
        <f>AND('Current Index'!#REF!,"AAAAADa3f8s=")</f>
        <v>#REF!</v>
      </c>
      <c r="GW35" t="e">
        <f>AND('Current Index'!#REF!,"AAAAADa3f8w=")</f>
        <v>#REF!</v>
      </c>
      <c r="GX35" t="e">
        <f>AND('Current Index'!#REF!,"AAAAADa3f80=")</f>
        <v>#REF!</v>
      </c>
      <c r="GY35">
        <f>IF('Current Index'!882:882,"AAAAADa3f84=",0)</f>
        <v>0</v>
      </c>
      <c r="GZ35" t="e">
        <f>AND('Current Index'!A882,"AAAAADa3f88=")</f>
        <v>#VALUE!</v>
      </c>
      <c r="HA35" t="e">
        <f>AND('Current Index'!#REF!,"AAAAADa3f9A=")</f>
        <v>#REF!</v>
      </c>
      <c r="HB35" t="e">
        <f>AND('Current Index'!B882,"AAAAADa3f9E=")</f>
        <v>#VALUE!</v>
      </c>
      <c r="HC35" t="e">
        <f>AND('Current Index'!C882,"AAAAADa3f9I=")</f>
        <v>#VALUE!</v>
      </c>
      <c r="HD35" t="e">
        <f>AND('Current Index'!D882,"AAAAADa3f9M=")</f>
        <v>#VALUE!</v>
      </c>
      <c r="HE35" t="e">
        <f>AND('Current Index'!E882,"AAAAADa3f9Q=")</f>
        <v>#VALUE!</v>
      </c>
      <c r="HF35" t="e">
        <f>AND('Current Index'!F882,"AAAAADa3f9U=")</f>
        <v>#VALUE!</v>
      </c>
      <c r="HG35" t="e">
        <f>AND('Current Index'!G882,"AAAAADa3f9Y=")</f>
        <v>#VALUE!</v>
      </c>
      <c r="HH35" t="e">
        <f>AND('Current Index'!H882,"AAAAADa3f9c=")</f>
        <v>#VALUE!</v>
      </c>
      <c r="HI35" t="e">
        <f>AND('Current Index'!I882,"AAAAADa3f9g=")</f>
        <v>#VALUE!</v>
      </c>
      <c r="HJ35">
        <f>IF('Current Index'!883:883,"AAAAADa3f9k=",0)</f>
        <v>0</v>
      </c>
      <c r="HK35" t="e">
        <f>AND('Current Index'!A883,"AAAAADa3f9o=")</f>
        <v>#VALUE!</v>
      </c>
      <c r="HL35" t="e">
        <f>AND('Current Index'!#REF!,"AAAAADa3f9s=")</f>
        <v>#REF!</v>
      </c>
      <c r="HM35" t="e">
        <f>AND('Current Index'!B883,"AAAAADa3f9w=")</f>
        <v>#VALUE!</v>
      </c>
      <c r="HN35" t="e">
        <f>AND('Current Index'!C883,"AAAAADa3f90=")</f>
        <v>#VALUE!</v>
      </c>
      <c r="HO35" t="e">
        <f>AND('Current Index'!D883,"AAAAADa3f94=")</f>
        <v>#VALUE!</v>
      </c>
      <c r="HP35" t="e">
        <f>AND('Current Index'!E883,"AAAAADa3f98=")</f>
        <v>#VALUE!</v>
      </c>
      <c r="HQ35" t="e">
        <f>AND('Current Index'!F883,"AAAAADa3f+A=")</f>
        <v>#VALUE!</v>
      </c>
      <c r="HR35" t="e">
        <f>AND('Current Index'!G883,"AAAAADa3f+E=")</f>
        <v>#VALUE!</v>
      </c>
      <c r="HS35" t="e">
        <f>AND('Current Index'!H883,"AAAAADa3f+I=")</f>
        <v>#VALUE!</v>
      </c>
      <c r="HT35" t="e">
        <f>AND('Current Index'!I883,"AAAAADa3f+M=")</f>
        <v>#VALUE!</v>
      </c>
      <c r="HU35">
        <f>IF('Current Index'!884:884,"AAAAADa3f+Q=",0)</f>
        <v>0</v>
      </c>
      <c r="HV35" t="e">
        <f>AND('Current Index'!A884,"AAAAADa3f+U=")</f>
        <v>#VALUE!</v>
      </c>
      <c r="HW35" t="e">
        <f>AND('Current Index'!#REF!,"AAAAADa3f+Y=")</f>
        <v>#REF!</v>
      </c>
      <c r="HX35" t="e">
        <f>AND('Current Index'!B884,"AAAAADa3f+c=")</f>
        <v>#VALUE!</v>
      </c>
      <c r="HY35" t="e">
        <f>AND('Current Index'!C884,"AAAAADa3f+g=")</f>
        <v>#VALUE!</v>
      </c>
      <c r="HZ35" t="e">
        <f>AND('Current Index'!D884,"AAAAADa3f+k=")</f>
        <v>#VALUE!</v>
      </c>
      <c r="IA35" t="e">
        <f>AND('Current Index'!E884,"AAAAADa3f+o=")</f>
        <v>#VALUE!</v>
      </c>
      <c r="IB35" t="e">
        <f>AND('Current Index'!F884,"AAAAADa3f+s=")</f>
        <v>#VALUE!</v>
      </c>
      <c r="IC35" t="e">
        <f>AND('Current Index'!G884,"AAAAADa3f+w=")</f>
        <v>#VALUE!</v>
      </c>
      <c r="ID35" t="e">
        <f>AND('Current Index'!H884,"AAAAADa3f+0=")</f>
        <v>#VALUE!</v>
      </c>
      <c r="IE35" t="e">
        <f>AND('Current Index'!I884,"AAAAADa3f+4=")</f>
        <v>#VALUE!</v>
      </c>
      <c r="IF35">
        <f>IF('Current Index'!885:885,"AAAAADa3f+8=",0)</f>
        <v>0</v>
      </c>
      <c r="IG35" t="e">
        <f>AND('Current Index'!A885,"AAAAADa3f/A=")</f>
        <v>#VALUE!</v>
      </c>
      <c r="IH35" t="e">
        <f>AND('Current Index'!#REF!,"AAAAADa3f/E=")</f>
        <v>#REF!</v>
      </c>
      <c r="II35" t="e">
        <f>AND('Current Index'!B885,"AAAAADa3f/I=")</f>
        <v>#VALUE!</v>
      </c>
      <c r="IJ35" t="e">
        <f>AND('Current Index'!C885,"AAAAADa3f/M=")</f>
        <v>#VALUE!</v>
      </c>
      <c r="IK35" t="e">
        <f>AND('Current Index'!D885,"AAAAADa3f/Q=")</f>
        <v>#VALUE!</v>
      </c>
      <c r="IL35" t="e">
        <f>AND('Current Index'!E885,"AAAAADa3f/U=")</f>
        <v>#VALUE!</v>
      </c>
      <c r="IM35" t="e">
        <f>AND('Current Index'!F885,"AAAAADa3f/Y=")</f>
        <v>#VALUE!</v>
      </c>
      <c r="IN35" t="e">
        <f>AND('Current Index'!G885,"AAAAADa3f/c=")</f>
        <v>#VALUE!</v>
      </c>
      <c r="IO35" t="e">
        <f>AND('Current Index'!H885,"AAAAADa3f/g=")</f>
        <v>#VALUE!</v>
      </c>
      <c r="IP35" t="e">
        <f>AND('Current Index'!I885,"AAAAADa3f/k=")</f>
        <v>#VALUE!</v>
      </c>
      <c r="IQ35">
        <f>IF('Current Index'!886:886,"AAAAADa3f/o=",0)</f>
        <v>0</v>
      </c>
      <c r="IR35" t="e">
        <f>AND('Current Index'!A886,"AAAAADa3f/s=")</f>
        <v>#VALUE!</v>
      </c>
      <c r="IS35" t="e">
        <f>AND('Current Index'!#REF!,"AAAAADa3f/w=")</f>
        <v>#REF!</v>
      </c>
      <c r="IT35" t="e">
        <f>AND('Current Index'!B886,"AAAAADa3f/0=")</f>
        <v>#VALUE!</v>
      </c>
      <c r="IU35" t="e">
        <f>AND('Current Index'!C886,"AAAAADa3f/4=")</f>
        <v>#VALUE!</v>
      </c>
      <c r="IV35" t="e">
        <f>AND('Current Index'!D886,"AAAAADa3f/8=")</f>
        <v>#VALUE!</v>
      </c>
    </row>
    <row r="36" spans="1:256" x14ac:dyDescent="0.25">
      <c r="A36" t="e">
        <f>AND('Current Index'!E886,"AAAAABxv/QA=")</f>
        <v>#VALUE!</v>
      </c>
      <c r="B36" t="e">
        <f>AND('Current Index'!F886,"AAAAABxv/QE=")</f>
        <v>#VALUE!</v>
      </c>
      <c r="C36" t="e">
        <f>AND('Current Index'!G886,"AAAAABxv/QI=")</f>
        <v>#VALUE!</v>
      </c>
      <c r="D36" t="e">
        <f>AND('Current Index'!H886,"AAAAABxv/QM=")</f>
        <v>#VALUE!</v>
      </c>
      <c r="E36" t="e">
        <f>AND('Current Index'!I886,"AAAAABxv/QQ=")</f>
        <v>#VALUE!</v>
      </c>
      <c r="F36" t="str">
        <f>IF('Current Index'!887:887,"AAAAABxv/QU=",0)</f>
        <v>AAAAABxv/QU=</v>
      </c>
      <c r="G36" t="e">
        <f>AND('Current Index'!A887,"AAAAABxv/QY=")</f>
        <v>#VALUE!</v>
      </c>
      <c r="H36" t="e">
        <f>AND('Current Index'!#REF!,"AAAAABxv/Qc=")</f>
        <v>#REF!</v>
      </c>
      <c r="I36" t="e">
        <f>AND('Current Index'!B887,"AAAAABxv/Qg=")</f>
        <v>#VALUE!</v>
      </c>
      <c r="J36" t="e">
        <f>AND('Current Index'!C887,"AAAAABxv/Qk=")</f>
        <v>#VALUE!</v>
      </c>
      <c r="K36" t="e">
        <f>AND('Current Index'!D887,"AAAAABxv/Qo=")</f>
        <v>#VALUE!</v>
      </c>
      <c r="L36" t="e">
        <f>AND('Current Index'!E887,"AAAAABxv/Qs=")</f>
        <v>#VALUE!</v>
      </c>
      <c r="M36" t="e">
        <f>AND('Current Index'!F887,"AAAAABxv/Qw=")</f>
        <v>#VALUE!</v>
      </c>
      <c r="N36" t="e">
        <f>AND('Current Index'!G887,"AAAAABxv/Q0=")</f>
        <v>#VALUE!</v>
      </c>
      <c r="O36" t="e">
        <f>AND('Current Index'!H887,"AAAAABxv/Q4=")</f>
        <v>#VALUE!</v>
      </c>
      <c r="P36" t="e">
        <f>AND('Current Index'!I887,"AAAAABxv/Q8=")</f>
        <v>#VALUE!</v>
      </c>
      <c r="Q36">
        <f>IF('Current Index'!888:888,"AAAAABxv/RA=",0)</f>
        <v>0</v>
      </c>
      <c r="R36" t="e">
        <f>AND('Current Index'!A888,"AAAAABxv/RE=")</f>
        <v>#VALUE!</v>
      </c>
      <c r="S36" t="e">
        <f>AND('Current Index'!#REF!,"AAAAABxv/RI=")</f>
        <v>#REF!</v>
      </c>
      <c r="T36" t="e">
        <f>AND('Current Index'!B888,"AAAAABxv/RM=")</f>
        <v>#VALUE!</v>
      </c>
      <c r="U36" t="e">
        <f>AND('Current Index'!C888,"AAAAABxv/RQ=")</f>
        <v>#VALUE!</v>
      </c>
      <c r="V36" t="e">
        <f>AND('Current Index'!D888,"AAAAABxv/RU=")</f>
        <v>#VALUE!</v>
      </c>
      <c r="W36" t="e">
        <f>AND('Current Index'!E888,"AAAAABxv/RY=")</f>
        <v>#VALUE!</v>
      </c>
      <c r="X36" t="e">
        <f>AND('Current Index'!F888,"AAAAABxv/Rc=")</f>
        <v>#VALUE!</v>
      </c>
      <c r="Y36" t="e">
        <f>AND('Current Index'!G888,"AAAAABxv/Rg=")</f>
        <v>#VALUE!</v>
      </c>
      <c r="Z36" t="e">
        <f>AND('Current Index'!H888,"AAAAABxv/Rk=")</f>
        <v>#VALUE!</v>
      </c>
      <c r="AA36" t="e">
        <f>AND('Current Index'!I888,"AAAAABxv/Ro=")</f>
        <v>#VALUE!</v>
      </c>
      <c r="AB36">
        <f>IF('Current Index'!889:889,"AAAAABxv/Rs=",0)</f>
        <v>0</v>
      </c>
      <c r="AC36" t="e">
        <f>AND('Current Index'!A889,"AAAAABxv/Rw=")</f>
        <v>#VALUE!</v>
      </c>
      <c r="AD36" t="e">
        <f>AND('Current Index'!#REF!,"AAAAABxv/R0=")</f>
        <v>#REF!</v>
      </c>
      <c r="AE36" t="e">
        <f>AND('Current Index'!B889,"AAAAABxv/R4=")</f>
        <v>#VALUE!</v>
      </c>
      <c r="AF36" t="e">
        <f>AND('Current Index'!C889,"AAAAABxv/R8=")</f>
        <v>#VALUE!</v>
      </c>
      <c r="AG36" t="e">
        <f>AND('Current Index'!D889,"AAAAABxv/SA=")</f>
        <v>#VALUE!</v>
      </c>
      <c r="AH36" t="e">
        <f>AND('Current Index'!E889,"AAAAABxv/SE=")</f>
        <v>#VALUE!</v>
      </c>
      <c r="AI36" t="e">
        <f>AND('Current Index'!F889,"AAAAABxv/SI=")</f>
        <v>#VALUE!</v>
      </c>
      <c r="AJ36" t="e">
        <f>AND('Current Index'!G889,"AAAAABxv/SM=")</f>
        <v>#VALUE!</v>
      </c>
      <c r="AK36" t="e">
        <f>AND('Current Index'!H889,"AAAAABxv/SQ=")</f>
        <v>#VALUE!</v>
      </c>
      <c r="AL36" t="e">
        <f>AND('Current Index'!I889,"AAAAABxv/SU=")</f>
        <v>#VALUE!</v>
      </c>
      <c r="AM36">
        <f>IF('Current Index'!890:890,"AAAAABxv/SY=",0)</f>
        <v>0</v>
      </c>
      <c r="AN36" t="e">
        <f>AND('Current Index'!A890,"AAAAABxv/Sc=")</f>
        <v>#VALUE!</v>
      </c>
      <c r="AO36" t="e">
        <f>AND('Current Index'!#REF!,"AAAAABxv/Sg=")</f>
        <v>#REF!</v>
      </c>
      <c r="AP36" t="e">
        <f>AND('Current Index'!B890,"AAAAABxv/Sk=")</f>
        <v>#VALUE!</v>
      </c>
      <c r="AQ36" t="e">
        <f>AND('Current Index'!C890,"AAAAABxv/So=")</f>
        <v>#VALUE!</v>
      </c>
      <c r="AR36" t="e">
        <f>AND('Current Index'!D890,"AAAAABxv/Ss=")</f>
        <v>#VALUE!</v>
      </c>
      <c r="AS36" t="e">
        <f>AND('Current Index'!E890,"AAAAABxv/Sw=")</f>
        <v>#VALUE!</v>
      </c>
      <c r="AT36" t="e">
        <f>AND('Current Index'!F890,"AAAAABxv/S0=")</f>
        <v>#VALUE!</v>
      </c>
      <c r="AU36" t="e">
        <f>AND('Current Index'!G890,"AAAAABxv/S4=")</f>
        <v>#VALUE!</v>
      </c>
      <c r="AV36" t="e">
        <f>AND('Current Index'!H890,"AAAAABxv/S8=")</f>
        <v>#VALUE!</v>
      </c>
      <c r="AW36" t="e">
        <f>AND('Current Index'!I890,"AAAAABxv/TA=")</f>
        <v>#VALUE!</v>
      </c>
      <c r="AX36">
        <f>IF('Current Index'!891:891,"AAAAABxv/TE=",0)</f>
        <v>0</v>
      </c>
      <c r="AY36" t="e">
        <f>AND('Current Index'!A891,"AAAAABxv/TI=")</f>
        <v>#VALUE!</v>
      </c>
      <c r="AZ36" t="e">
        <f>AND('Current Index'!#REF!,"AAAAABxv/TM=")</f>
        <v>#REF!</v>
      </c>
      <c r="BA36" t="e">
        <f>AND('Current Index'!B891,"AAAAABxv/TQ=")</f>
        <v>#VALUE!</v>
      </c>
      <c r="BB36" t="e">
        <f>AND('Current Index'!C891,"AAAAABxv/TU=")</f>
        <v>#VALUE!</v>
      </c>
      <c r="BC36" t="e">
        <f>AND('Current Index'!D891,"AAAAABxv/TY=")</f>
        <v>#VALUE!</v>
      </c>
      <c r="BD36" t="e">
        <f>AND('Current Index'!E891,"AAAAABxv/Tc=")</f>
        <v>#VALUE!</v>
      </c>
      <c r="BE36" t="e">
        <f>AND('Current Index'!F891,"AAAAABxv/Tg=")</f>
        <v>#VALUE!</v>
      </c>
      <c r="BF36" t="e">
        <f>AND('Current Index'!G891,"AAAAABxv/Tk=")</f>
        <v>#VALUE!</v>
      </c>
      <c r="BG36" t="e">
        <f>AND('Current Index'!H891,"AAAAABxv/To=")</f>
        <v>#VALUE!</v>
      </c>
      <c r="BH36" t="e">
        <f>AND('Current Index'!I891,"AAAAABxv/Ts=")</f>
        <v>#VALUE!</v>
      </c>
      <c r="BI36">
        <f>IF('Current Index'!892:892,"AAAAABxv/Tw=",0)</f>
        <v>0</v>
      </c>
      <c r="BJ36" t="e">
        <f>AND('Current Index'!A892,"AAAAABxv/T0=")</f>
        <v>#VALUE!</v>
      </c>
      <c r="BK36" t="e">
        <f>AND('Current Index'!#REF!,"AAAAABxv/T4=")</f>
        <v>#REF!</v>
      </c>
      <c r="BL36" t="e">
        <f>AND('Current Index'!B892,"AAAAABxv/T8=")</f>
        <v>#VALUE!</v>
      </c>
      <c r="BM36" t="e">
        <f>AND('Current Index'!C892,"AAAAABxv/UA=")</f>
        <v>#VALUE!</v>
      </c>
      <c r="BN36" t="e">
        <f>AND('Current Index'!D892,"AAAAABxv/UE=")</f>
        <v>#VALUE!</v>
      </c>
      <c r="BO36" t="e">
        <f>AND('Current Index'!E892,"AAAAABxv/UI=")</f>
        <v>#VALUE!</v>
      </c>
      <c r="BP36" t="e">
        <f>AND('Current Index'!F892,"AAAAABxv/UM=")</f>
        <v>#VALUE!</v>
      </c>
      <c r="BQ36" t="e">
        <f>AND('Current Index'!G892,"AAAAABxv/UQ=")</f>
        <v>#VALUE!</v>
      </c>
      <c r="BR36" t="e">
        <f>AND('Current Index'!H892,"AAAAABxv/UU=")</f>
        <v>#VALUE!</v>
      </c>
      <c r="BS36" t="e">
        <f>AND('Current Index'!I892,"AAAAABxv/UY=")</f>
        <v>#VALUE!</v>
      </c>
      <c r="BT36">
        <f>IF('Current Index'!893:893,"AAAAABxv/Uc=",0)</f>
        <v>0</v>
      </c>
      <c r="BU36" t="e">
        <f>AND('Current Index'!A893,"AAAAABxv/Ug=")</f>
        <v>#VALUE!</v>
      </c>
      <c r="BV36" t="e">
        <f>AND('Current Index'!#REF!,"AAAAABxv/Uk=")</f>
        <v>#REF!</v>
      </c>
      <c r="BW36" t="e">
        <f>AND('Current Index'!B893,"AAAAABxv/Uo=")</f>
        <v>#VALUE!</v>
      </c>
      <c r="BX36" t="e">
        <f>AND('Current Index'!C893,"AAAAABxv/Us=")</f>
        <v>#VALUE!</v>
      </c>
      <c r="BY36" t="e">
        <f>AND('Current Index'!D893,"AAAAABxv/Uw=")</f>
        <v>#VALUE!</v>
      </c>
      <c r="BZ36" t="e">
        <f>AND('Current Index'!E893,"AAAAABxv/U0=")</f>
        <v>#VALUE!</v>
      </c>
      <c r="CA36" t="e">
        <f>AND('Current Index'!F893,"AAAAABxv/U4=")</f>
        <v>#VALUE!</v>
      </c>
      <c r="CB36" t="e">
        <f>AND('Current Index'!G893,"AAAAABxv/U8=")</f>
        <v>#VALUE!</v>
      </c>
      <c r="CC36" t="e">
        <f>AND('Current Index'!H893,"AAAAABxv/VA=")</f>
        <v>#VALUE!</v>
      </c>
      <c r="CD36" t="e">
        <f>AND('Current Index'!I893,"AAAAABxv/VE=")</f>
        <v>#VALUE!</v>
      </c>
      <c r="CE36" t="e">
        <f>IF('Current Index'!#REF!,"AAAAABxv/VI=",0)</f>
        <v>#REF!</v>
      </c>
      <c r="CF36" t="e">
        <f>AND('Current Index'!#REF!,"AAAAABxv/VM=")</f>
        <v>#REF!</v>
      </c>
      <c r="CG36" t="e">
        <f>AND('Current Index'!#REF!,"AAAAABxv/VQ=")</f>
        <v>#REF!</v>
      </c>
      <c r="CH36" t="e">
        <f>AND('Current Index'!#REF!,"AAAAABxv/VU=")</f>
        <v>#REF!</v>
      </c>
      <c r="CI36" t="e">
        <f>AND('Current Index'!#REF!,"AAAAABxv/VY=")</f>
        <v>#REF!</v>
      </c>
      <c r="CJ36" t="e">
        <f>AND('Current Index'!#REF!,"AAAAABxv/Vc=")</f>
        <v>#REF!</v>
      </c>
      <c r="CK36" t="e">
        <f>AND('Current Index'!#REF!,"AAAAABxv/Vg=")</f>
        <v>#REF!</v>
      </c>
      <c r="CL36" t="e">
        <f>AND('Current Index'!#REF!,"AAAAABxv/Vk=")</f>
        <v>#REF!</v>
      </c>
      <c r="CM36" t="e">
        <f>AND('Current Index'!#REF!,"AAAAABxv/Vo=")</f>
        <v>#REF!</v>
      </c>
      <c r="CN36" t="e">
        <f>AND('Current Index'!#REF!,"AAAAABxv/Vs=")</f>
        <v>#REF!</v>
      </c>
      <c r="CO36" t="e">
        <f>AND('Current Index'!#REF!,"AAAAABxv/Vw=")</f>
        <v>#REF!</v>
      </c>
      <c r="CP36">
        <f>IF('Current Index'!894:894,"AAAAABxv/V0=",0)</f>
        <v>0</v>
      </c>
      <c r="CQ36" t="e">
        <f>AND('Current Index'!A894,"AAAAABxv/V4=")</f>
        <v>#VALUE!</v>
      </c>
      <c r="CR36" t="e">
        <f>AND('Current Index'!#REF!,"AAAAABxv/V8=")</f>
        <v>#REF!</v>
      </c>
      <c r="CS36" t="e">
        <f>AND('Current Index'!B894,"AAAAABxv/WA=")</f>
        <v>#VALUE!</v>
      </c>
      <c r="CT36" t="e">
        <f>AND('Current Index'!C894,"AAAAABxv/WE=")</f>
        <v>#VALUE!</v>
      </c>
      <c r="CU36" t="e">
        <f>AND('Current Index'!D894,"AAAAABxv/WI=")</f>
        <v>#VALUE!</v>
      </c>
      <c r="CV36" t="e">
        <f>AND('Current Index'!E894,"AAAAABxv/WM=")</f>
        <v>#VALUE!</v>
      </c>
      <c r="CW36" t="e">
        <f>AND('Current Index'!F894,"AAAAABxv/WQ=")</f>
        <v>#VALUE!</v>
      </c>
      <c r="CX36" t="e">
        <f>AND('Current Index'!G894,"AAAAABxv/WU=")</f>
        <v>#VALUE!</v>
      </c>
      <c r="CY36" t="e">
        <f>AND('Current Index'!H894,"AAAAABxv/WY=")</f>
        <v>#VALUE!</v>
      </c>
      <c r="CZ36" t="e">
        <f>AND('Current Index'!I894,"AAAAABxv/Wc=")</f>
        <v>#VALUE!</v>
      </c>
      <c r="DA36" t="e">
        <f>IF('Current Index'!#REF!,"AAAAABxv/Wg=",0)</f>
        <v>#REF!</v>
      </c>
      <c r="DB36" t="e">
        <f>AND('Current Index'!#REF!,"AAAAABxv/Wk=")</f>
        <v>#REF!</v>
      </c>
      <c r="DC36" t="e">
        <f>AND('Current Index'!#REF!,"AAAAABxv/Wo=")</f>
        <v>#REF!</v>
      </c>
      <c r="DD36" t="e">
        <f>AND('Current Index'!#REF!,"AAAAABxv/Ws=")</f>
        <v>#REF!</v>
      </c>
      <c r="DE36" t="e">
        <f>AND('Current Index'!#REF!,"AAAAABxv/Ww=")</f>
        <v>#REF!</v>
      </c>
      <c r="DF36" t="e">
        <f>AND('Current Index'!#REF!,"AAAAABxv/W0=")</f>
        <v>#REF!</v>
      </c>
      <c r="DG36" t="e">
        <f>AND('Current Index'!#REF!,"AAAAABxv/W4=")</f>
        <v>#REF!</v>
      </c>
      <c r="DH36" t="e">
        <f>AND('Current Index'!#REF!,"AAAAABxv/W8=")</f>
        <v>#REF!</v>
      </c>
      <c r="DI36" t="e">
        <f>AND('Current Index'!#REF!,"AAAAABxv/XA=")</f>
        <v>#REF!</v>
      </c>
      <c r="DJ36" t="e">
        <f>AND('Current Index'!#REF!,"AAAAABxv/XE=")</f>
        <v>#REF!</v>
      </c>
      <c r="DK36" t="e">
        <f>AND('Current Index'!#REF!,"AAAAABxv/XI=")</f>
        <v>#REF!</v>
      </c>
      <c r="DL36">
        <f>IF('Current Index'!895:895,"AAAAABxv/XM=",0)</f>
        <v>0</v>
      </c>
      <c r="DM36" t="e">
        <f>AND('Current Index'!A895,"AAAAABxv/XQ=")</f>
        <v>#VALUE!</v>
      </c>
      <c r="DN36" t="e">
        <f>AND('Current Index'!#REF!,"AAAAABxv/XU=")</f>
        <v>#REF!</v>
      </c>
      <c r="DO36" t="e">
        <f>AND('Current Index'!B895,"AAAAABxv/XY=")</f>
        <v>#VALUE!</v>
      </c>
      <c r="DP36" t="e">
        <f>AND('Current Index'!C895,"AAAAABxv/Xc=")</f>
        <v>#VALUE!</v>
      </c>
      <c r="DQ36" t="e">
        <f>AND('Current Index'!D895,"AAAAABxv/Xg=")</f>
        <v>#VALUE!</v>
      </c>
      <c r="DR36" t="e">
        <f>AND('Current Index'!E895,"AAAAABxv/Xk=")</f>
        <v>#VALUE!</v>
      </c>
      <c r="DS36" t="e">
        <f>AND('Current Index'!F895,"AAAAABxv/Xo=")</f>
        <v>#VALUE!</v>
      </c>
      <c r="DT36" t="e">
        <f>AND('Current Index'!G895,"AAAAABxv/Xs=")</f>
        <v>#VALUE!</v>
      </c>
      <c r="DU36" t="e">
        <f>AND('Current Index'!H895,"AAAAABxv/Xw=")</f>
        <v>#VALUE!</v>
      </c>
      <c r="DV36" t="e">
        <f>AND('Current Index'!I895,"AAAAABxv/X0=")</f>
        <v>#VALUE!</v>
      </c>
      <c r="DW36">
        <f>IF('Current Index'!896:896,"AAAAABxv/X4=",0)</f>
        <v>0</v>
      </c>
      <c r="DX36" t="e">
        <f>AND('Current Index'!A896,"AAAAABxv/X8=")</f>
        <v>#VALUE!</v>
      </c>
      <c r="DY36" t="e">
        <f>AND('Current Index'!#REF!,"AAAAABxv/YA=")</f>
        <v>#REF!</v>
      </c>
      <c r="DZ36" t="e">
        <f>AND('Current Index'!B896,"AAAAABxv/YE=")</f>
        <v>#VALUE!</v>
      </c>
      <c r="EA36" t="e">
        <f>AND('Current Index'!C896,"AAAAABxv/YI=")</f>
        <v>#VALUE!</v>
      </c>
      <c r="EB36" t="e">
        <f>AND('Current Index'!D896,"AAAAABxv/YM=")</f>
        <v>#VALUE!</v>
      </c>
      <c r="EC36" t="e">
        <f>AND('Current Index'!E896,"AAAAABxv/YQ=")</f>
        <v>#VALUE!</v>
      </c>
      <c r="ED36" t="e">
        <f>AND('Current Index'!F896,"AAAAABxv/YU=")</f>
        <v>#VALUE!</v>
      </c>
      <c r="EE36" t="e">
        <f>AND('Current Index'!G896,"AAAAABxv/YY=")</f>
        <v>#VALUE!</v>
      </c>
      <c r="EF36" t="e">
        <f>AND('Current Index'!H896,"AAAAABxv/Yc=")</f>
        <v>#VALUE!</v>
      </c>
      <c r="EG36" t="e">
        <f>AND('Current Index'!I896,"AAAAABxv/Yg=")</f>
        <v>#VALUE!</v>
      </c>
      <c r="EH36">
        <f>IF('Current Index'!897:897,"AAAAABxv/Yk=",0)</f>
        <v>0</v>
      </c>
      <c r="EI36" t="e">
        <f>AND('Current Index'!A897,"AAAAABxv/Yo=")</f>
        <v>#VALUE!</v>
      </c>
      <c r="EJ36" t="e">
        <f>AND('Current Index'!#REF!,"AAAAABxv/Ys=")</f>
        <v>#REF!</v>
      </c>
      <c r="EK36" t="e">
        <f>AND('Current Index'!B897,"AAAAABxv/Yw=")</f>
        <v>#VALUE!</v>
      </c>
      <c r="EL36" t="e">
        <f>AND('Current Index'!C897,"AAAAABxv/Y0=")</f>
        <v>#VALUE!</v>
      </c>
      <c r="EM36" t="e">
        <f>AND('Current Index'!D897,"AAAAABxv/Y4=")</f>
        <v>#VALUE!</v>
      </c>
      <c r="EN36" t="e">
        <f>AND('Current Index'!E897,"AAAAABxv/Y8=")</f>
        <v>#VALUE!</v>
      </c>
      <c r="EO36" t="e">
        <f>AND('Current Index'!F897,"AAAAABxv/ZA=")</f>
        <v>#VALUE!</v>
      </c>
      <c r="EP36" t="e">
        <f>AND('Current Index'!G897,"AAAAABxv/ZE=")</f>
        <v>#VALUE!</v>
      </c>
      <c r="EQ36" t="e">
        <f>AND('Current Index'!H897,"AAAAABxv/ZI=")</f>
        <v>#VALUE!</v>
      </c>
      <c r="ER36" t="e">
        <f>AND('Current Index'!I897,"AAAAABxv/ZM=")</f>
        <v>#VALUE!</v>
      </c>
      <c r="ES36">
        <f>IF('Current Index'!898:898,"AAAAABxv/ZQ=",0)</f>
        <v>0</v>
      </c>
      <c r="ET36" t="e">
        <f>AND('Current Index'!A898,"AAAAABxv/ZU=")</f>
        <v>#VALUE!</v>
      </c>
      <c r="EU36" t="e">
        <f>AND('Current Index'!#REF!,"AAAAABxv/ZY=")</f>
        <v>#REF!</v>
      </c>
      <c r="EV36" t="e">
        <f>AND('Current Index'!B898,"AAAAABxv/Zc=")</f>
        <v>#VALUE!</v>
      </c>
      <c r="EW36" t="e">
        <f>AND('Current Index'!C898,"AAAAABxv/Zg=")</f>
        <v>#VALUE!</v>
      </c>
      <c r="EX36" t="e">
        <f>AND('Current Index'!D898,"AAAAABxv/Zk=")</f>
        <v>#VALUE!</v>
      </c>
      <c r="EY36" t="e">
        <f>AND('Current Index'!E898,"AAAAABxv/Zo=")</f>
        <v>#VALUE!</v>
      </c>
      <c r="EZ36" t="e">
        <f>AND('Current Index'!F898,"AAAAABxv/Zs=")</f>
        <v>#VALUE!</v>
      </c>
      <c r="FA36" t="e">
        <f>AND('Current Index'!G898,"AAAAABxv/Zw=")</f>
        <v>#VALUE!</v>
      </c>
      <c r="FB36" t="e">
        <f>AND('Current Index'!H898,"AAAAABxv/Z0=")</f>
        <v>#VALUE!</v>
      </c>
      <c r="FC36" t="e">
        <f>AND('Current Index'!I898,"AAAAABxv/Z4=")</f>
        <v>#VALUE!</v>
      </c>
      <c r="FD36">
        <f>IF('Current Index'!899:899,"AAAAABxv/Z8=",0)</f>
        <v>0</v>
      </c>
      <c r="FE36" t="e">
        <f>AND('Current Index'!A899,"AAAAABxv/aA=")</f>
        <v>#VALUE!</v>
      </c>
      <c r="FF36" t="e">
        <f>AND('Current Index'!#REF!,"AAAAABxv/aE=")</f>
        <v>#REF!</v>
      </c>
      <c r="FG36" t="e">
        <f>AND('Current Index'!B899,"AAAAABxv/aI=")</f>
        <v>#VALUE!</v>
      </c>
      <c r="FH36" t="e">
        <f>AND('Current Index'!C899,"AAAAABxv/aM=")</f>
        <v>#VALUE!</v>
      </c>
      <c r="FI36" t="e">
        <f>AND('Current Index'!D899,"AAAAABxv/aQ=")</f>
        <v>#VALUE!</v>
      </c>
      <c r="FJ36" t="e">
        <f>AND('Current Index'!E899,"AAAAABxv/aU=")</f>
        <v>#VALUE!</v>
      </c>
      <c r="FK36" t="e">
        <f>AND('Current Index'!F899,"AAAAABxv/aY=")</f>
        <v>#VALUE!</v>
      </c>
      <c r="FL36" t="e">
        <f>AND('Current Index'!G899,"AAAAABxv/ac=")</f>
        <v>#VALUE!</v>
      </c>
      <c r="FM36" t="e">
        <f>AND('Current Index'!H899,"AAAAABxv/ag=")</f>
        <v>#VALUE!</v>
      </c>
      <c r="FN36" t="e">
        <f>AND('Current Index'!I899,"AAAAABxv/ak=")</f>
        <v>#VALUE!</v>
      </c>
      <c r="FO36" t="e">
        <f>IF('Current Index'!#REF!,"AAAAABxv/ao=",0)</f>
        <v>#REF!</v>
      </c>
      <c r="FP36" t="e">
        <f>AND('Current Index'!#REF!,"AAAAABxv/as=")</f>
        <v>#REF!</v>
      </c>
      <c r="FQ36" t="e">
        <f>AND('Current Index'!#REF!,"AAAAABxv/aw=")</f>
        <v>#REF!</v>
      </c>
      <c r="FR36" t="e">
        <f>AND('Current Index'!#REF!,"AAAAABxv/a0=")</f>
        <v>#REF!</v>
      </c>
      <c r="FS36" t="e">
        <f>AND('Current Index'!#REF!,"AAAAABxv/a4=")</f>
        <v>#REF!</v>
      </c>
      <c r="FT36" t="e">
        <f>AND('Current Index'!#REF!,"AAAAABxv/a8=")</f>
        <v>#REF!</v>
      </c>
      <c r="FU36" t="e">
        <f>AND('Current Index'!#REF!,"AAAAABxv/bA=")</f>
        <v>#REF!</v>
      </c>
      <c r="FV36" t="e">
        <f>AND('Current Index'!#REF!,"AAAAABxv/bE=")</f>
        <v>#REF!</v>
      </c>
      <c r="FW36" t="e">
        <f>AND('Current Index'!#REF!,"AAAAABxv/bI=")</f>
        <v>#REF!</v>
      </c>
      <c r="FX36" t="e">
        <f>AND('Current Index'!#REF!,"AAAAABxv/bM=")</f>
        <v>#REF!</v>
      </c>
      <c r="FY36" t="e">
        <f>AND('Current Index'!#REF!,"AAAAABxv/bQ=")</f>
        <v>#REF!</v>
      </c>
      <c r="FZ36">
        <f>IF('Current Index'!900:900,"AAAAABxv/bU=",0)</f>
        <v>0</v>
      </c>
      <c r="GA36" t="e">
        <f>AND('Current Index'!A900,"AAAAABxv/bY=")</f>
        <v>#VALUE!</v>
      </c>
      <c r="GB36" t="e">
        <f>AND('Current Index'!#REF!,"AAAAABxv/bc=")</f>
        <v>#REF!</v>
      </c>
      <c r="GC36" t="e">
        <f>AND('Current Index'!B900,"AAAAABxv/bg=")</f>
        <v>#VALUE!</v>
      </c>
      <c r="GD36" t="e">
        <f>AND('Current Index'!C900,"AAAAABxv/bk=")</f>
        <v>#VALUE!</v>
      </c>
      <c r="GE36" t="e">
        <f>AND('Current Index'!D900,"AAAAABxv/bo=")</f>
        <v>#VALUE!</v>
      </c>
      <c r="GF36" t="e">
        <f>AND('Current Index'!E900,"AAAAABxv/bs=")</f>
        <v>#VALUE!</v>
      </c>
      <c r="GG36" t="e">
        <f>AND('Current Index'!F900,"AAAAABxv/bw=")</f>
        <v>#VALUE!</v>
      </c>
      <c r="GH36" t="e">
        <f>AND('Current Index'!G900,"AAAAABxv/b0=")</f>
        <v>#VALUE!</v>
      </c>
      <c r="GI36" t="e">
        <f>AND('Current Index'!H900,"AAAAABxv/b4=")</f>
        <v>#VALUE!</v>
      </c>
      <c r="GJ36" t="e">
        <f>AND('Current Index'!I900,"AAAAABxv/b8=")</f>
        <v>#VALUE!</v>
      </c>
      <c r="GK36" t="e">
        <f>IF('Current Index'!#REF!,"AAAAABxv/cA=",0)</f>
        <v>#REF!</v>
      </c>
      <c r="GL36" t="e">
        <f>AND('Current Index'!#REF!,"AAAAABxv/cE=")</f>
        <v>#REF!</v>
      </c>
      <c r="GM36" t="e">
        <f>AND('Current Index'!#REF!,"AAAAABxv/cI=")</f>
        <v>#REF!</v>
      </c>
      <c r="GN36" t="e">
        <f>AND('Current Index'!#REF!,"AAAAABxv/cM=")</f>
        <v>#REF!</v>
      </c>
      <c r="GO36" t="e">
        <f>AND('Current Index'!#REF!,"AAAAABxv/cQ=")</f>
        <v>#REF!</v>
      </c>
      <c r="GP36" t="e">
        <f>AND('Current Index'!#REF!,"AAAAABxv/cU=")</f>
        <v>#REF!</v>
      </c>
      <c r="GQ36" t="e">
        <f>AND('Current Index'!#REF!,"AAAAABxv/cY=")</f>
        <v>#REF!</v>
      </c>
      <c r="GR36" t="e">
        <f>AND('Current Index'!#REF!,"AAAAABxv/cc=")</f>
        <v>#REF!</v>
      </c>
      <c r="GS36" t="e">
        <f>AND('Current Index'!#REF!,"AAAAABxv/cg=")</f>
        <v>#REF!</v>
      </c>
      <c r="GT36" t="e">
        <f>AND('Current Index'!#REF!,"AAAAABxv/ck=")</f>
        <v>#REF!</v>
      </c>
      <c r="GU36" t="e">
        <f>AND('Current Index'!#REF!,"AAAAABxv/co=")</f>
        <v>#REF!</v>
      </c>
      <c r="GV36">
        <f>IF('Current Index'!901:901,"AAAAABxv/cs=",0)</f>
        <v>0</v>
      </c>
      <c r="GW36" t="e">
        <f>AND('Current Index'!A901,"AAAAABxv/cw=")</f>
        <v>#VALUE!</v>
      </c>
      <c r="GX36" t="e">
        <f>AND('Current Index'!#REF!,"AAAAABxv/c0=")</f>
        <v>#REF!</v>
      </c>
      <c r="GY36" t="e">
        <f>AND('Current Index'!B901,"AAAAABxv/c4=")</f>
        <v>#VALUE!</v>
      </c>
      <c r="GZ36" t="e">
        <f>AND('Current Index'!C901,"AAAAABxv/c8=")</f>
        <v>#VALUE!</v>
      </c>
      <c r="HA36" t="e">
        <f>AND('Current Index'!D901,"AAAAABxv/dA=")</f>
        <v>#VALUE!</v>
      </c>
      <c r="HB36" t="e">
        <f>AND('Current Index'!E901,"AAAAABxv/dE=")</f>
        <v>#VALUE!</v>
      </c>
      <c r="HC36" t="e">
        <f>AND('Current Index'!F901,"AAAAABxv/dI=")</f>
        <v>#VALUE!</v>
      </c>
      <c r="HD36" t="e">
        <f>AND('Current Index'!G901,"AAAAABxv/dM=")</f>
        <v>#VALUE!</v>
      </c>
      <c r="HE36" t="e">
        <f>AND('Current Index'!H901,"AAAAABxv/dQ=")</f>
        <v>#VALUE!</v>
      </c>
      <c r="HF36" t="e">
        <f>AND('Current Index'!I901,"AAAAABxv/dU=")</f>
        <v>#VALUE!</v>
      </c>
      <c r="HG36">
        <f>IF('Current Index'!902:902,"AAAAABxv/dY=",0)</f>
        <v>0</v>
      </c>
      <c r="HH36" t="e">
        <f>AND('Current Index'!A902,"AAAAABxv/dc=")</f>
        <v>#VALUE!</v>
      </c>
      <c r="HI36" t="e">
        <f>AND('Current Index'!#REF!,"AAAAABxv/dg=")</f>
        <v>#REF!</v>
      </c>
      <c r="HJ36" t="e">
        <f>AND('Current Index'!B902,"AAAAABxv/dk=")</f>
        <v>#VALUE!</v>
      </c>
      <c r="HK36" t="e">
        <f>AND('Current Index'!C902,"AAAAABxv/do=")</f>
        <v>#VALUE!</v>
      </c>
      <c r="HL36" t="e">
        <f>AND('Current Index'!D902,"AAAAABxv/ds=")</f>
        <v>#VALUE!</v>
      </c>
      <c r="HM36" t="e">
        <f>AND('Current Index'!E902,"AAAAABxv/dw=")</f>
        <v>#VALUE!</v>
      </c>
      <c r="HN36" t="e">
        <f>AND('Current Index'!F902,"AAAAABxv/d0=")</f>
        <v>#VALUE!</v>
      </c>
      <c r="HO36" t="e">
        <f>AND('Current Index'!G902,"AAAAABxv/d4=")</f>
        <v>#VALUE!</v>
      </c>
      <c r="HP36" t="e">
        <f>AND('Current Index'!H902,"AAAAABxv/d8=")</f>
        <v>#VALUE!</v>
      </c>
      <c r="HQ36" t="e">
        <f>AND('Current Index'!I902,"AAAAABxv/eA=")</f>
        <v>#VALUE!</v>
      </c>
      <c r="HR36">
        <f>IF('Current Index'!903:903,"AAAAABxv/eE=",0)</f>
        <v>0</v>
      </c>
      <c r="HS36" t="e">
        <f>AND('Current Index'!A903,"AAAAABxv/eI=")</f>
        <v>#VALUE!</v>
      </c>
      <c r="HT36" t="e">
        <f>AND('Current Index'!#REF!,"AAAAABxv/eM=")</f>
        <v>#REF!</v>
      </c>
      <c r="HU36" t="e">
        <f>AND('Current Index'!B903,"AAAAABxv/eQ=")</f>
        <v>#VALUE!</v>
      </c>
      <c r="HV36" t="e">
        <f>AND('Current Index'!C903,"AAAAABxv/eU=")</f>
        <v>#VALUE!</v>
      </c>
      <c r="HW36" t="e">
        <f>AND('Current Index'!D903,"AAAAABxv/eY=")</f>
        <v>#VALUE!</v>
      </c>
      <c r="HX36" t="e">
        <f>AND('Current Index'!E903,"AAAAABxv/ec=")</f>
        <v>#VALUE!</v>
      </c>
      <c r="HY36" t="e">
        <f>AND('Current Index'!F903,"AAAAABxv/eg=")</f>
        <v>#VALUE!</v>
      </c>
      <c r="HZ36" t="e">
        <f>AND('Current Index'!G903,"AAAAABxv/ek=")</f>
        <v>#VALUE!</v>
      </c>
      <c r="IA36" t="e">
        <f>AND('Current Index'!H903,"AAAAABxv/eo=")</f>
        <v>#VALUE!</v>
      </c>
      <c r="IB36" t="e">
        <f>AND('Current Index'!I903,"AAAAABxv/es=")</f>
        <v>#VALUE!</v>
      </c>
      <c r="IC36">
        <f>IF('Current Index'!904:904,"AAAAABxv/ew=",0)</f>
        <v>0</v>
      </c>
      <c r="ID36" t="e">
        <f>AND('Current Index'!A904,"AAAAABxv/e0=")</f>
        <v>#VALUE!</v>
      </c>
      <c r="IE36" t="e">
        <f>AND('Current Index'!#REF!,"AAAAABxv/e4=")</f>
        <v>#REF!</v>
      </c>
      <c r="IF36" t="e">
        <f>AND('Current Index'!B904,"AAAAABxv/e8=")</f>
        <v>#VALUE!</v>
      </c>
      <c r="IG36" t="e">
        <f>AND('Current Index'!C904,"AAAAABxv/fA=")</f>
        <v>#VALUE!</v>
      </c>
      <c r="IH36" t="e">
        <f>AND('Current Index'!D904,"AAAAABxv/fE=")</f>
        <v>#VALUE!</v>
      </c>
      <c r="II36" t="e">
        <f>AND('Current Index'!E904,"AAAAABxv/fI=")</f>
        <v>#VALUE!</v>
      </c>
      <c r="IJ36" t="e">
        <f>AND('Current Index'!F904,"AAAAABxv/fM=")</f>
        <v>#VALUE!</v>
      </c>
      <c r="IK36" t="e">
        <f>AND('Current Index'!G904,"AAAAABxv/fQ=")</f>
        <v>#VALUE!</v>
      </c>
      <c r="IL36" t="e">
        <f>AND('Current Index'!H904,"AAAAABxv/fU=")</f>
        <v>#VALUE!</v>
      </c>
      <c r="IM36" t="e">
        <f>AND('Current Index'!I904,"AAAAABxv/fY=")</f>
        <v>#VALUE!</v>
      </c>
      <c r="IN36">
        <f>IF('Current Index'!905:905,"AAAAABxv/fc=",0)</f>
        <v>0</v>
      </c>
      <c r="IO36" t="e">
        <f>AND('Current Index'!A905,"AAAAABxv/fg=")</f>
        <v>#VALUE!</v>
      </c>
      <c r="IP36" t="e">
        <f>AND('Current Index'!#REF!,"AAAAABxv/fk=")</f>
        <v>#REF!</v>
      </c>
      <c r="IQ36" t="e">
        <f>AND('Current Index'!B905,"AAAAABxv/fo=")</f>
        <v>#VALUE!</v>
      </c>
      <c r="IR36" t="e">
        <f>AND('Current Index'!C905,"AAAAABxv/fs=")</f>
        <v>#VALUE!</v>
      </c>
      <c r="IS36" t="e">
        <f>AND('Current Index'!D905,"AAAAABxv/fw=")</f>
        <v>#VALUE!</v>
      </c>
      <c r="IT36" t="e">
        <f>AND('Current Index'!E905,"AAAAABxv/f0=")</f>
        <v>#VALUE!</v>
      </c>
      <c r="IU36" t="e">
        <f>AND('Current Index'!F905,"AAAAABxv/f4=")</f>
        <v>#VALUE!</v>
      </c>
      <c r="IV36" t="e">
        <f>AND('Current Index'!G905,"AAAAABxv/f8=")</f>
        <v>#VALUE!</v>
      </c>
    </row>
    <row r="37" spans="1:256" x14ac:dyDescent="0.25">
      <c r="A37" t="e">
        <f>AND('Current Index'!H905,"AAAAAH226wA=")</f>
        <v>#VALUE!</v>
      </c>
      <c r="B37" t="e">
        <f>AND('Current Index'!I905,"AAAAAH226wE=")</f>
        <v>#VALUE!</v>
      </c>
      <c r="C37" t="e">
        <f>IF('Current Index'!#REF!,"AAAAAH226wI=",0)</f>
        <v>#REF!</v>
      </c>
      <c r="D37" t="e">
        <f>AND('Current Index'!#REF!,"AAAAAH226wM=")</f>
        <v>#REF!</v>
      </c>
      <c r="E37" t="e">
        <f>AND('Current Index'!#REF!,"AAAAAH226wQ=")</f>
        <v>#REF!</v>
      </c>
      <c r="F37" t="e">
        <f>AND('Current Index'!#REF!,"AAAAAH226wU=")</f>
        <v>#REF!</v>
      </c>
      <c r="G37" t="e">
        <f>AND('Current Index'!#REF!,"AAAAAH226wY=")</f>
        <v>#REF!</v>
      </c>
      <c r="H37" t="e">
        <f>AND('Current Index'!#REF!,"AAAAAH226wc=")</f>
        <v>#REF!</v>
      </c>
      <c r="I37" t="e">
        <f>AND('Current Index'!#REF!,"AAAAAH226wg=")</f>
        <v>#REF!</v>
      </c>
      <c r="J37" t="e">
        <f>AND('Current Index'!#REF!,"AAAAAH226wk=")</f>
        <v>#REF!</v>
      </c>
      <c r="K37" t="e">
        <f>AND('Current Index'!#REF!,"AAAAAH226wo=")</f>
        <v>#REF!</v>
      </c>
      <c r="L37" t="e">
        <f>AND('Current Index'!#REF!,"AAAAAH226ws=")</f>
        <v>#REF!</v>
      </c>
      <c r="M37" t="e">
        <f>AND('Current Index'!#REF!,"AAAAAH226ww=")</f>
        <v>#REF!</v>
      </c>
      <c r="N37" t="e">
        <f>IF('Current Index'!#REF!,"AAAAAH226w0=",0)</f>
        <v>#REF!</v>
      </c>
      <c r="O37" t="e">
        <f>AND('Current Index'!#REF!,"AAAAAH226w4=")</f>
        <v>#REF!</v>
      </c>
      <c r="P37" t="e">
        <f>AND('Current Index'!#REF!,"AAAAAH226w8=")</f>
        <v>#REF!</v>
      </c>
      <c r="Q37" t="e">
        <f>AND('Current Index'!#REF!,"AAAAAH226xA=")</f>
        <v>#REF!</v>
      </c>
      <c r="R37" t="e">
        <f>AND('Current Index'!#REF!,"AAAAAH226xE=")</f>
        <v>#REF!</v>
      </c>
      <c r="S37" t="e">
        <f>AND('Current Index'!#REF!,"AAAAAH226xI=")</f>
        <v>#REF!</v>
      </c>
      <c r="T37" t="e">
        <f>AND('Current Index'!#REF!,"AAAAAH226xM=")</f>
        <v>#REF!</v>
      </c>
      <c r="U37" t="e">
        <f>AND('Current Index'!#REF!,"AAAAAH226xQ=")</f>
        <v>#REF!</v>
      </c>
      <c r="V37" t="e">
        <f>AND('Current Index'!#REF!,"AAAAAH226xU=")</f>
        <v>#REF!</v>
      </c>
      <c r="W37" t="e">
        <f>AND('Current Index'!#REF!,"AAAAAH226xY=")</f>
        <v>#REF!</v>
      </c>
      <c r="X37" t="e">
        <f>AND('Current Index'!#REF!,"AAAAAH226xc=")</f>
        <v>#REF!</v>
      </c>
      <c r="Y37">
        <f>IF('Current Index'!906:906,"AAAAAH226xg=",0)</f>
        <v>0</v>
      </c>
      <c r="Z37" t="e">
        <f>AND('Current Index'!A906,"AAAAAH226xk=")</f>
        <v>#VALUE!</v>
      </c>
      <c r="AA37" t="e">
        <f>AND('Current Index'!#REF!,"AAAAAH226xo=")</f>
        <v>#REF!</v>
      </c>
      <c r="AB37" t="e">
        <f>AND('Current Index'!B906,"AAAAAH226xs=")</f>
        <v>#VALUE!</v>
      </c>
      <c r="AC37" t="e">
        <f>AND('Current Index'!C906,"AAAAAH226xw=")</f>
        <v>#VALUE!</v>
      </c>
      <c r="AD37" t="e">
        <f>AND('Current Index'!D906,"AAAAAH226x0=")</f>
        <v>#VALUE!</v>
      </c>
      <c r="AE37" t="e">
        <f>AND('Current Index'!E906,"AAAAAH226x4=")</f>
        <v>#VALUE!</v>
      </c>
      <c r="AF37" t="e">
        <f>AND('Current Index'!F906,"AAAAAH226x8=")</f>
        <v>#VALUE!</v>
      </c>
      <c r="AG37" t="e">
        <f>AND('Current Index'!G906,"AAAAAH226yA=")</f>
        <v>#VALUE!</v>
      </c>
      <c r="AH37" t="e">
        <f>AND('Current Index'!H906,"AAAAAH226yE=")</f>
        <v>#VALUE!</v>
      </c>
      <c r="AI37" t="e">
        <f>AND('Current Index'!I906,"AAAAAH226yI=")</f>
        <v>#VALUE!</v>
      </c>
      <c r="AJ37">
        <f>IF('Current Index'!907:907,"AAAAAH226yM=",0)</f>
        <v>0</v>
      </c>
      <c r="AK37" t="e">
        <f>AND('Current Index'!A907,"AAAAAH226yQ=")</f>
        <v>#VALUE!</v>
      </c>
      <c r="AL37" t="e">
        <f>AND('Current Index'!#REF!,"AAAAAH226yU=")</f>
        <v>#REF!</v>
      </c>
      <c r="AM37" t="e">
        <f>AND('Current Index'!B907,"AAAAAH226yY=")</f>
        <v>#VALUE!</v>
      </c>
      <c r="AN37" t="e">
        <f>AND('Current Index'!C907,"AAAAAH226yc=")</f>
        <v>#VALUE!</v>
      </c>
      <c r="AO37" t="e">
        <f>AND('Current Index'!D907,"AAAAAH226yg=")</f>
        <v>#VALUE!</v>
      </c>
      <c r="AP37" t="e">
        <f>AND('Current Index'!E907,"AAAAAH226yk=")</f>
        <v>#VALUE!</v>
      </c>
      <c r="AQ37" t="e">
        <f>AND('Current Index'!F907,"AAAAAH226yo=")</f>
        <v>#VALUE!</v>
      </c>
      <c r="AR37" t="e">
        <f>AND('Current Index'!G907,"AAAAAH226ys=")</f>
        <v>#VALUE!</v>
      </c>
      <c r="AS37" t="e">
        <f>AND('Current Index'!H907,"AAAAAH226yw=")</f>
        <v>#VALUE!</v>
      </c>
      <c r="AT37" t="e">
        <f>AND('Current Index'!I907,"AAAAAH226y0=")</f>
        <v>#VALUE!</v>
      </c>
      <c r="AU37" t="e">
        <f>IF('Current Index'!#REF!,"AAAAAH226y4=",0)</f>
        <v>#REF!</v>
      </c>
      <c r="AV37" t="e">
        <f>AND('Current Index'!#REF!,"AAAAAH226y8=")</f>
        <v>#REF!</v>
      </c>
      <c r="AW37" t="e">
        <f>AND('Current Index'!#REF!,"AAAAAH226zA=")</f>
        <v>#REF!</v>
      </c>
      <c r="AX37" t="e">
        <f>AND('Current Index'!#REF!,"AAAAAH226zE=")</f>
        <v>#REF!</v>
      </c>
      <c r="AY37" t="e">
        <f>AND('Current Index'!#REF!,"AAAAAH226zI=")</f>
        <v>#REF!</v>
      </c>
      <c r="AZ37" t="e">
        <f>AND('Current Index'!#REF!,"AAAAAH226zM=")</f>
        <v>#REF!</v>
      </c>
      <c r="BA37" t="e">
        <f>AND('Current Index'!#REF!,"AAAAAH226zQ=")</f>
        <v>#REF!</v>
      </c>
      <c r="BB37" t="e">
        <f>AND('Current Index'!#REF!,"AAAAAH226zU=")</f>
        <v>#REF!</v>
      </c>
      <c r="BC37" t="e">
        <f>AND('Current Index'!#REF!,"AAAAAH226zY=")</f>
        <v>#REF!</v>
      </c>
      <c r="BD37" t="e">
        <f>AND('Current Index'!#REF!,"AAAAAH226zc=")</f>
        <v>#REF!</v>
      </c>
      <c r="BE37" t="e">
        <f>AND('Current Index'!#REF!,"AAAAAH226zg=")</f>
        <v>#REF!</v>
      </c>
      <c r="BF37">
        <f>IF('Current Index'!909:909,"AAAAAH226zk=",0)</f>
        <v>0</v>
      </c>
      <c r="BG37" t="e">
        <f>AND('Current Index'!A909,"AAAAAH226zo=")</f>
        <v>#VALUE!</v>
      </c>
      <c r="BH37" t="e">
        <f>AND('Current Index'!#REF!,"AAAAAH226zs=")</f>
        <v>#REF!</v>
      </c>
      <c r="BI37" t="e">
        <f>AND('Current Index'!B909,"AAAAAH226zw=")</f>
        <v>#VALUE!</v>
      </c>
      <c r="BJ37" t="e">
        <f>AND('Current Index'!C909,"AAAAAH226z0=")</f>
        <v>#VALUE!</v>
      </c>
      <c r="BK37" t="e">
        <f>AND('Current Index'!D909,"AAAAAH226z4=")</f>
        <v>#VALUE!</v>
      </c>
      <c r="BL37" t="e">
        <f>AND('Current Index'!E909,"AAAAAH226z8=")</f>
        <v>#VALUE!</v>
      </c>
      <c r="BM37" t="e">
        <f>AND('Current Index'!F909,"AAAAAH2260A=")</f>
        <v>#VALUE!</v>
      </c>
      <c r="BN37" t="e">
        <f>AND('Current Index'!G909,"AAAAAH2260E=")</f>
        <v>#VALUE!</v>
      </c>
      <c r="BO37" t="e">
        <f>AND('Current Index'!H909,"AAAAAH2260I=")</f>
        <v>#VALUE!</v>
      </c>
      <c r="BP37" t="e">
        <f>AND('Current Index'!I909,"AAAAAH2260M=")</f>
        <v>#VALUE!</v>
      </c>
      <c r="BQ37">
        <f>IF('Current Index'!910:910,"AAAAAH2260Q=",0)</f>
        <v>0</v>
      </c>
      <c r="BR37" t="e">
        <f>AND('Current Index'!A910,"AAAAAH2260U=")</f>
        <v>#VALUE!</v>
      </c>
      <c r="BS37" t="e">
        <f>AND('Current Index'!#REF!,"AAAAAH2260Y=")</f>
        <v>#REF!</v>
      </c>
      <c r="BT37" t="e">
        <f>AND('Current Index'!B910,"AAAAAH2260c=")</f>
        <v>#VALUE!</v>
      </c>
      <c r="BU37" t="e">
        <f>AND('Current Index'!C910,"AAAAAH2260g=")</f>
        <v>#VALUE!</v>
      </c>
      <c r="BV37" t="e">
        <f>AND('Current Index'!D910,"AAAAAH2260k=")</f>
        <v>#VALUE!</v>
      </c>
      <c r="BW37" t="e">
        <f>AND('Current Index'!E910,"AAAAAH2260o=")</f>
        <v>#VALUE!</v>
      </c>
      <c r="BX37" t="e">
        <f>AND('Current Index'!F910,"AAAAAH2260s=")</f>
        <v>#VALUE!</v>
      </c>
      <c r="BY37" t="e">
        <f>AND('Current Index'!G910,"AAAAAH2260w=")</f>
        <v>#VALUE!</v>
      </c>
      <c r="BZ37" t="e">
        <f>AND('Current Index'!H910,"AAAAAH22600=")</f>
        <v>#VALUE!</v>
      </c>
      <c r="CA37" t="e">
        <f>AND('Current Index'!I910,"AAAAAH22604=")</f>
        <v>#VALUE!</v>
      </c>
      <c r="CB37">
        <f>IF('Current Index'!911:911,"AAAAAH22608=",0)</f>
        <v>0</v>
      </c>
      <c r="CC37" t="e">
        <f>AND('Current Index'!A911,"AAAAAH2261A=")</f>
        <v>#VALUE!</v>
      </c>
      <c r="CD37" t="e">
        <f>AND('Current Index'!#REF!,"AAAAAH2261E=")</f>
        <v>#REF!</v>
      </c>
      <c r="CE37" t="e">
        <f>AND('Current Index'!B911,"AAAAAH2261I=")</f>
        <v>#VALUE!</v>
      </c>
      <c r="CF37" t="e">
        <f>AND('Current Index'!C911,"AAAAAH2261M=")</f>
        <v>#VALUE!</v>
      </c>
      <c r="CG37" t="e">
        <f>AND('Current Index'!D911,"AAAAAH2261Q=")</f>
        <v>#VALUE!</v>
      </c>
      <c r="CH37" t="e">
        <f>AND('Current Index'!E911,"AAAAAH2261U=")</f>
        <v>#VALUE!</v>
      </c>
      <c r="CI37" t="e">
        <f>AND('Current Index'!F911,"AAAAAH2261Y=")</f>
        <v>#VALUE!</v>
      </c>
      <c r="CJ37" t="e">
        <f>AND('Current Index'!G911,"AAAAAH2261c=")</f>
        <v>#VALUE!</v>
      </c>
      <c r="CK37" t="e">
        <f>AND('Current Index'!H911,"AAAAAH2261g=")</f>
        <v>#VALUE!</v>
      </c>
      <c r="CL37" t="e">
        <f>AND('Current Index'!I911,"AAAAAH2261k=")</f>
        <v>#VALUE!</v>
      </c>
      <c r="CM37" t="e">
        <f>IF('Current Index'!#REF!,"AAAAAH2261o=",0)</f>
        <v>#REF!</v>
      </c>
      <c r="CN37" t="e">
        <f>AND('Current Index'!#REF!,"AAAAAH2261s=")</f>
        <v>#REF!</v>
      </c>
      <c r="CO37" t="e">
        <f>AND('Current Index'!#REF!,"AAAAAH2261w=")</f>
        <v>#REF!</v>
      </c>
      <c r="CP37" t="e">
        <f>AND('Current Index'!#REF!,"AAAAAH22610=")</f>
        <v>#REF!</v>
      </c>
      <c r="CQ37" t="e">
        <f>AND('Current Index'!#REF!,"AAAAAH22614=")</f>
        <v>#REF!</v>
      </c>
      <c r="CR37" t="e">
        <f>AND('Current Index'!#REF!,"AAAAAH22618=")</f>
        <v>#REF!</v>
      </c>
      <c r="CS37" t="e">
        <f>AND('Current Index'!#REF!,"AAAAAH2262A=")</f>
        <v>#REF!</v>
      </c>
      <c r="CT37" t="e">
        <f>AND('Current Index'!#REF!,"AAAAAH2262E=")</f>
        <v>#REF!</v>
      </c>
      <c r="CU37" t="e">
        <f>AND('Current Index'!#REF!,"AAAAAH2262I=")</f>
        <v>#REF!</v>
      </c>
      <c r="CV37" t="e">
        <f>AND('Current Index'!#REF!,"AAAAAH2262M=")</f>
        <v>#REF!</v>
      </c>
      <c r="CW37" t="e">
        <f>AND('Current Index'!#REF!,"AAAAAH2262Q=")</f>
        <v>#REF!</v>
      </c>
      <c r="CX37">
        <f>IF('Current Index'!912:912,"AAAAAH2262U=",0)</f>
        <v>0</v>
      </c>
      <c r="CY37" t="e">
        <f>AND('Current Index'!A912,"AAAAAH2262Y=")</f>
        <v>#VALUE!</v>
      </c>
      <c r="CZ37" t="e">
        <f>AND('Current Index'!#REF!,"AAAAAH2262c=")</f>
        <v>#REF!</v>
      </c>
      <c r="DA37" t="e">
        <f>AND('Current Index'!B912,"AAAAAH2262g=")</f>
        <v>#VALUE!</v>
      </c>
      <c r="DB37" t="e">
        <f>AND('Current Index'!C912,"AAAAAH2262k=")</f>
        <v>#VALUE!</v>
      </c>
      <c r="DC37" t="e">
        <f>AND('Current Index'!D912,"AAAAAH2262o=")</f>
        <v>#VALUE!</v>
      </c>
      <c r="DD37" t="e">
        <f>AND('Current Index'!E912,"AAAAAH2262s=")</f>
        <v>#VALUE!</v>
      </c>
      <c r="DE37" t="e">
        <f>AND('Current Index'!F912,"AAAAAH2262w=")</f>
        <v>#VALUE!</v>
      </c>
      <c r="DF37" t="e">
        <f>AND('Current Index'!G912,"AAAAAH22620=")</f>
        <v>#VALUE!</v>
      </c>
      <c r="DG37" t="e">
        <f>AND('Current Index'!H912,"AAAAAH22624=")</f>
        <v>#VALUE!</v>
      </c>
      <c r="DH37" t="e">
        <f>AND('Current Index'!I912,"AAAAAH22628=")</f>
        <v>#VALUE!</v>
      </c>
      <c r="DI37">
        <f>IF('Current Index'!913:913,"AAAAAH2263A=",0)</f>
        <v>0</v>
      </c>
      <c r="DJ37" t="e">
        <f>AND('Current Index'!A913,"AAAAAH2263E=")</f>
        <v>#VALUE!</v>
      </c>
      <c r="DK37" t="e">
        <f>AND('Current Index'!#REF!,"AAAAAH2263I=")</f>
        <v>#REF!</v>
      </c>
      <c r="DL37" t="e">
        <f>AND('Current Index'!B913,"AAAAAH2263M=")</f>
        <v>#VALUE!</v>
      </c>
      <c r="DM37" t="e">
        <f>AND('Current Index'!C913,"AAAAAH2263Q=")</f>
        <v>#VALUE!</v>
      </c>
      <c r="DN37" t="e">
        <f>AND('Current Index'!D913,"AAAAAH2263U=")</f>
        <v>#VALUE!</v>
      </c>
      <c r="DO37" t="e">
        <f>AND('Current Index'!E913,"AAAAAH2263Y=")</f>
        <v>#VALUE!</v>
      </c>
      <c r="DP37" t="e">
        <f>AND('Current Index'!F913,"AAAAAH2263c=")</f>
        <v>#VALUE!</v>
      </c>
      <c r="DQ37" t="e">
        <f>AND('Current Index'!G913,"AAAAAH2263g=")</f>
        <v>#VALUE!</v>
      </c>
      <c r="DR37" t="e">
        <f>AND('Current Index'!H913,"AAAAAH2263k=")</f>
        <v>#VALUE!</v>
      </c>
      <c r="DS37" t="e">
        <f>AND('Current Index'!I913,"AAAAAH2263o=")</f>
        <v>#VALUE!</v>
      </c>
      <c r="DT37">
        <f>IF('Current Index'!914:914,"AAAAAH2263s=",0)</f>
        <v>0</v>
      </c>
      <c r="DU37" t="e">
        <f>AND('Current Index'!A914,"AAAAAH2263w=")</f>
        <v>#VALUE!</v>
      </c>
      <c r="DV37" t="e">
        <f>AND('Current Index'!#REF!,"AAAAAH22630=")</f>
        <v>#REF!</v>
      </c>
      <c r="DW37" t="e">
        <f>AND('Current Index'!B914,"AAAAAH22634=")</f>
        <v>#VALUE!</v>
      </c>
      <c r="DX37" t="e">
        <f>AND('Current Index'!C914,"AAAAAH22638=")</f>
        <v>#VALUE!</v>
      </c>
      <c r="DY37" t="e">
        <f>AND('Current Index'!D914,"AAAAAH2264A=")</f>
        <v>#VALUE!</v>
      </c>
      <c r="DZ37" t="e">
        <f>AND('Current Index'!E914,"AAAAAH2264E=")</f>
        <v>#VALUE!</v>
      </c>
      <c r="EA37" t="e">
        <f>AND('Current Index'!F914,"AAAAAH2264I=")</f>
        <v>#VALUE!</v>
      </c>
      <c r="EB37" t="e">
        <f>AND('Current Index'!G914,"AAAAAH2264M=")</f>
        <v>#VALUE!</v>
      </c>
      <c r="EC37" t="e">
        <f>AND('Current Index'!H914,"AAAAAH2264Q=")</f>
        <v>#VALUE!</v>
      </c>
      <c r="ED37" t="e">
        <f>AND('Current Index'!I914,"AAAAAH2264U=")</f>
        <v>#VALUE!</v>
      </c>
      <c r="EE37">
        <f>IF('Current Index'!915:915,"AAAAAH2264Y=",0)</f>
        <v>0</v>
      </c>
      <c r="EF37" t="e">
        <f>AND('Current Index'!A915,"AAAAAH2264c=")</f>
        <v>#VALUE!</v>
      </c>
      <c r="EG37" t="e">
        <f>AND('Current Index'!#REF!,"AAAAAH2264g=")</f>
        <v>#REF!</v>
      </c>
      <c r="EH37" t="e">
        <f>AND('Current Index'!B915,"AAAAAH2264k=")</f>
        <v>#VALUE!</v>
      </c>
      <c r="EI37" t="e">
        <f>AND('Current Index'!C915,"AAAAAH2264o=")</f>
        <v>#VALUE!</v>
      </c>
      <c r="EJ37" t="e">
        <f>AND('Current Index'!D915,"AAAAAH2264s=")</f>
        <v>#VALUE!</v>
      </c>
      <c r="EK37" t="e">
        <f>AND('Current Index'!E915,"AAAAAH2264w=")</f>
        <v>#VALUE!</v>
      </c>
      <c r="EL37" t="e">
        <f>AND('Current Index'!F915,"AAAAAH22640=")</f>
        <v>#VALUE!</v>
      </c>
      <c r="EM37" t="e">
        <f>AND('Current Index'!G915,"AAAAAH22644=")</f>
        <v>#VALUE!</v>
      </c>
      <c r="EN37" t="e">
        <f>AND('Current Index'!H915,"AAAAAH22648=")</f>
        <v>#VALUE!</v>
      </c>
      <c r="EO37" t="e">
        <f>AND('Current Index'!I915,"AAAAAH2265A=")</f>
        <v>#VALUE!</v>
      </c>
      <c r="EP37" t="e">
        <f>IF('Current Index'!#REF!,"AAAAAH2265E=",0)</f>
        <v>#REF!</v>
      </c>
      <c r="EQ37" t="e">
        <f>AND('Current Index'!#REF!,"AAAAAH2265I=")</f>
        <v>#REF!</v>
      </c>
      <c r="ER37" t="e">
        <f>AND('Current Index'!#REF!,"AAAAAH2265M=")</f>
        <v>#REF!</v>
      </c>
      <c r="ES37" t="e">
        <f>AND('Current Index'!#REF!,"AAAAAH2265Q=")</f>
        <v>#REF!</v>
      </c>
      <c r="ET37" t="e">
        <f>AND('Current Index'!#REF!,"AAAAAH2265U=")</f>
        <v>#REF!</v>
      </c>
      <c r="EU37" t="e">
        <f>AND('Current Index'!#REF!,"AAAAAH2265Y=")</f>
        <v>#REF!</v>
      </c>
      <c r="EV37" t="e">
        <f>AND('Current Index'!#REF!,"AAAAAH2265c=")</f>
        <v>#REF!</v>
      </c>
      <c r="EW37" t="e">
        <f>AND('Current Index'!#REF!,"AAAAAH2265g=")</f>
        <v>#REF!</v>
      </c>
      <c r="EX37" t="e">
        <f>AND('Current Index'!#REF!,"AAAAAH2265k=")</f>
        <v>#REF!</v>
      </c>
      <c r="EY37" t="e">
        <f>AND('Current Index'!#REF!,"AAAAAH2265o=")</f>
        <v>#REF!</v>
      </c>
      <c r="EZ37" t="e">
        <f>AND('Current Index'!#REF!,"AAAAAH2265s=")</f>
        <v>#REF!</v>
      </c>
      <c r="FA37">
        <f>IF('Current Index'!916:916,"AAAAAH2265w=",0)</f>
        <v>0</v>
      </c>
      <c r="FB37" t="e">
        <f>AND('Current Index'!A916,"AAAAAH22650=")</f>
        <v>#VALUE!</v>
      </c>
      <c r="FC37" t="e">
        <f>AND('Current Index'!#REF!,"AAAAAH22654=")</f>
        <v>#REF!</v>
      </c>
      <c r="FD37" t="e">
        <f>AND('Current Index'!B916,"AAAAAH22658=")</f>
        <v>#VALUE!</v>
      </c>
      <c r="FE37" t="e">
        <f>AND('Current Index'!C916,"AAAAAH2266A=")</f>
        <v>#VALUE!</v>
      </c>
      <c r="FF37" t="e">
        <f>AND('Current Index'!D916,"AAAAAH2266E=")</f>
        <v>#VALUE!</v>
      </c>
      <c r="FG37" t="e">
        <f>AND('Current Index'!E916,"AAAAAH2266I=")</f>
        <v>#VALUE!</v>
      </c>
      <c r="FH37" t="e">
        <f>AND('Current Index'!F916,"AAAAAH2266M=")</f>
        <v>#VALUE!</v>
      </c>
      <c r="FI37" t="e">
        <f>AND('Current Index'!G916,"AAAAAH2266Q=")</f>
        <v>#VALUE!</v>
      </c>
      <c r="FJ37" t="e">
        <f>AND('Current Index'!H916,"AAAAAH2266U=")</f>
        <v>#VALUE!</v>
      </c>
      <c r="FK37" t="e">
        <f>AND('Current Index'!I916,"AAAAAH2266Y=")</f>
        <v>#VALUE!</v>
      </c>
      <c r="FL37">
        <f>IF('Current Index'!917:917,"AAAAAH2266c=",0)</f>
        <v>0</v>
      </c>
      <c r="FM37" t="e">
        <f>AND('Current Index'!A917,"AAAAAH2266g=")</f>
        <v>#VALUE!</v>
      </c>
      <c r="FN37" t="e">
        <f>AND('Current Index'!#REF!,"AAAAAH2266k=")</f>
        <v>#REF!</v>
      </c>
      <c r="FO37" t="e">
        <f>AND('Current Index'!B917,"AAAAAH2266o=")</f>
        <v>#VALUE!</v>
      </c>
      <c r="FP37" t="e">
        <f>AND('Current Index'!C917,"AAAAAH2266s=")</f>
        <v>#VALUE!</v>
      </c>
      <c r="FQ37" t="e">
        <f>AND('Current Index'!D917,"AAAAAH2266w=")</f>
        <v>#VALUE!</v>
      </c>
      <c r="FR37" t="e">
        <f>AND('Current Index'!E917,"AAAAAH22660=")</f>
        <v>#VALUE!</v>
      </c>
      <c r="FS37" t="e">
        <f>AND('Current Index'!F917,"AAAAAH22664=")</f>
        <v>#VALUE!</v>
      </c>
      <c r="FT37" t="e">
        <f>AND('Current Index'!G917,"AAAAAH22668=")</f>
        <v>#VALUE!</v>
      </c>
      <c r="FU37" t="e">
        <f>AND('Current Index'!H917,"AAAAAH2267A=")</f>
        <v>#VALUE!</v>
      </c>
      <c r="FV37" t="e">
        <f>AND('Current Index'!I917,"AAAAAH2267E=")</f>
        <v>#VALUE!</v>
      </c>
      <c r="FW37">
        <f>IF('Current Index'!918:918,"AAAAAH2267I=",0)</f>
        <v>0</v>
      </c>
      <c r="FX37" t="e">
        <f>AND('Current Index'!A918,"AAAAAH2267M=")</f>
        <v>#VALUE!</v>
      </c>
      <c r="FY37" t="e">
        <f>AND('Current Index'!#REF!,"AAAAAH2267Q=")</f>
        <v>#REF!</v>
      </c>
      <c r="FZ37" t="e">
        <f>AND('Current Index'!B918,"AAAAAH2267U=")</f>
        <v>#VALUE!</v>
      </c>
      <c r="GA37" t="e">
        <f>AND('Current Index'!C918,"AAAAAH2267Y=")</f>
        <v>#VALUE!</v>
      </c>
      <c r="GB37" t="e">
        <f>AND('Current Index'!D918,"AAAAAH2267c=")</f>
        <v>#VALUE!</v>
      </c>
      <c r="GC37" t="e">
        <f>AND('Current Index'!E918,"AAAAAH2267g=")</f>
        <v>#VALUE!</v>
      </c>
      <c r="GD37" t="e">
        <f>AND('Current Index'!F918,"AAAAAH2267k=")</f>
        <v>#VALUE!</v>
      </c>
      <c r="GE37" t="e">
        <f>AND('Current Index'!G918,"AAAAAH2267o=")</f>
        <v>#VALUE!</v>
      </c>
      <c r="GF37" t="e">
        <f>AND('Current Index'!H918,"AAAAAH2267s=")</f>
        <v>#VALUE!</v>
      </c>
      <c r="GG37" t="e">
        <f>AND('Current Index'!I918,"AAAAAH2267w=")</f>
        <v>#VALUE!</v>
      </c>
      <c r="GH37">
        <f>IF('Current Index'!919:919,"AAAAAH22670=",0)</f>
        <v>0</v>
      </c>
      <c r="GI37" t="e">
        <f>AND('Current Index'!A919,"AAAAAH22674=")</f>
        <v>#VALUE!</v>
      </c>
      <c r="GJ37" t="e">
        <f>AND('Current Index'!#REF!,"AAAAAH22678=")</f>
        <v>#REF!</v>
      </c>
      <c r="GK37" t="e">
        <f>AND('Current Index'!B919,"AAAAAH2268A=")</f>
        <v>#VALUE!</v>
      </c>
      <c r="GL37" t="e">
        <f>AND('Current Index'!C919,"AAAAAH2268E=")</f>
        <v>#VALUE!</v>
      </c>
      <c r="GM37" t="e">
        <f>AND('Current Index'!D919,"AAAAAH2268I=")</f>
        <v>#VALUE!</v>
      </c>
      <c r="GN37" t="e">
        <f>AND('Current Index'!E919,"AAAAAH2268M=")</f>
        <v>#VALUE!</v>
      </c>
      <c r="GO37" t="e">
        <f>AND('Current Index'!F919,"AAAAAH2268Q=")</f>
        <v>#VALUE!</v>
      </c>
      <c r="GP37" t="e">
        <f>AND('Current Index'!G919,"AAAAAH2268U=")</f>
        <v>#VALUE!</v>
      </c>
      <c r="GQ37" t="e">
        <f>AND('Current Index'!H919,"AAAAAH2268Y=")</f>
        <v>#VALUE!</v>
      </c>
      <c r="GR37" t="e">
        <f>AND('Current Index'!I919,"AAAAAH2268c=")</f>
        <v>#VALUE!</v>
      </c>
      <c r="GS37">
        <f>IF('Current Index'!920:920,"AAAAAH2268g=",0)</f>
        <v>0</v>
      </c>
      <c r="GT37" t="e">
        <f>AND('Current Index'!A920,"AAAAAH2268k=")</f>
        <v>#VALUE!</v>
      </c>
      <c r="GU37" t="e">
        <f>AND('Current Index'!#REF!,"AAAAAH2268o=")</f>
        <v>#REF!</v>
      </c>
      <c r="GV37" t="e">
        <f>AND('Current Index'!B920,"AAAAAH2268s=")</f>
        <v>#VALUE!</v>
      </c>
      <c r="GW37" t="e">
        <f>AND('Current Index'!C920,"AAAAAH2268w=")</f>
        <v>#VALUE!</v>
      </c>
      <c r="GX37" t="e">
        <f>AND('Current Index'!D920,"AAAAAH22680=")</f>
        <v>#VALUE!</v>
      </c>
      <c r="GY37" t="e">
        <f>AND('Current Index'!E920,"AAAAAH22684=")</f>
        <v>#VALUE!</v>
      </c>
      <c r="GZ37" t="e">
        <f>AND('Current Index'!F920,"AAAAAH22688=")</f>
        <v>#VALUE!</v>
      </c>
      <c r="HA37" t="e">
        <f>AND('Current Index'!G920,"AAAAAH2269A=")</f>
        <v>#VALUE!</v>
      </c>
      <c r="HB37" t="e">
        <f>AND('Current Index'!H920,"AAAAAH2269E=")</f>
        <v>#VALUE!</v>
      </c>
      <c r="HC37" t="e">
        <f>AND('Current Index'!I920,"AAAAAH2269I=")</f>
        <v>#VALUE!</v>
      </c>
      <c r="HD37">
        <f>IF('Current Index'!921:921,"AAAAAH2269M=",0)</f>
        <v>0</v>
      </c>
      <c r="HE37" t="e">
        <f>AND('Current Index'!A921,"AAAAAH2269Q=")</f>
        <v>#VALUE!</v>
      </c>
      <c r="HF37" t="e">
        <f>AND('Current Index'!#REF!,"AAAAAH2269U=")</f>
        <v>#REF!</v>
      </c>
      <c r="HG37" t="e">
        <f>AND('Current Index'!B921,"AAAAAH2269Y=")</f>
        <v>#VALUE!</v>
      </c>
      <c r="HH37" t="e">
        <f>AND('Current Index'!C921,"AAAAAH2269c=")</f>
        <v>#VALUE!</v>
      </c>
      <c r="HI37" t="e">
        <f>AND('Current Index'!D921,"AAAAAH2269g=")</f>
        <v>#VALUE!</v>
      </c>
      <c r="HJ37" t="e">
        <f>AND('Current Index'!E921,"AAAAAH2269k=")</f>
        <v>#VALUE!</v>
      </c>
      <c r="HK37" t="e">
        <f>AND('Current Index'!F921,"AAAAAH2269o=")</f>
        <v>#VALUE!</v>
      </c>
      <c r="HL37" t="e">
        <f>AND('Current Index'!G921,"AAAAAH2269s=")</f>
        <v>#VALUE!</v>
      </c>
      <c r="HM37" t="e">
        <f>AND('Current Index'!H921,"AAAAAH2269w=")</f>
        <v>#VALUE!</v>
      </c>
      <c r="HN37" t="e">
        <f>AND('Current Index'!I921,"AAAAAH22690=")</f>
        <v>#VALUE!</v>
      </c>
      <c r="HO37">
        <f>IF('Current Index'!922:922,"AAAAAH22694=",0)</f>
        <v>0</v>
      </c>
      <c r="HP37" t="e">
        <f>AND('Current Index'!A922,"AAAAAH22698=")</f>
        <v>#VALUE!</v>
      </c>
      <c r="HQ37" t="e">
        <f>AND('Current Index'!#REF!,"AAAAAH226+A=")</f>
        <v>#REF!</v>
      </c>
      <c r="HR37" t="e">
        <f>AND('Current Index'!B922,"AAAAAH226+E=")</f>
        <v>#VALUE!</v>
      </c>
      <c r="HS37" t="e">
        <f>AND('Current Index'!C922,"AAAAAH226+I=")</f>
        <v>#VALUE!</v>
      </c>
      <c r="HT37" t="e">
        <f>AND('Current Index'!D922,"AAAAAH226+M=")</f>
        <v>#VALUE!</v>
      </c>
      <c r="HU37" t="e">
        <f>AND('Current Index'!E922,"AAAAAH226+Q=")</f>
        <v>#VALUE!</v>
      </c>
      <c r="HV37" t="e">
        <f>AND('Current Index'!F922,"AAAAAH226+U=")</f>
        <v>#VALUE!</v>
      </c>
      <c r="HW37" t="e">
        <f>AND('Current Index'!G922,"AAAAAH226+Y=")</f>
        <v>#VALUE!</v>
      </c>
      <c r="HX37" t="e">
        <f>AND('Current Index'!H922,"AAAAAH226+c=")</f>
        <v>#VALUE!</v>
      </c>
      <c r="HY37" t="e">
        <f>AND('Current Index'!I922,"AAAAAH226+g=")</f>
        <v>#VALUE!</v>
      </c>
      <c r="HZ37">
        <f>IF('Current Index'!923:923,"AAAAAH226+k=",0)</f>
        <v>0</v>
      </c>
      <c r="IA37" t="e">
        <f>AND('Current Index'!A923,"AAAAAH226+o=")</f>
        <v>#VALUE!</v>
      </c>
      <c r="IB37" t="e">
        <f>AND('Current Index'!#REF!,"AAAAAH226+s=")</f>
        <v>#REF!</v>
      </c>
      <c r="IC37" t="e">
        <f>AND('Current Index'!B923,"AAAAAH226+w=")</f>
        <v>#VALUE!</v>
      </c>
      <c r="ID37" t="e">
        <f>AND('Current Index'!C923,"AAAAAH226+0=")</f>
        <v>#VALUE!</v>
      </c>
      <c r="IE37" t="e">
        <f>AND('Current Index'!D923,"AAAAAH226+4=")</f>
        <v>#VALUE!</v>
      </c>
      <c r="IF37" t="e">
        <f>AND('Current Index'!E923,"AAAAAH226+8=")</f>
        <v>#VALUE!</v>
      </c>
      <c r="IG37" t="e">
        <f>AND('Current Index'!F923,"AAAAAH226/A=")</f>
        <v>#VALUE!</v>
      </c>
      <c r="IH37" t="e">
        <f>AND('Current Index'!G923,"AAAAAH226/E=")</f>
        <v>#VALUE!</v>
      </c>
      <c r="II37" t="e">
        <f>AND('Current Index'!H923,"AAAAAH226/I=")</f>
        <v>#VALUE!</v>
      </c>
      <c r="IJ37" t="e">
        <f>AND('Current Index'!I923,"AAAAAH226/M=")</f>
        <v>#VALUE!</v>
      </c>
      <c r="IK37">
        <f>IF('Current Index'!924:924,"AAAAAH226/Q=",0)</f>
        <v>0</v>
      </c>
      <c r="IL37" t="e">
        <f>AND('Current Index'!A924,"AAAAAH226/U=")</f>
        <v>#VALUE!</v>
      </c>
      <c r="IM37" t="e">
        <f>AND('Current Index'!#REF!,"AAAAAH226/Y=")</f>
        <v>#REF!</v>
      </c>
      <c r="IN37" t="e">
        <f>AND('Current Index'!B924,"AAAAAH226/c=")</f>
        <v>#VALUE!</v>
      </c>
      <c r="IO37" t="e">
        <f>AND('Current Index'!C924,"AAAAAH226/g=")</f>
        <v>#VALUE!</v>
      </c>
      <c r="IP37" t="e">
        <f>AND('Current Index'!D924,"AAAAAH226/k=")</f>
        <v>#VALUE!</v>
      </c>
      <c r="IQ37" t="e">
        <f>AND('Current Index'!E924,"AAAAAH226/o=")</f>
        <v>#VALUE!</v>
      </c>
      <c r="IR37" t="e">
        <f>AND('Current Index'!F924,"AAAAAH226/s=")</f>
        <v>#VALUE!</v>
      </c>
      <c r="IS37" t="e">
        <f>AND('Current Index'!G924,"AAAAAH226/w=")</f>
        <v>#VALUE!</v>
      </c>
      <c r="IT37" t="e">
        <f>AND('Current Index'!H924,"AAAAAH226/0=")</f>
        <v>#VALUE!</v>
      </c>
      <c r="IU37" t="e">
        <f>AND('Current Index'!I924,"AAAAAH226/4=")</f>
        <v>#VALUE!</v>
      </c>
      <c r="IV37">
        <f>IF('Current Index'!925:925,"AAAAAH226/8=",0)</f>
        <v>0</v>
      </c>
    </row>
    <row r="38" spans="1:256" x14ac:dyDescent="0.25">
      <c r="A38" t="e">
        <f>AND('Current Index'!A925,"AAAAAGfnuwA=")</f>
        <v>#VALUE!</v>
      </c>
      <c r="B38" t="e">
        <f>AND('Current Index'!#REF!,"AAAAAGfnuwE=")</f>
        <v>#REF!</v>
      </c>
      <c r="C38" t="e">
        <f>AND('Current Index'!B925,"AAAAAGfnuwI=")</f>
        <v>#VALUE!</v>
      </c>
      <c r="D38" t="e">
        <f>AND('Current Index'!C925,"AAAAAGfnuwM=")</f>
        <v>#VALUE!</v>
      </c>
      <c r="E38" t="e">
        <f>AND('Current Index'!D925,"AAAAAGfnuwQ=")</f>
        <v>#VALUE!</v>
      </c>
      <c r="F38" t="e">
        <f>AND('Current Index'!E925,"AAAAAGfnuwU=")</f>
        <v>#VALUE!</v>
      </c>
      <c r="G38" t="e">
        <f>AND('Current Index'!F925,"AAAAAGfnuwY=")</f>
        <v>#VALUE!</v>
      </c>
      <c r="H38" t="e">
        <f>AND('Current Index'!G925,"AAAAAGfnuwc=")</f>
        <v>#VALUE!</v>
      </c>
      <c r="I38" t="e">
        <f>AND('Current Index'!H925,"AAAAAGfnuwg=")</f>
        <v>#VALUE!</v>
      </c>
      <c r="J38" t="e">
        <f>AND('Current Index'!I925,"AAAAAGfnuwk=")</f>
        <v>#VALUE!</v>
      </c>
      <c r="K38">
        <f>IF('Current Index'!930:930,"AAAAAGfnuwo=",0)</f>
        <v>0</v>
      </c>
      <c r="L38" t="e">
        <f>AND('Current Index'!A930,"AAAAAGfnuws=")</f>
        <v>#VALUE!</v>
      </c>
      <c r="M38" t="e">
        <f>AND('Current Index'!#REF!,"AAAAAGfnuww=")</f>
        <v>#REF!</v>
      </c>
      <c r="N38" t="e">
        <f>AND('Current Index'!B930,"AAAAAGfnuw0=")</f>
        <v>#VALUE!</v>
      </c>
      <c r="O38" t="e">
        <f>AND('Current Index'!C930,"AAAAAGfnuw4=")</f>
        <v>#VALUE!</v>
      </c>
      <c r="P38" t="e">
        <f>AND('Current Index'!D930,"AAAAAGfnuw8=")</f>
        <v>#VALUE!</v>
      </c>
      <c r="Q38" t="e">
        <f>AND('Current Index'!E930,"AAAAAGfnuxA=")</f>
        <v>#VALUE!</v>
      </c>
      <c r="R38" t="e">
        <f>AND('Current Index'!F930,"AAAAAGfnuxE=")</f>
        <v>#VALUE!</v>
      </c>
      <c r="S38" t="e">
        <f>AND('Current Index'!G930,"AAAAAGfnuxI=")</f>
        <v>#VALUE!</v>
      </c>
      <c r="T38" t="e">
        <f>AND('Current Index'!H930,"AAAAAGfnuxM=")</f>
        <v>#VALUE!</v>
      </c>
      <c r="U38" t="e">
        <f>AND('Current Index'!I930,"AAAAAGfnuxQ=")</f>
        <v>#VALUE!</v>
      </c>
      <c r="V38">
        <f>IF('Current Index'!931:931,"AAAAAGfnuxU=",0)</f>
        <v>0</v>
      </c>
      <c r="W38" t="e">
        <f>AND('Current Index'!A931,"AAAAAGfnuxY=")</f>
        <v>#VALUE!</v>
      </c>
      <c r="X38" t="e">
        <f>AND('Current Index'!#REF!,"AAAAAGfnuxc=")</f>
        <v>#REF!</v>
      </c>
      <c r="Y38" t="e">
        <f>AND('Current Index'!B931,"AAAAAGfnuxg=")</f>
        <v>#VALUE!</v>
      </c>
      <c r="Z38" t="e">
        <f>AND('Current Index'!C931,"AAAAAGfnuxk=")</f>
        <v>#VALUE!</v>
      </c>
      <c r="AA38" t="e">
        <f>AND('Current Index'!D931,"AAAAAGfnuxo=")</f>
        <v>#VALUE!</v>
      </c>
      <c r="AB38" t="e">
        <f>AND('Current Index'!E931,"AAAAAGfnuxs=")</f>
        <v>#VALUE!</v>
      </c>
      <c r="AC38" t="e">
        <f>AND('Current Index'!F931,"AAAAAGfnuxw=")</f>
        <v>#VALUE!</v>
      </c>
      <c r="AD38" t="e">
        <f>AND('Current Index'!G931,"AAAAAGfnux0=")</f>
        <v>#VALUE!</v>
      </c>
      <c r="AE38" t="e">
        <f>AND('Current Index'!H931,"AAAAAGfnux4=")</f>
        <v>#VALUE!</v>
      </c>
      <c r="AF38" t="e">
        <f>AND('Current Index'!I931,"AAAAAGfnux8=")</f>
        <v>#VALUE!</v>
      </c>
      <c r="AG38">
        <f>IF('Current Index'!932:932,"AAAAAGfnuyA=",0)</f>
        <v>0</v>
      </c>
      <c r="AH38" t="e">
        <f>AND('Current Index'!A932,"AAAAAGfnuyE=")</f>
        <v>#VALUE!</v>
      </c>
      <c r="AI38" t="e">
        <f>AND('Current Index'!#REF!,"AAAAAGfnuyI=")</f>
        <v>#REF!</v>
      </c>
      <c r="AJ38" t="e">
        <f>AND('Current Index'!B932,"AAAAAGfnuyM=")</f>
        <v>#VALUE!</v>
      </c>
      <c r="AK38" t="e">
        <f>AND('Current Index'!C932,"AAAAAGfnuyQ=")</f>
        <v>#VALUE!</v>
      </c>
      <c r="AL38" t="e">
        <f>AND('Current Index'!D932,"AAAAAGfnuyU=")</f>
        <v>#VALUE!</v>
      </c>
      <c r="AM38" t="e">
        <f>AND('Current Index'!E932,"AAAAAGfnuyY=")</f>
        <v>#VALUE!</v>
      </c>
      <c r="AN38" t="e">
        <f>AND('Current Index'!F932,"AAAAAGfnuyc=")</f>
        <v>#VALUE!</v>
      </c>
      <c r="AO38" t="e">
        <f>AND('Current Index'!G932,"AAAAAGfnuyg=")</f>
        <v>#VALUE!</v>
      </c>
      <c r="AP38" t="e">
        <f>AND('Current Index'!H932,"AAAAAGfnuyk=")</f>
        <v>#VALUE!</v>
      </c>
      <c r="AQ38" t="e">
        <f>AND('Current Index'!I932,"AAAAAGfnuyo=")</f>
        <v>#VALUE!</v>
      </c>
      <c r="AR38">
        <f>IF('Current Index'!933:933,"AAAAAGfnuys=",0)</f>
        <v>0</v>
      </c>
      <c r="AS38" t="e">
        <f>AND('Current Index'!A933,"AAAAAGfnuyw=")</f>
        <v>#VALUE!</v>
      </c>
      <c r="AT38" t="e">
        <f>AND('Current Index'!#REF!,"AAAAAGfnuy0=")</f>
        <v>#REF!</v>
      </c>
      <c r="AU38" t="e">
        <f>AND('Current Index'!B933,"AAAAAGfnuy4=")</f>
        <v>#VALUE!</v>
      </c>
      <c r="AV38" t="e">
        <f>AND('Current Index'!C933,"AAAAAGfnuy8=")</f>
        <v>#VALUE!</v>
      </c>
      <c r="AW38" t="e">
        <f>AND('Current Index'!D933,"AAAAAGfnuzA=")</f>
        <v>#VALUE!</v>
      </c>
      <c r="AX38" t="e">
        <f>AND('Current Index'!E933,"AAAAAGfnuzE=")</f>
        <v>#VALUE!</v>
      </c>
      <c r="AY38" t="e">
        <f>AND('Current Index'!F933,"AAAAAGfnuzI=")</f>
        <v>#VALUE!</v>
      </c>
      <c r="AZ38" t="e">
        <f>AND('Current Index'!G933,"AAAAAGfnuzM=")</f>
        <v>#VALUE!</v>
      </c>
      <c r="BA38" t="e">
        <f>AND('Current Index'!H933,"AAAAAGfnuzQ=")</f>
        <v>#VALUE!</v>
      </c>
      <c r="BB38" t="e">
        <f>AND('Current Index'!I933,"AAAAAGfnuzU=")</f>
        <v>#VALUE!</v>
      </c>
      <c r="BC38">
        <f>IF('Current Index'!934:934,"AAAAAGfnuzY=",0)</f>
        <v>0</v>
      </c>
      <c r="BD38" t="e">
        <f>AND('Current Index'!A934,"AAAAAGfnuzc=")</f>
        <v>#VALUE!</v>
      </c>
      <c r="BE38" t="e">
        <f>AND('Current Index'!#REF!,"AAAAAGfnuzg=")</f>
        <v>#REF!</v>
      </c>
      <c r="BF38" t="e">
        <f>AND('Current Index'!B934,"AAAAAGfnuzk=")</f>
        <v>#VALUE!</v>
      </c>
      <c r="BG38" t="e">
        <f>AND('Current Index'!C934,"AAAAAGfnuzo=")</f>
        <v>#VALUE!</v>
      </c>
      <c r="BH38" t="e">
        <f>AND('Current Index'!D934,"AAAAAGfnuzs=")</f>
        <v>#VALUE!</v>
      </c>
      <c r="BI38" t="e">
        <f>AND('Current Index'!E934,"AAAAAGfnuzw=")</f>
        <v>#VALUE!</v>
      </c>
      <c r="BJ38" t="e">
        <f>AND('Current Index'!F934,"AAAAAGfnuz0=")</f>
        <v>#VALUE!</v>
      </c>
      <c r="BK38" t="e">
        <f>AND('Current Index'!G934,"AAAAAGfnuz4=")</f>
        <v>#VALUE!</v>
      </c>
      <c r="BL38" t="e">
        <f>AND('Current Index'!H934,"AAAAAGfnuz8=")</f>
        <v>#VALUE!</v>
      </c>
      <c r="BM38" t="e">
        <f>AND('Current Index'!I934,"AAAAAGfnu0A=")</f>
        <v>#VALUE!</v>
      </c>
      <c r="BN38" t="e">
        <f>IF('Current Index'!#REF!,"AAAAAGfnu0E=",0)</f>
        <v>#REF!</v>
      </c>
      <c r="BO38" t="e">
        <f>AND('Current Index'!#REF!,"AAAAAGfnu0I=")</f>
        <v>#REF!</v>
      </c>
      <c r="BP38" t="e">
        <f>AND('Current Index'!#REF!,"AAAAAGfnu0M=")</f>
        <v>#REF!</v>
      </c>
      <c r="BQ38" t="e">
        <f>AND('Current Index'!#REF!,"AAAAAGfnu0Q=")</f>
        <v>#REF!</v>
      </c>
      <c r="BR38" t="e">
        <f>AND('Current Index'!#REF!,"AAAAAGfnu0U=")</f>
        <v>#REF!</v>
      </c>
      <c r="BS38" t="e">
        <f>AND('Current Index'!#REF!,"AAAAAGfnu0Y=")</f>
        <v>#REF!</v>
      </c>
      <c r="BT38" t="e">
        <f>AND('Current Index'!#REF!,"AAAAAGfnu0c=")</f>
        <v>#REF!</v>
      </c>
      <c r="BU38" t="e">
        <f>AND('Current Index'!#REF!,"AAAAAGfnu0g=")</f>
        <v>#REF!</v>
      </c>
      <c r="BV38" t="e">
        <f>AND('Current Index'!#REF!,"AAAAAGfnu0k=")</f>
        <v>#REF!</v>
      </c>
      <c r="BW38" t="e">
        <f>AND('Current Index'!#REF!,"AAAAAGfnu0o=")</f>
        <v>#REF!</v>
      </c>
      <c r="BX38" t="e">
        <f>AND('Current Index'!#REF!,"AAAAAGfnu0s=")</f>
        <v>#REF!</v>
      </c>
      <c r="BY38" t="e">
        <f>IF('Current Index'!#REF!,"AAAAAGfnu0w=",0)</f>
        <v>#REF!</v>
      </c>
      <c r="BZ38" t="e">
        <f>AND('Current Index'!#REF!,"AAAAAGfnu00=")</f>
        <v>#REF!</v>
      </c>
      <c r="CA38" t="e">
        <f>AND('Current Index'!#REF!,"AAAAAGfnu04=")</f>
        <v>#REF!</v>
      </c>
      <c r="CB38" t="e">
        <f>AND('Current Index'!#REF!,"AAAAAGfnu08=")</f>
        <v>#REF!</v>
      </c>
      <c r="CC38" t="e">
        <f>AND('Current Index'!#REF!,"AAAAAGfnu1A=")</f>
        <v>#REF!</v>
      </c>
      <c r="CD38" t="e">
        <f>AND('Current Index'!#REF!,"AAAAAGfnu1E=")</f>
        <v>#REF!</v>
      </c>
      <c r="CE38" t="e">
        <f>AND('Current Index'!#REF!,"AAAAAGfnu1I=")</f>
        <v>#REF!</v>
      </c>
      <c r="CF38" t="e">
        <f>AND('Current Index'!#REF!,"AAAAAGfnu1M=")</f>
        <v>#REF!</v>
      </c>
      <c r="CG38" t="e">
        <f>AND('Current Index'!#REF!,"AAAAAGfnu1Q=")</f>
        <v>#REF!</v>
      </c>
      <c r="CH38" t="e">
        <f>AND('Current Index'!#REF!,"AAAAAGfnu1U=")</f>
        <v>#REF!</v>
      </c>
      <c r="CI38" t="e">
        <f>AND('Current Index'!#REF!,"AAAAAGfnu1Y=")</f>
        <v>#REF!</v>
      </c>
      <c r="CJ38">
        <f>IF('Current Index'!936:936,"AAAAAGfnu1c=",0)</f>
        <v>0</v>
      </c>
      <c r="CK38" t="e">
        <f>AND('Current Index'!A936,"AAAAAGfnu1g=")</f>
        <v>#VALUE!</v>
      </c>
      <c r="CL38" t="e">
        <f>AND('Current Index'!#REF!,"AAAAAGfnu1k=")</f>
        <v>#REF!</v>
      </c>
      <c r="CM38" t="e">
        <f>AND('Current Index'!B936,"AAAAAGfnu1o=")</f>
        <v>#VALUE!</v>
      </c>
      <c r="CN38" t="e">
        <f>AND('Current Index'!C936,"AAAAAGfnu1s=")</f>
        <v>#VALUE!</v>
      </c>
      <c r="CO38" t="e">
        <f>AND('Current Index'!D936,"AAAAAGfnu1w=")</f>
        <v>#VALUE!</v>
      </c>
      <c r="CP38" t="e">
        <f>AND('Current Index'!E936,"AAAAAGfnu10=")</f>
        <v>#VALUE!</v>
      </c>
      <c r="CQ38" t="e">
        <f>AND('Current Index'!F936,"AAAAAGfnu14=")</f>
        <v>#VALUE!</v>
      </c>
      <c r="CR38" t="e">
        <f>AND('Current Index'!G936,"AAAAAGfnu18=")</f>
        <v>#VALUE!</v>
      </c>
      <c r="CS38" t="e">
        <f>AND('Current Index'!H936,"AAAAAGfnu2A=")</f>
        <v>#VALUE!</v>
      </c>
      <c r="CT38" t="e">
        <f>AND('Current Index'!I936,"AAAAAGfnu2E=")</f>
        <v>#VALUE!</v>
      </c>
      <c r="CU38">
        <f>IF('Current Index'!937:937,"AAAAAGfnu2I=",0)</f>
        <v>0</v>
      </c>
      <c r="CV38" t="e">
        <f>AND('Current Index'!A937,"AAAAAGfnu2M=")</f>
        <v>#VALUE!</v>
      </c>
      <c r="CW38" t="e">
        <f>AND('Current Index'!#REF!,"AAAAAGfnu2Q=")</f>
        <v>#REF!</v>
      </c>
      <c r="CX38" t="e">
        <f>AND('Current Index'!B937,"AAAAAGfnu2U=")</f>
        <v>#VALUE!</v>
      </c>
      <c r="CY38" t="e">
        <f>AND('Current Index'!C937,"AAAAAGfnu2Y=")</f>
        <v>#VALUE!</v>
      </c>
      <c r="CZ38" t="e">
        <f>AND('Current Index'!D937,"AAAAAGfnu2c=")</f>
        <v>#VALUE!</v>
      </c>
      <c r="DA38" t="e">
        <f>AND('Current Index'!E937,"AAAAAGfnu2g=")</f>
        <v>#VALUE!</v>
      </c>
      <c r="DB38" t="e">
        <f>AND('Current Index'!F937,"AAAAAGfnu2k=")</f>
        <v>#VALUE!</v>
      </c>
      <c r="DC38" t="e">
        <f>AND('Current Index'!G937,"AAAAAGfnu2o=")</f>
        <v>#VALUE!</v>
      </c>
      <c r="DD38" t="e">
        <f>AND('Current Index'!H937,"AAAAAGfnu2s=")</f>
        <v>#VALUE!</v>
      </c>
      <c r="DE38" t="e">
        <f>AND('Current Index'!I937,"AAAAAGfnu2w=")</f>
        <v>#VALUE!</v>
      </c>
      <c r="DF38">
        <f>IF('Current Index'!938:938,"AAAAAGfnu20=",0)</f>
        <v>0</v>
      </c>
      <c r="DG38" t="e">
        <f>AND('Current Index'!A938,"AAAAAGfnu24=")</f>
        <v>#VALUE!</v>
      </c>
      <c r="DH38" t="e">
        <f>AND('Current Index'!#REF!,"AAAAAGfnu28=")</f>
        <v>#REF!</v>
      </c>
      <c r="DI38" t="e">
        <f>AND('Current Index'!B938,"AAAAAGfnu3A=")</f>
        <v>#VALUE!</v>
      </c>
      <c r="DJ38" t="e">
        <f>AND('Current Index'!C938,"AAAAAGfnu3E=")</f>
        <v>#VALUE!</v>
      </c>
      <c r="DK38" t="e">
        <f>AND('Current Index'!D938,"AAAAAGfnu3I=")</f>
        <v>#VALUE!</v>
      </c>
      <c r="DL38" t="e">
        <f>AND('Current Index'!E938,"AAAAAGfnu3M=")</f>
        <v>#VALUE!</v>
      </c>
      <c r="DM38" t="e">
        <f>AND('Current Index'!F938,"AAAAAGfnu3Q=")</f>
        <v>#VALUE!</v>
      </c>
      <c r="DN38" t="e">
        <f>AND('Current Index'!G938,"AAAAAGfnu3U=")</f>
        <v>#VALUE!</v>
      </c>
      <c r="DO38" t="e">
        <f>AND('Current Index'!H938,"AAAAAGfnu3Y=")</f>
        <v>#VALUE!</v>
      </c>
      <c r="DP38" t="e">
        <f>AND('Current Index'!I938,"AAAAAGfnu3c=")</f>
        <v>#VALUE!</v>
      </c>
      <c r="DQ38" t="e">
        <f>IF('Current Index'!#REF!,"AAAAAGfnu3g=",0)</f>
        <v>#REF!</v>
      </c>
      <c r="DR38" t="e">
        <f>AND('Current Index'!#REF!,"AAAAAGfnu3k=")</f>
        <v>#REF!</v>
      </c>
      <c r="DS38" t="e">
        <f>AND('Current Index'!#REF!,"AAAAAGfnu3o=")</f>
        <v>#REF!</v>
      </c>
      <c r="DT38" t="e">
        <f>AND('Current Index'!#REF!,"AAAAAGfnu3s=")</f>
        <v>#REF!</v>
      </c>
      <c r="DU38" t="e">
        <f>AND('Current Index'!#REF!,"AAAAAGfnu3w=")</f>
        <v>#REF!</v>
      </c>
      <c r="DV38" t="e">
        <f>AND('Current Index'!#REF!,"AAAAAGfnu30=")</f>
        <v>#REF!</v>
      </c>
      <c r="DW38" t="e">
        <f>AND('Current Index'!#REF!,"AAAAAGfnu34=")</f>
        <v>#REF!</v>
      </c>
      <c r="DX38" t="e">
        <f>AND('Current Index'!#REF!,"AAAAAGfnu38=")</f>
        <v>#REF!</v>
      </c>
      <c r="DY38" t="e">
        <f>AND('Current Index'!#REF!,"AAAAAGfnu4A=")</f>
        <v>#REF!</v>
      </c>
      <c r="DZ38" t="e">
        <f>AND('Current Index'!#REF!,"AAAAAGfnu4E=")</f>
        <v>#REF!</v>
      </c>
      <c r="EA38" t="e">
        <f>AND('Current Index'!#REF!,"AAAAAGfnu4I=")</f>
        <v>#REF!</v>
      </c>
      <c r="EB38">
        <f>IF('Current Index'!939:939,"AAAAAGfnu4M=",0)</f>
        <v>0</v>
      </c>
      <c r="EC38" t="e">
        <f>AND('Current Index'!A939,"AAAAAGfnu4Q=")</f>
        <v>#VALUE!</v>
      </c>
      <c r="ED38" t="e">
        <f>AND('Current Index'!#REF!,"AAAAAGfnu4U=")</f>
        <v>#REF!</v>
      </c>
      <c r="EE38" t="e">
        <f>AND('Current Index'!B939,"AAAAAGfnu4Y=")</f>
        <v>#VALUE!</v>
      </c>
      <c r="EF38" t="e">
        <f>AND('Current Index'!C939,"AAAAAGfnu4c=")</f>
        <v>#VALUE!</v>
      </c>
      <c r="EG38" t="e">
        <f>AND('Current Index'!D939,"AAAAAGfnu4g=")</f>
        <v>#VALUE!</v>
      </c>
      <c r="EH38" t="e">
        <f>AND('Current Index'!E939,"AAAAAGfnu4k=")</f>
        <v>#VALUE!</v>
      </c>
      <c r="EI38" t="e">
        <f>AND('Current Index'!F939,"AAAAAGfnu4o=")</f>
        <v>#VALUE!</v>
      </c>
      <c r="EJ38" t="e">
        <f>AND('Current Index'!G939,"AAAAAGfnu4s=")</f>
        <v>#VALUE!</v>
      </c>
      <c r="EK38" t="e">
        <f>AND('Current Index'!H939,"AAAAAGfnu4w=")</f>
        <v>#VALUE!</v>
      </c>
      <c r="EL38" t="e">
        <f>AND('Current Index'!I939,"AAAAAGfnu40=")</f>
        <v>#VALUE!</v>
      </c>
      <c r="EM38">
        <f>IF('Current Index'!940:940,"AAAAAGfnu44=",0)</f>
        <v>0</v>
      </c>
      <c r="EN38" t="e">
        <f>AND('Current Index'!A940,"AAAAAGfnu48=")</f>
        <v>#VALUE!</v>
      </c>
      <c r="EO38" t="e">
        <f>AND('Current Index'!#REF!,"AAAAAGfnu5A=")</f>
        <v>#REF!</v>
      </c>
      <c r="EP38" t="e">
        <f>AND('Current Index'!B940,"AAAAAGfnu5E=")</f>
        <v>#VALUE!</v>
      </c>
      <c r="EQ38" t="e">
        <f>AND('Current Index'!C940,"AAAAAGfnu5I=")</f>
        <v>#VALUE!</v>
      </c>
      <c r="ER38" t="e">
        <f>AND('Current Index'!D940,"AAAAAGfnu5M=")</f>
        <v>#VALUE!</v>
      </c>
      <c r="ES38" t="e">
        <f>AND('Current Index'!E940,"AAAAAGfnu5Q=")</f>
        <v>#VALUE!</v>
      </c>
      <c r="ET38" t="e">
        <f>AND('Current Index'!F940,"AAAAAGfnu5U=")</f>
        <v>#VALUE!</v>
      </c>
      <c r="EU38" t="e">
        <f>AND('Current Index'!G940,"AAAAAGfnu5Y=")</f>
        <v>#VALUE!</v>
      </c>
      <c r="EV38" t="e">
        <f>AND('Current Index'!H940,"AAAAAGfnu5c=")</f>
        <v>#VALUE!</v>
      </c>
      <c r="EW38" t="e">
        <f>AND('Current Index'!I940,"AAAAAGfnu5g=")</f>
        <v>#VALUE!</v>
      </c>
      <c r="EX38" t="e">
        <f>IF('Current Index'!#REF!,"AAAAAGfnu5k=",0)</f>
        <v>#REF!</v>
      </c>
      <c r="EY38" t="e">
        <f>AND('Current Index'!#REF!,"AAAAAGfnu5o=")</f>
        <v>#REF!</v>
      </c>
      <c r="EZ38" t="e">
        <f>AND('Current Index'!#REF!,"AAAAAGfnu5s=")</f>
        <v>#REF!</v>
      </c>
      <c r="FA38" t="e">
        <f>AND('Current Index'!#REF!,"AAAAAGfnu5w=")</f>
        <v>#REF!</v>
      </c>
      <c r="FB38" t="e">
        <f>AND('Current Index'!#REF!,"AAAAAGfnu50=")</f>
        <v>#REF!</v>
      </c>
      <c r="FC38" t="e">
        <f>AND('Current Index'!#REF!,"AAAAAGfnu54=")</f>
        <v>#REF!</v>
      </c>
      <c r="FD38" t="e">
        <f>AND('Current Index'!#REF!,"AAAAAGfnu58=")</f>
        <v>#REF!</v>
      </c>
      <c r="FE38" t="e">
        <f>AND('Current Index'!#REF!,"AAAAAGfnu6A=")</f>
        <v>#REF!</v>
      </c>
      <c r="FF38" t="e">
        <f>AND('Current Index'!#REF!,"AAAAAGfnu6E=")</f>
        <v>#REF!</v>
      </c>
      <c r="FG38" t="e">
        <f>AND('Current Index'!#REF!,"AAAAAGfnu6I=")</f>
        <v>#REF!</v>
      </c>
      <c r="FH38" t="e">
        <f>AND('Current Index'!#REF!,"AAAAAGfnu6M=")</f>
        <v>#REF!</v>
      </c>
      <c r="FI38" t="e">
        <f>IF('Current Index'!#REF!,"AAAAAGfnu6Q=",0)</f>
        <v>#REF!</v>
      </c>
      <c r="FJ38" t="e">
        <f>AND('Current Index'!#REF!,"AAAAAGfnu6U=")</f>
        <v>#REF!</v>
      </c>
      <c r="FK38" t="e">
        <f>AND('Current Index'!#REF!,"AAAAAGfnu6Y=")</f>
        <v>#REF!</v>
      </c>
      <c r="FL38" t="e">
        <f>AND('Current Index'!#REF!,"AAAAAGfnu6c=")</f>
        <v>#REF!</v>
      </c>
      <c r="FM38" t="e">
        <f>AND('Current Index'!#REF!,"AAAAAGfnu6g=")</f>
        <v>#REF!</v>
      </c>
      <c r="FN38" t="e">
        <f>AND('Current Index'!#REF!,"AAAAAGfnu6k=")</f>
        <v>#REF!</v>
      </c>
      <c r="FO38" t="e">
        <f>AND('Current Index'!#REF!,"AAAAAGfnu6o=")</f>
        <v>#REF!</v>
      </c>
      <c r="FP38" t="e">
        <f>AND('Current Index'!#REF!,"AAAAAGfnu6s=")</f>
        <v>#REF!</v>
      </c>
      <c r="FQ38" t="e">
        <f>AND('Current Index'!#REF!,"AAAAAGfnu6w=")</f>
        <v>#REF!</v>
      </c>
      <c r="FR38" t="e">
        <f>AND('Current Index'!#REF!,"AAAAAGfnu60=")</f>
        <v>#REF!</v>
      </c>
      <c r="FS38" t="e">
        <f>AND('Current Index'!#REF!,"AAAAAGfnu64=")</f>
        <v>#REF!</v>
      </c>
      <c r="FT38" t="e">
        <f>IF('Current Index'!#REF!,"AAAAAGfnu68=",0)</f>
        <v>#REF!</v>
      </c>
      <c r="FU38" t="e">
        <f>AND('Current Index'!#REF!,"AAAAAGfnu7A=")</f>
        <v>#REF!</v>
      </c>
      <c r="FV38" t="e">
        <f>AND('Current Index'!#REF!,"AAAAAGfnu7E=")</f>
        <v>#REF!</v>
      </c>
      <c r="FW38" t="e">
        <f>AND('Current Index'!#REF!,"AAAAAGfnu7I=")</f>
        <v>#REF!</v>
      </c>
      <c r="FX38" t="e">
        <f>AND('Current Index'!#REF!,"AAAAAGfnu7M=")</f>
        <v>#REF!</v>
      </c>
      <c r="FY38" t="e">
        <f>AND('Current Index'!#REF!,"AAAAAGfnu7Q=")</f>
        <v>#REF!</v>
      </c>
      <c r="FZ38" t="e">
        <f>AND('Current Index'!#REF!,"AAAAAGfnu7U=")</f>
        <v>#REF!</v>
      </c>
      <c r="GA38" t="e">
        <f>AND('Current Index'!#REF!,"AAAAAGfnu7Y=")</f>
        <v>#REF!</v>
      </c>
      <c r="GB38" t="e">
        <f>AND('Current Index'!#REF!,"AAAAAGfnu7c=")</f>
        <v>#REF!</v>
      </c>
      <c r="GC38" t="e">
        <f>AND('Current Index'!#REF!,"AAAAAGfnu7g=")</f>
        <v>#REF!</v>
      </c>
      <c r="GD38" t="e">
        <f>AND('Current Index'!#REF!,"AAAAAGfnu7k=")</f>
        <v>#REF!</v>
      </c>
      <c r="GE38" t="e">
        <f>IF('Current Index'!#REF!,"AAAAAGfnu7o=",0)</f>
        <v>#REF!</v>
      </c>
      <c r="GF38" t="e">
        <f>AND('Current Index'!#REF!,"AAAAAGfnu7s=")</f>
        <v>#REF!</v>
      </c>
      <c r="GG38" t="e">
        <f>AND('Current Index'!#REF!,"AAAAAGfnu7w=")</f>
        <v>#REF!</v>
      </c>
      <c r="GH38" t="e">
        <f>AND('Current Index'!#REF!,"AAAAAGfnu70=")</f>
        <v>#REF!</v>
      </c>
      <c r="GI38" t="e">
        <f>AND('Current Index'!#REF!,"AAAAAGfnu74=")</f>
        <v>#REF!</v>
      </c>
      <c r="GJ38" t="e">
        <f>AND('Current Index'!#REF!,"AAAAAGfnu78=")</f>
        <v>#REF!</v>
      </c>
      <c r="GK38" t="e">
        <f>AND('Current Index'!#REF!,"AAAAAGfnu8A=")</f>
        <v>#REF!</v>
      </c>
      <c r="GL38" t="e">
        <f>AND('Current Index'!#REF!,"AAAAAGfnu8E=")</f>
        <v>#REF!</v>
      </c>
      <c r="GM38" t="e">
        <f>AND('Current Index'!#REF!,"AAAAAGfnu8I=")</f>
        <v>#REF!</v>
      </c>
      <c r="GN38" t="e">
        <f>AND('Current Index'!#REF!,"AAAAAGfnu8M=")</f>
        <v>#REF!</v>
      </c>
      <c r="GO38" t="e">
        <f>AND('Current Index'!#REF!,"AAAAAGfnu8Q=")</f>
        <v>#REF!</v>
      </c>
      <c r="GP38">
        <f>IF('Current Index'!945:945,"AAAAAGfnu8U=",0)</f>
        <v>0</v>
      </c>
      <c r="GQ38" t="e">
        <f>AND('Current Index'!A945,"AAAAAGfnu8Y=")</f>
        <v>#VALUE!</v>
      </c>
      <c r="GR38" t="e">
        <f>AND('Current Index'!#REF!,"AAAAAGfnu8c=")</f>
        <v>#REF!</v>
      </c>
      <c r="GS38" t="e">
        <f>AND('Current Index'!B945,"AAAAAGfnu8g=")</f>
        <v>#VALUE!</v>
      </c>
      <c r="GT38" t="e">
        <f>AND('Current Index'!C945,"AAAAAGfnu8k=")</f>
        <v>#VALUE!</v>
      </c>
      <c r="GU38" t="e">
        <f>AND('Current Index'!D945,"AAAAAGfnu8o=")</f>
        <v>#VALUE!</v>
      </c>
      <c r="GV38" t="e">
        <f>AND('Current Index'!E945,"AAAAAGfnu8s=")</f>
        <v>#VALUE!</v>
      </c>
      <c r="GW38" t="e">
        <f>AND('Current Index'!F945,"AAAAAGfnu8w=")</f>
        <v>#VALUE!</v>
      </c>
      <c r="GX38" t="e">
        <f>AND('Current Index'!G945,"AAAAAGfnu80=")</f>
        <v>#VALUE!</v>
      </c>
      <c r="GY38" t="e">
        <f>AND('Current Index'!H945,"AAAAAGfnu84=")</f>
        <v>#VALUE!</v>
      </c>
      <c r="GZ38" t="e">
        <f>AND('Current Index'!I945,"AAAAAGfnu88=")</f>
        <v>#VALUE!</v>
      </c>
      <c r="HA38">
        <f>IF('Current Index'!946:946,"AAAAAGfnu9A=",0)</f>
        <v>0</v>
      </c>
      <c r="HB38" t="e">
        <f>AND('Current Index'!A946,"AAAAAGfnu9E=")</f>
        <v>#VALUE!</v>
      </c>
      <c r="HC38" t="e">
        <f>AND('Current Index'!#REF!,"AAAAAGfnu9I=")</f>
        <v>#REF!</v>
      </c>
      <c r="HD38" t="e">
        <f>AND('Current Index'!B946,"AAAAAGfnu9M=")</f>
        <v>#VALUE!</v>
      </c>
      <c r="HE38" t="e">
        <f>AND('Current Index'!C946,"AAAAAGfnu9Q=")</f>
        <v>#VALUE!</v>
      </c>
      <c r="HF38" t="e">
        <f>AND('Current Index'!D946,"AAAAAGfnu9U=")</f>
        <v>#VALUE!</v>
      </c>
      <c r="HG38" t="e">
        <f>AND('Current Index'!E946,"AAAAAGfnu9Y=")</f>
        <v>#VALUE!</v>
      </c>
      <c r="HH38" t="e">
        <f>AND('Current Index'!F946,"AAAAAGfnu9c=")</f>
        <v>#VALUE!</v>
      </c>
      <c r="HI38" t="e">
        <f>AND('Current Index'!G946,"AAAAAGfnu9g=")</f>
        <v>#VALUE!</v>
      </c>
      <c r="HJ38" t="e">
        <f>AND('Current Index'!H946,"AAAAAGfnu9k=")</f>
        <v>#VALUE!</v>
      </c>
      <c r="HK38" t="e">
        <f>AND('Current Index'!I946,"AAAAAGfnu9o=")</f>
        <v>#VALUE!</v>
      </c>
      <c r="HL38">
        <f>IF('Current Index'!947:947,"AAAAAGfnu9s=",0)</f>
        <v>0</v>
      </c>
      <c r="HM38" t="e">
        <f>AND('Current Index'!A947,"AAAAAGfnu9w=")</f>
        <v>#VALUE!</v>
      </c>
      <c r="HN38" t="e">
        <f>AND('Current Index'!#REF!,"AAAAAGfnu90=")</f>
        <v>#REF!</v>
      </c>
      <c r="HO38" t="e">
        <f>AND('Current Index'!B947,"AAAAAGfnu94=")</f>
        <v>#VALUE!</v>
      </c>
      <c r="HP38" t="e">
        <f>AND('Current Index'!C947,"AAAAAGfnu98=")</f>
        <v>#VALUE!</v>
      </c>
      <c r="HQ38" t="e">
        <f>AND('Current Index'!D947,"AAAAAGfnu+A=")</f>
        <v>#VALUE!</v>
      </c>
      <c r="HR38" t="e">
        <f>AND('Current Index'!E947,"AAAAAGfnu+E=")</f>
        <v>#VALUE!</v>
      </c>
      <c r="HS38" t="e">
        <f>AND('Current Index'!F947,"AAAAAGfnu+I=")</f>
        <v>#VALUE!</v>
      </c>
      <c r="HT38" t="e">
        <f>AND('Current Index'!G947,"AAAAAGfnu+M=")</f>
        <v>#VALUE!</v>
      </c>
      <c r="HU38" t="e">
        <f>AND('Current Index'!H947,"AAAAAGfnu+Q=")</f>
        <v>#VALUE!</v>
      </c>
      <c r="HV38" t="e">
        <f>AND('Current Index'!I947,"AAAAAGfnu+U=")</f>
        <v>#VALUE!</v>
      </c>
      <c r="HW38">
        <f>IF('Current Index'!948:948,"AAAAAGfnu+Y=",0)</f>
        <v>0</v>
      </c>
      <c r="HX38" t="e">
        <f>AND('Current Index'!A948,"AAAAAGfnu+c=")</f>
        <v>#VALUE!</v>
      </c>
      <c r="HY38" t="e">
        <f>AND('Current Index'!#REF!,"AAAAAGfnu+g=")</f>
        <v>#REF!</v>
      </c>
      <c r="HZ38" t="e">
        <f>AND('Current Index'!B948,"AAAAAGfnu+k=")</f>
        <v>#VALUE!</v>
      </c>
      <c r="IA38" t="e">
        <f>AND('Current Index'!C948,"AAAAAGfnu+o=")</f>
        <v>#VALUE!</v>
      </c>
      <c r="IB38" t="e">
        <f>AND('Current Index'!D948,"AAAAAGfnu+s=")</f>
        <v>#VALUE!</v>
      </c>
      <c r="IC38" t="e">
        <f>AND('Current Index'!E948,"AAAAAGfnu+w=")</f>
        <v>#VALUE!</v>
      </c>
      <c r="ID38" t="e">
        <f>AND('Current Index'!F948,"AAAAAGfnu+0=")</f>
        <v>#VALUE!</v>
      </c>
      <c r="IE38" t="e">
        <f>AND('Current Index'!G948,"AAAAAGfnu+4=")</f>
        <v>#VALUE!</v>
      </c>
      <c r="IF38" t="e">
        <f>AND('Current Index'!H948,"AAAAAGfnu+8=")</f>
        <v>#VALUE!</v>
      </c>
      <c r="IG38" t="e">
        <f>AND('Current Index'!I948,"AAAAAGfnu/A=")</f>
        <v>#VALUE!</v>
      </c>
      <c r="IH38" t="e">
        <f>IF('Current Index'!#REF!,"AAAAAGfnu/E=",0)</f>
        <v>#REF!</v>
      </c>
      <c r="II38" t="e">
        <f>AND('Current Index'!#REF!,"AAAAAGfnu/I=")</f>
        <v>#REF!</v>
      </c>
      <c r="IJ38" t="e">
        <f>AND('Current Index'!#REF!,"AAAAAGfnu/M=")</f>
        <v>#REF!</v>
      </c>
      <c r="IK38" t="e">
        <f>AND('Current Index'!#REF!,"AAAAAGfnu/Q=")</f>
        <v>#REF!</v>
      </c>
      <c r="IL38" t="e">
        <f>AND('Current Index'!#REF!,"AAAAAGfnu/U=")</f>
        <v>#REF!</v>
      </c>
      <c r="IM38" t="e">
        <f>AND('Current Index'!#REF!,"AAAAAGfnu/Y=")</f>
        <v>#REF!</v>
      </c>
      <c r="IN38" t="e">
        <f>AND('Current Index'!#REF!,"AAAAAGfnu/c=")</f>
        <v>#REF!</v>
      </c>
      <c r="IO38" t="e">
        <f>AND('Current Index'!#REF!,"AAAAAGfnu/g=")</f>
        <v>#REF!</v>
      </c>
      <c r="IP38" t="e">
        <f>AND('Current Index'!#REF!,"AAAAAGfnu/k=")</f>
        <v>#REF!</v>
      </c>
      <c r="IQ38" t="e">
        <f>AND('Current Index'!#REF!,"AAAAAGfnu/o=")</f>
        <v>#REF!</v>
      </c>
      <c r="IR38" t="e">
        <f>AND('Current Index'!#REF!,"AAAAAGfnu/s=")</f>
        <v>#REF!</v>
      </c>
      <c r="IS38">
        <f>IF('Current Index'!949:949,"AAAAAGfnu/w=",0)</f>
        <v>0</v>
      </c>
      <c r="IT38" t="e">
        <f>AND('Current Index'!A949,"AAAAAGfnu/0=")</f>
        <v>#VALUE!</v>
      </c>
      <c r="IU38" t="e">
        <f>AND('Current Index'!#REF!,"AAAAAGfnu/4=")</f>
        <v>#REF!</v>
      </c>
      <c r="IV38" t="e">
        <f>AND('Current Index'!B949,"AAAAAGfnu/8=")</f>
        <v>#VALUE!</v>
      </c>
    </row>
    <row r="39" spans="1:256" x14ac:dyDescent="0.25">
      <c r="A39" t="e">
        <f>AND('Current Index'!C949,"AAAAAGY6SwA=")</f>
        <v>#VALUE!</v>
      </c>
      <c r="B39" t="e">
        <f>AND('Current Index'!D949,"AAAAAGY6SwE=")</f>
        <v>#VALUE!</v>
      </c>
      <c r="C39" t="e">
        <f>AND('Current Index'!E949,"AAAAAGY6SwI=")</f>
        <v>#VALUE!</v>
      </c>
      <c r="D39" t="e">
        <f>AND('Current Index'!F949,"AAAAAGY6SwM=")</f>
        <v>#VALUE!</v>
      </c>
      <c r="E39" t="e">
        <f>AND('Current Index'!G949,"AAAAAGY6SwQ=")</f>
        <v>#VALUE!</v>
      </c>
      <c r="F39" t="e">
        <f>AND('Current Index'!H949,"AAAAAGY6SwU=")</f>
        <v>#VALUE!</v>
      </c>
      <c r="G39" t="e">
        <f>AND('Current Index'!I949,"AAAAAGY6SwY=")</f>
        <v>#VALUE!</v>
      </c>
      <c r="H39" t="e">
        <f>IF('Current Index'!950:950,"AAAAAGY6Swc=",0)</f>
        <v>#VALUE!</v>
      </c>
      <c r="I39" t="e">
        <f>AND('Current Index'!A950,"AAAAAGY6Swg=")</f>
        <v>#VALUE!</v>
      </c>
      <c r="J39" t="e">
        <f>AND('Current Index'!#REF!,"AAAAAGY6Swk=")</f>
        <v>#REF!</v>
      </c>
      <c r="K39" t="e">
        <f>AND('Current Index'!B950,"AAAAAGY6Swo=")</f>
        <v>#VALUE!</v>
      </c>
      <c r="L39" t="e">
        <f>AND('Current Index'!C950,"AAAAAGY6Sws=")</f>
        <v>#VALUE!</v>
      </c>
      <c r="M39" t="e">
        <f>AND('Current Index'!D950,"AAAAAGY6Sww=")</f>
        <v>#VALUE!</v>
      </c>
      <c r="N39" t="e">
        <f>AND('Current Index'!E950,"AAAAAGY6Sw0=")</f>
        <v>#VALUE!</v>
      </c>
      <c r="O39" t="e">
        <f>AND('Current Index'!F950,"AAAAAGY6Sw4=")</f>
        <v>#VALUE!</v>
      </c>
      <c r="P39" t="e">
        <f>AND('Current Index'!G950,"AAAAAGY6Sw8=")</f>
        <v>#VALUE!</v>
      </c>
      <c r="Q39" t="e">
        <f>AND('Current Index'!H950,"AAAAAGY6SxA=")</f>
        <v>#VALUE!</v>
      </c>
      <c r="R39" t="e">
        <f>AND('Current Index'!I950,"AAAAAGY6SxE=")</f>
        <v>#VALUE!</v>
      </c>
      <c r="S39">
        <f>IF('Current Index'!951:951,"AAAAAGY6SxI=",0)</f>
        <v>0</v>
      </c>
      <c r="T39" t="e">
        <f>AND('Current Index'!A951,"AAAAAGY6SxM=")</f>
        <v>#VALUE!</v>
      </c>
      <c r="U39" t="e">
        <f>AND('Current Index'!#REF!,"AAAAAGY6SxQ=")</f>
        <v>#REF!</v>
      </c>
      <c r="V39" t="e">
        <f>AND('Current Index'!B951,"AAAAAGY6SxU=")</f>
        <v>#VALUE!</v>
      </c>
      <c r="W39" t="e">
        <f>AND('Current Index'!C951,"AAAAAGY6SxY=")</f>
        <v>#VALUE!</v>
      </c>
      <c r="X39" t="e">
        <f>AND('Current Index'!D951,"AAAAAGY6Sxc=")</f>
        <v>#VALUE!</v>
      </c>
      <c r="Y39" t="e">
        <f>AND('Current Index'!E951,"AAAAAGY6Sxg=")</f>
        <v>#VALUE!</v>
      </c>
      <c r="Z39" t="e">
        <f>AND('Current Index'!F951,"AAAAAGY6Sxk=")</f>
        <v>#VALUE!</v>
      </c>
      <c r="AA39" t="e">
        <f>AND('Current Index'!G951,"AAAAAGY6Sxo=")</f>
        <v>#VALUE!</v>
      </c>
      <c r="AB39" t="e">
        <f>AND('Current Index'!H951,"AAAAAGY6Sxs=")</f>
        <v>#VALUE!</v>
      </c>
      <c r="AC39" t="e">
        <f>AND('Current Index'!I951,"AAAAAGY6Sxw=")</f>
        <v>#VALUE!</v>
      </c>
      <c r="AD39">
        <f>IF('Current Index'!952:952,"AAAAAGY6Sx0=",0)</f>
        <v>0</v>
      </c>
      <c r="AE39" t="e">
        <f>AND('Current Index'!A952,"AAAAAGY6Sx4=")</f>
        <v>#VALUE!</v>
      </c>
      <c r="AF39" t="e">
        <f>AND('Current Index'!#REF!,"AAAAAGY6Sx8=")</f>
        <v>#REF!</v>
      </c>
      <c r="AG39" t="e">
        <f>AND('Current Index'!B952,"AAAAAGY6SyA=")</f>
        <v>#VALUE!</v>
      </c>
      <c r="AH39" t="e">
        <f>AND('Current Index'!C952,"AAAAAGY6SyE=")</f>
        <v>#VALUE!</v>
      </c>
      <c r="AI39" t="e">
        <f>AND('Current Index'!D952,"AAAAAGY6SyI=")</f>
        <v>#VALUE!</v>
      </c>
      <c r="AJ39" t="e">
        <f>AND('Current Index'!E952,"AAAAAGY6SyM=")</f>
        <v>#VALUE!</v>
      </c>
      <c r="AK39" t="e">
        <f>AND('Current Index'!F952,"AAAAAGY6SyQ=")</f>
        <v>#VALUE!</v>
      </c>
      <c r="AL39" t="e">
        <f>AND('Current Index'!G952,"AAAAAGY6SyU=")</f>
        <v>#VALUE!</v>
      </c>
      <c r="AM39" t="e">
        <f>AND('Current Index'!H952,"AAAAAGY6SyY=")</f>
        <v>#VALUE!</v>
      </c>
      <c r="AN39" t="e">
        <f>AND('Current Index'!I952,"AAAAAGY6Syc=")</f>
        <v>#VALUE!</v>
      </c>
      <c r="AO39" t="e">
        <f>IF('Current Index'!#REF!,"AAAAAGY6Syg=",0)</f>
        <v>#REF!</v>
      </c>
      <c r="AP39" t="e">
        <f>AND('Current Index'!#REF!,"AAAAAGY6Syk=")</f>
        <v>#REF!</v>
      </c>
      <c r="AQ39" t="e">
        <f>AND('Current Index'!#REF!,"AAAAAGY6Syo=")</f>
        <v>#REF!</v>
      </c>
      <c r="AR39" t="e">
        <f>AND('Current Index'!#REF!,"AAAAAGY6Sys=")</f>
        <v>#REF!</v>
      </c>
      <c r="AS39" t="e">
        <f>AND('Current Index'!#REF!,"AAAAAGY6Syw=")</f>
        <v>#REF!</v>
      </c>
      <c r="AT39" t="e">
        <f>AND('Current Index'!#REF!,"AAAAAGY6Sy0=")</f>
        <v>#REF!</v>
      </c>
      <c r="AU39" t="e">
        <f>AND('Current Index'!#REF!,"AAAAAGY6Sy4=")</f>
        <v>#REF!</v>
      </c>
      <c r="AV39" t="e">
        <f>AND('Current Index'!#REF!,"AAAAAGY6Sy8=")</f>
        <v>#REF!</v>
      </c>
      <c r="AW39" t="e">
        <f>AND('Current Index'!#REF!,"AAAAAGY6SzA=")</f>
        <v>#REF!</v>
      </c>
      <c r="AX39" t="e">
        <f>AND('Current Index'!#REF!,"AAAAAGY6SzE=")</f>
        <v>#REF!</v>
      </c>
      <c r="AY39" t="e">
        <f>AND('Current Index'!#REF!,"AAAAAGY6SzI=")</f>
        <v>#REF!</v>
      </c>
      <c r="AZ39">
        <f>IF('Current Index'!953:953,"AAAAAGY6SzM=",0)</f>
        <v>0</v>
      </c>
      <c r="BA39" t="e">
        <f>AND('Current Index'!A953,"AAAAAGY6SzQ=")</f>
        <v>#VALUE!</v>
      </c>
      <c r="BB39" t="e">
        <f>AND('Current Index'!#REF!,"AAAAAGY6SzU=")</f>
        <v>#REF!</v>
      </c>
      <c r="BC39" t="e">
        <f>AND('Current Index'!B953,"AAAAAGY6SzY=")</f>
        <v>#VALUE!</v>
      </c>
      <c r="BD39" t="e">
        <f>AND('Current Index'!C953,"AAAAAGY6Szc=")</f>
        <v>#VALUE!</v>
      </c>
      <c r="BE39" t="e">
        <f>AND('Current Index'!D953,"AAAAAGY6Szg=")</f>
        <v>#VALUE!</v>
      </c>
      <c r="BF39" t="e">
        <f>AND('Current Index'!E953,"AAAAAGY6Szk=")</f>
        <v>#VALUE!</v>
      </c>
      <c r="BG39" t="e">
        <f>AND('Current Index'!F953,"AAAAAGY6Szo=")</f>
        <v>#VALUE!</v>
      </c>
      <c r="BH39" t="e">
        <f>AND('Current Index'!G953,"AAAAAGY6Szs=")</f>
        <v>#VALUE!</v>
      </c>
      <c r="BI39" t="e">
        <f>AND('Current Index'!H953,"AAAAAGY6Szw=")</f>
        <v>#VALUE!</v>
      </c>
      <c r="BJ39" t="e">
        <f>AND('Current Index'!I953,"AAAAAGY6Sz0=")</f>
        <v>#VALUE!</v>
      </c>
      <c r="BK39">
        <f>IF('Current Index'!954:954,"AAAAAGY6Sz4=",0)</f>
        <v>0</v>
      </c>
      <c r="BL39" t="e">
        <f>AND('Current Index'!A954,"AAAAAGY6Sz8=")</f>
        <v>#VALUE!</v>
      </c>
      <c r="BM39" t="e">
        <f>AND('Current Index'!#REF!,"AAAAAGY6S0A=")</f>
        <v>#REF!</v>
      </c>
      <c r="BN39" t="e">
        <f>AND('Current Index'!B954,"AAAAAGY6S0E=")</f>
        <v>#VALUE!</v>
      </c>
      <c r="BO39" t="e">
        <f>AND('Current Index'!C954,"AAAAAGY6S0I=")</f>
        <v>#VALUE!</v>
      </c>
      <c r="BP39" t="e">
        <f>AND('Current Index'!D954,"AAAAAGY6S0M=")</f>
        <v>#VALUE!</v>
      </c>
      <c r="BQ39" t="e">
        <f>AND('Current Index'!E954,"AAAAAGY6S0Q=")</f>
        <v>#VALUE!</v>
      </c>
      <c r="BR39" t="e">
        <f>AND('Current Index'!F954,"AAAAAGY6S0U=")</f>
        <v>#VALUE!</v>
      </c>
      <c r="BS39" t="e">
        <f>AND('Current Index'!G954,"AAAAAGY6S0Y=")</f>
        <v>#VALUE!</v>
      </c>
      <c r="BT39" t="e">
        <f>AND('Current Index'!H954,"AAAAAGY6S0c=")</f>
        <v>#VALUE!</v>
      </c>
      <c r="BU39" t="e">
        <f>AND('Current Index'!I954,"AAAAAGY6S0g=")</f>
        <v>#VALUE!</v>
      </c>
      <c r="BV39">
        <f>IF('Current Index'!955:955,"AAAAAGY6S0k=",0)</f>
        <v>0</v>
      </c>
      <c r="BW39" t="e">
        <f>IF('Current Index'!#REF!,"AAAAAGY6S0o=",0)</f>
        <v>#REF!</v>
      </c>
      <c r="BX39" t="e">
        <f>IF('Current Index'!#REF!,"AAAAAGY6S0s=",0)</f>
        <v>#REF!</v>
      </c>
      <c r="BY39" t="e">
        <f>IF('Current Index'!#REF!,"AAAAAGY6S0w=",0)</f>
        <v>#REF!</v>
      </c>
      <c r="BZ39" t="e">
        <f>IF('Current Index'!#REF!,"AAAAAGY6S00=",0)</f>
        <v>#REF!</v>
      </c>
      <c r="CA39" t="e">
        <f>IF('Current Index'!#REF!,"AAAAAGY6S04=",0)</f>
        <v>#REF!</v>
      </c>
      <c r="CB39" t="e">
        <f>IF('Current Index'!#REF!,"AAAAAGY6S08=",0)</f>
        <v>#REF!</v>
      </c>
      <c r="CC39" t="e">
        <f>IF('Current Index'!#REF!,"AAAAAGY6S1A=",0)</f>
        <v>#REF!</v>
      </c>
      <c r="CD39" t="e">
        <f>IF('Current Index'!#REF!,"AAAAAGY6S1E=",0)</f>
        <v>#REF!</v>
      </c>
      <c r="CE39">
        <f>IF('Current Index'!956:956,"AAAAAGY6S1I=",0)</f>
        <v>0</v>
      </c>
      <c r="CF39">
        <f>IF('Current Index'!957:957,"AAAAAGY6S1M=",0)</f>
        <v>0</v>
      </c>
      <c r="CG39">
        <f>IF('Current Index'!958:958,"AAAAAGY6S1Q=",0)</f>
        <v>0</v>
      </c>
      <c r="CH39">
        <f>IF('Current Index'!959:959,"AAAAAGY6S1U=",0)</f>
        <v>0</v>
      </c>
      <c r="CI39">
        <f>IF('Current Index'!960:960,"AAAAAGY6S1Y=",0)</f>
        <v>0</v>
      </c>
      <c r="CJ39">
        <f>IF('Current Index'!961:961,"AAAAAGY6S1c=",0)</f>
        <v>0</v>
      </c>
      <c r="CK39">
        <f>IF('Current Index'!962:962,"AAAAAGY6S1g=",0)</f>
        <v>0</v>
      </c>
      <c r="CL39">
        <f>IF('Current Index'!963:963,"AAAAAGY6S1k=",0)</f>
        <v>0</v>
      </c>
      <c r="CM39">
        <f>IF('Current Index'!964:964,"AAAAAGY6S1o=",0)</f>
        <v>0</v>
      </c>
      <c r="CN39">
        <f>IF('Current Index'!965:965,"AAAAAGY6S1s=",0)</f>
        <v>0</v>
      </c>
      <c r="CO39">
        <f>IF('Current Index'!966:966,"AAAAAGY6S1w=",0)</f>
        <v>0</v>
      </c>
      <c r="CP39">
        <f>IF('Current Index'!967:967,"AAAAAGY6S10=",0)</f>
        <v>0</v>
      </c>
      <c r="CQ39">
        <f>IF('Current Index'!968:968,"AAAAAGY6S14=",0)</f>
        <v>0</v>
      </c>
      <c r="CR39">
        <f>IF('Current Index'!969:969,"AAAAAGY6S18=",0)</f>
        <v>0</v>
      </c>
      <c r="CS39">
        <f>IF('Current Index'!970:970,"AAAAAGY6S2A=",0)</f>
        <v>0</v>
      </c>
      <c r="CT39">
        <f>IF('Current Index'!971:971,"AAAAAGY6S2E=",0)</f>
        <v>0</v>
      </c>
      <c r="CU39">
        <f>IF('Current Index'!972:972,"AAAAAGY6S2I=",0)</f>
        <v>0</v>
      </c>
      <c r="CV39">
        <f>IF('Current Index'!973:973,"AAAAAGY6S2M=",0)</f>
        <v>0</v>
      </c>
      <c r="CW39">
        <f>IF('Current Index'!974:974,"AAAAAGY6S2Q=",0)</f>
        <v>0</v>
      </c>
      <c r="CX39">
        <f>IF('Current Index'!975:975,"AAAAAGY6S2U=",0)</f>
        <v>0</v>
      </c>
      <c r="CY39">
        <f>IF('Current Index'!976:976,"AAAAAGY6S2Y=",0)</f>
        <v>0</v>
      </c>
      <c r="CZ39">
        <f>IF('Current Index'!977:977,"AAAAAGY6S2c=",0)</f>
        <v>0</v>
      </c>
      <c r="DA39">
        <f>IF('Current Index'!978:978,"AAAAAGY6S2g=",0)</f>
        <v>0</v>
      </c>
      <c r="DB39">
        <f>IF('Current Index'!979:979,"AAAAAGY6S2k=",0)</f>
        <v>0</v>
      </c>
      <c r="DC39">
        <f>IF('Current Index'!980:980,"AAAAAGY6S2o=",0)</f>
        <v>0</v>
      </c>
      <c r="DD39">
        <f>IF('Current Index'!981:981,"AAAAAGY6S2s=",0)</f>
        <v>0</v>
      </c>
      <c r="DE39">
        <f>IF('Current Index'!982:982,"AAAAAGY6S2w=",0)</f>
        <v>0</v>
      </c>
      <c r="DF39">
        <f>IF('Current Index'!983:983,"AAAAAGY6S20=",0)</f>
        <v>0</v>
      </c>
      <c r="DG39">
        <f>IF('Current Index'!984:984,"AAAAAGY6S24=",0)</f>
        <v>0</v>
      </c>
      <c r="DH39">
        <f>IF('Current Index'!985:985,"AAAAAGY6S28=",0)</f>
        <v>0</v>
      </c>
      <c r="DI39">
        <f>IF('Current Index'!986:986,"AAAAAGY6S3A=",0)</f>
        <v>0</v>
      </c>
      <c r="DJ39">
        <f>IF('Current Index'!987:987,"AAAAAGY6S3E=",0)</f>
        <v>0</v>
      </c>
      <c r="DK39">
        <f>IF('Current Index'!988:988,"AAAAAGY6S3I=",0)</f>
        <v>0</v>
      </c>
      <c r="DL39">
        <f>IF('Current Index'!989:989,"AAAAAGY6S3M=",0)</f>
        <v>0</v>
      </c>
      <c r="DM39">
        <f>IF('Current Index'!990:990,"AAAAAGY6S3Q=",0)</f>
        <v>0</v>
      </c>
      <c r="DN39">
        <f>IF('Current Index'!991:991,"AAAAAGY6S3U=",0)</f>
        <v>0</v>
      </c>
      <c r="DO39">
        <f>IF('Current Index'!992:992,"AAAAAGY6S3Y=",0)</f>
        <v>0</v>
      </c>
      <c r="DP39">
        <f>IF('Current Index'!993:993,"AAAAAGY6S3c=",0)</f>
        <v>0</v>
      </c>
      <c r="DQ39">
        <f>IF('Current Index'!994:994,"AAAAAGY6S3g=",0)</f>
        <v>0</v>
      </c>
      <c r="DR39">
        <f>IF('Current Index'!995:995,"AAAAAGY6S3k=",0)</f>
        <v>0</v>
      </c>
      <c r="DS39">
        <f>IF('Current Index'!996:996,"AAAAAGY6S3o=",0)</f>
        <v>0</v>
      </c>
      <c r="DT39">
        <f>IF('Current Index'!997:997,"AAAAAGY6S3s=",0)</f>
        <v>0</v>
      </c>
      <c r="DU39">
        <f>IF('Current Index'!998:998,"AAAAAGY6S3w=",0)</f>
        <v>0</v>
      </c>
      <c r="DV39">
        <f>IF('Current Index'!999:999,"AAAAAGY6S30=",0)</f>
        <v>0</v>
      </c>
      <c r="DW39">
        <f>IF('Current Index'!1000:1000,"AAAAAGY6S34=",0)</f>
        <v>0</v>
      </c>
      <c r="DX39">
        <f>IF('Current Index'!1001:1001,"AAAAAGY6S38=",0)</f>
        <v>0</v>
      </c>
      <c r="DY39">
        <f>IF('Current Index'!1002:1002,"AAAAAGY6S4A=",0)</f>
        <v>0</v>
      </c>
      <c r="DZ39">
        <f>IF('Current Index'!1003:1003,"AAAAAGY6S4E=",0)</f>
        <v>0</v>
      </c>
      <c r="EA39">
        <f>IF('Current Index'!1004:1004,"AAAAAGY6S4I=",0)</f>
        <v>0</v>
      </c>
      <c r="EB39">
        <f>IF('Current Index'!1005:1005,"AAAAAGY6S4M=",0)</f>
        <v>0</v>
      </c>
      <c r="EC39">
        <f>IF('Current Index'!1006:1006,"AAAAAGY6S4Q=",0)</f>
        <v>0</v>
      </c>
      <c r="ED39">
        <f>IF('Current Index'!1007:1007,"AAAAAGY6S4U=",0)</f>
        <v>0</v>
      </c>
      <c r="EE39">
        <f>IF('Current Index'!1008:1008,"AAAAAGY6S4Y=",0)</f>
        <v>0</v>
      </c>
      <c r="EF39">
        <f>IF('Current Index'!1009:1009,"AAAAAGY6S4c=",0)</f>
        <v>0</v>
      </c>
      <c r="EG39">
        <f>IF('Current Index'!1010:1010,"AAAAAGY6S4g=",0)</f>
        <v>0</v>
      </c>
      <c r="EH39">
        <f>IF('Current Index'!1011:1011,"AAAAAGY6S4k=",0)</f>
        <v>0</v>
      </c>
      <c r="EI39">
        <f>IF('Current Index'!1012:1012,"AAAAAGY6S4o=",0)</f>
        <v>0</v>
      </c>
      <c r="EJ39">
        <f>IF('Current Index'!1013:1013,"AAAAAGY6S4s=",0)</f>
        <v>0</v>
      </c>
      <c r="EK39">
        <f>IF('Current Index'!1014:1014,"AAAAAGY6S4w=",0)</f>
        <v>0</v>
      </c>
      <c r="EL39">
        <f>IF('Current Index'!1015:1015,"AAAAAGY6S40=",0)</f>
        <v>0</v>
      </c>
      <c r="EM39">
        <f>IF('Current Index'!1016:1016,"AAAAAGY6S44=",0)</f>
        <v>0</v>
      </c>
      <c r="EN39">
        <f>IF('Current Index'!1017:1017,"AAAAAGY6S48=",0)</f>
        <v>0</v>
      </c>
      <c r="EO39">
        <f>IF('Current Index'!1018:1018,"AAAAAGY6S5A=",0)</f>
        <v>0</v>
      </c>
      <c r="EP39">
        <f>IF('Current Index'!1019:1019,"AAAAAGY6S5E=",0)</f>
        <v>0</v>
      </c>
      <c r="EQ39">
        <f>IF('Current Index'!1020:1020,"AAAAAGY6S5I=",0)</f>
        <v>0</v>
      </c>
      <c r="ER39">
        <f>IF('Current Index'!1021:1021,"AAAAAGY6S5M=",0)</f>
        <v>0</v>
      </c>
      <c r="ES39">
        <f>IF('Current Index'!1022:1022,"AAAAAGY6S5Q=",0)</f>
        <v>0</v>
      </c>
      <c r="ET39">
        <f>IF('Current Index'!1023:1023,"AAAAAGY6S5U=",0)</f>
        <v>0</v>
      </c>
      <c r="EU39">
        <f>IF('Current Index'!1024:1024,"AAAAAGY6S5Y=",0)</f>
        <v>0</v>
      </c>
      <c r="EV39">
        <f>IF('Current Index'!1025:1025,"AAAAAGY6S5c=",0)</f>
        <v>0</v>
      </c>
      <c r="EW39">
        <f>IF('Current Index'!1026:1026,"AAAAAGY6S5g=",0)</f>
        <v>0</v>
      </c>
      <c r="EX39">
        <f>IF('Current Index'!1027:1027,"AAAAAGY6S5k=",0)</f>
        <v>0</v>
      </c>
      <c r="EY39">
        <f>IF('Current Index'!1028:1028,"AAAAAGY6S5o=",0)</f>
        <v>0</v>
      </c>
      <c r="EZ39">
        <f>IF('Current Index'!1029:1029,"AAAAAGY6S5s=",0)</f>
        <v>0</v>
      </c>
      <c r="FA39">
        <f>IF('Current Index'!1030:1030,"AAAAAGY6S5w=",0)</f>
        <v>0</v>
      </c>
      <c r="FB39">
        <f>IF('Current Index'!1031:1031,"AAAAAGY6S50=",0)</f>
        <v>0</v>
      </c>
      <c r="FC39">
        <f>IF('Current Index'!1032:1032,"AAAAAGY6S54=",0)</f>
        <v>0</v>
      </c>
      <c r="FD39">
        <f>IF('Current Index'!1033:1033,"AAAAAGY6S58=",0)</f>
        <v>0</v>
      </c>
      <c r="FE39">
        <f>IF('Current Index'!1034:1034,"AAAAAGY6S6A=",0)</f>
        <v>0</v>
      </c>
      <c r="FF39">
        <f>IF('Current Index'!1035:1035,"AAAAAGY6S6E=",0)</f>
        <v>0</v>
      </c>
      <c r="FG39">
        <f>IF('Current Index'!1036:1036,"AAAAAGY6S6I=",0)</f>
        <v>0</v>
      </c>
      <c r="FH39">
        <f>IF('Current Index'!1037:1037,"AAAAAGY6S6M=",0)</f>
        <v>0</v>
      </c>
      <c r="FI39">
        <f>IF('Current Index'!1038:1038,"AAAAAGY6S6Q=",0)</f>
        <v>0</v>
      </c>
      <c r="FJ39">
        <f>IF('Current Index'!1039:1039,"AAAAAGY6S6U=",0)</f>
        <v>0</v>
      </c>
      <c r="FK39">
        <f>IF('Current Index'!1040:1040,"AAAAAGY6S6Y=",0)</f>
        <v>0</v>
      </c>
      <c r="FL39">
        <f>IF('Current Index'!1041:1041,"AAAAAGY6S6c=",0)</f>
        <v>0</v>
      </c>
      <c r="FM39">
        <f>IF('Current Index'!1042:1042,"AAAAAGY6S6g=",0)</f>
        <v>0</v>
      </c>
      <c r="FN39">
        <f>IF('Current Index'!1043:1043,"AAAAAGY6S6k=",0)</f>
        <v>0</v>
      </c>
      <c r="FO39">
        <f>IF('Current Index'!1044:1044,"AAAAAGY6S6o=",0)</f>
        <v>0</v>
      </c>
      <c r="FP39">
        <f>IF('Current Index'!1045:1045,"AAAAAGY6S6s=",0)</f>
        <v>0</v>
      </c>
      <c r="FQ39">
        <f>IF('Current Index'!1046:1046,"AAAAAGY6S6w=",0)</f>
        <v>0</v>
      </c>
      <c r="FR39">
        <f>IF('Current Index'!1047:1047,"AAAAAGY6S60=",0)</f>
        <v>0</v>
      </c>
      <c r="FS39">
        <f>IF('Current Index'!1048:1048,"AAAAAGY6S64=",0)</f>
        <v>0</v>
      </c>
      <c r="FT39">
        <f>IF('Current Index'!1049:1049,"AAAAAGY6S68=",0)</f>
        <v>0</v>
      </c>
      <c r="FU39">
        <f>IF('Current Index'!1050:1050,"AAAAAGY6S7A=",0)</f>
        <v>0</v>
      </c>
      <c r="FV39">
        <f>IF('Current Index'!1051:1051,"AAAAAGY6S7E=",0)</f>
        <v>0</v>
      </c>
      <c r="FW39">
        <f>IF('Current Index'!1052:1052,"AAAAAGY6S7I=",0)</f>
        <v>0</v>
      </c>
      <c r="FX39">
        <f>IF('Current Index'!1053:1053,"AAAAAGY6S7M=",0)</f>
        <v>0</v>
      </c>
      <c r="FY39">
        <f>IF('Current Index'!1054:1054,"AAAAAGY6S7Q=",0)</f>
        <v>0</v>
      </c>
      <c r="FZ39">
        <f>IF('Current Index'!1055:1055,"AAAAAGY6S7U=",0)</f>
        <v>0</v>
      </c>
      <c r="GA39">
        <f>IF('Current Index'!1056:1056,"AAAAAGY6S7Y=",0)</f>
        <v>0</v>
      </c>
      <c r="GB39">
        <f>IF('Current Index'!1057:1057,"AAAAAGY6S7c=",0)</f>
        <v>0</v>
      </c>
      <c r="GC39">
        <f>IF('Current Index'!1058:1058,"AAAAAGY6S7g=",0)</f>
        <v>0</v>
      </c>
      <c r="GD39">
        <f>IF('Current Index'!1059:1059,"AAAAAGY6S7k=",0)</f>
        <v>0</v>
      </c>
      <c r="GE39">
        <f>IF('Current Index'!1060:1060,"AAAAAGY6S7o=",0)</f>
        <v>0</v>
      </c>
      <c r="GF39">
        <f>IF('Current Index'!1061:1061,"AAAAAGY6S7s=",0)</f>
        <v>0</v>
      </c>
      <c r="GG39">
        <f>IF('Current Index'!1062:1062,"AAAAAGY6S7w=",0)</f>
        <v>0</v>
      </c>
      <c r="GH39">
        <f>IF('Current Index'!1063:1063,"AAAAAGY6S70=",0)</f>
        <v>0</v>
      </c>
      <c r="GI39">
        <f>IF('Current Index'!1064:1064,"AAAAAGY6S74=",0)</f>
        <v>0</v>
      </c>
      <c r="GJ39">
        <f>IF('Current Index'!1065:1065,"AAAAAGY6S78=",0)</f>
        <v>0</v>
      </c>
      <c r="GK39">
        <f>IF('Current Index'!1066:1066,"AAAAAGY6S8A=",0)</f>
        <v>0</v>
      </c>
      <c r="GL39">
        <f>IF('Current Index'!1067:1067,"AAAAAGY6S8E=",0)</f>
        <v>0</v>
      </c>
      <c r="GM39">
        <f>IF('Current Index'!1068:1068,"AAAAAGY6S8I=",0)</f>
        <v>0</v>
      </c>
      <c r="GN39">
        <f>IF('Current Index'!1069:1069,"AAAAAGY6S8M=",0)</f>
        <v>0</v>
      </c>
      <c r="GO39">
        <f>IF('Current Index'!1070:1070,"AAAAAGY6S8Q=",0)</f>
        <v>0</v>
      </c>
      <c r="GP39">
        <f>IF('Current Index'!1071:1071,"AAAAAGY6S8U=",0)</f>
        <v>0</v>
      </c>
      <c r="GQ39">
        <f>IF('Current Index'!1072:1072,"AAAAAGY6S8Y=",0)</f>
        <v>0</v>
      </c>
      <c r="GR39">
        <f>IF('Current Index'!1073:1073,"AAAAAGY6S8c=",0)</f>
        <v>0</v>
      </c>
      <c r="GS39">
        <f>IF('Current Index'!1074:1074,"AAAAAGY6S8g=",0)</f>
        <v>0</v>
      </c>
      <c r="GT39">
        <f>IF('Current Index'!1075:1075,"AAAAAGY6S8k=",0)</f>
        <v>0</v>
      </c>
      <c r="GU39">
        <f>IF('Current Index'!1076:1076,"AAAAAGY6S8o=",0)</f>
        <v>0</v>
      </c>
      <c r="GV39">
        <f>IF('Current Index'!1077:1077,"AAAAAGY6S8s=",0)</f>
        <v>0</v>
      </c>
      <c r="GW39">
        <f>IF('Current Index'!1078:1078,"AAAAAGY6S8w=",0)</f>
        <v>0</v>
      </c>
      <c r="GX39">
        <f>IF('Current Index'!1079:1079,"AAAAAGY6S80=",0)</f>
        <v>0</v>
      </c>
      <c r="GY39">
        <f>IF('Current Index'!1080:1080,"AAAAAGY6S84=",0)</f>
        <v>0</v>
      </c>
      <c r="GZ39">
        <f>IF('Current Index'!1081:1081,"AAAAAGY6S88=",0)</f>
        <v>0</v>
      </c>
      <c r="HA39">
        <f>IF('Current Index'!1082:1082,"AAAAAGY6S9A=",0)</f>
        <v>0</v>
      </c>
      <c r="HB39">
        <f>IF('Current Index'!1083:1083,"AAAAAGY6S9E=",0)</f>
        <v>0</v>
      </c>
      <c r="HC39">
        <f>IF('Current Index'!1084:1084,"AAAAAGY6S9I=",0)</f>
        <v>0</v>
      </c>
      <c r="HD39">
        <f>IF('Current Index'!1085:1085,"AAAAAGY6S9M=",0)</f>
        <v>0</v>
      </c>
      <c r="HE39">
        <f>IF('Current Index'!1086:1086,"AAAAAGY6S9Q=",0)</f>
        <v>0</v>
      </c>
      <c r="HF39">
        <f>IF('Current Index'!1087:1087,"AAAAAGY6S9U=",0)</f>
        <v>0</v>
      </c>
      <c r="HG39">
        <f>IF('Current Index'!1088:1088,"AAAAAGY6S9Y=",0)</f>
        <v>0</v>
      </c>
      <c r="HH39">
        <f>IF('Current Index'!1089:1089,"AAAAAGY6S9c=",0)</f>
        <v>0</v>
      </c>
      <c r="HI39">
        <f>IF('Current Index'!1090:1090,"AAAAAGY6S9g=",0)</f>
        <v>0</v>
      </c>
      <c r="HJ39">
        <f>IF('Current Index'!1091:1091,"AAAAAGY6S9k=",0)</f>
        <v>0</v>
      </c>
      <c r="HK39">
        <f>IF('Current Index'!1092:1092,"AAAAAGY6S9o=",0)</f>
        <v>0</v>
      </c>
      <c r="HL39">
        <f>IF('Current Index'!1093:1093,"AAAAAGY6S9s=",0)</f>
        <v>0</v>
      </c>
      <c r="HM39">
        <f>IF('Current Index'!1094:1094,"AAAAAGY6S9w=",0)</f>
        <v>0</v>
      </c>
      <c r="HN39">
        <f>IF('Current Index'!1095:1095,"AAAAAGY6S90=",0)</f>
        <v>0</v>
      </c>
      <c r="HO39">
        <f>IF('Current Index'!1096:1096,"AAAAAGY6S94=",0)</f>
        <v>0</v>
      </c>
      <c r="HP39">
        <f>IF('Current Index'!1097:1097,"AAAAAGY6S98=",0)</f>
        <v>0</v>
      </c>
      <c r="HQ39">
        <f>IF('Current Index'!1098:1098,"AAAAAGY6S+A=",0)</f>
        <v>0</v>
      </c>
      <c r="HR39">
        <f>IF('Current Index'!1099:1099,"AAAAAGY6S+E=",0)</f>
        <v>0</v>
      </c>
      <c r="HS39">
        <f>IF('Current Index'!1100:1100,"AAAAAGY6S+I=",0)</f>
        <v>0</v>
      </c>
      <c r="HT39">
        <f>IF('Current Index'!1101:1101,"AAAAAGY6S+M=",0)</f>
        <v>0</v>
      </c>
      <c r="HU39">
        <f>IF('Current Index'!1102:1102,"AAAAAGY6S+Q=",0)</f>
        <v>0</v>
      </c>
      <c r="HV39">
        <f>IF('Current Index'!1103:1103,"AAAAAGY6S+U=",0)</f>
        <v>0</v>
      </c>
      <c r="HW39">
        <f>IF('Current Index'!1104:1104,"AAAAAGY6S+Y=",0)</f>
        <v>0</v>
      </c>
      <c r="HX39">
        <f>IF('Current Index'!1105:1105,"AAAAAGY6S+c=",0)</f>
        <v>0</v>
      </c>
      <c r="HY39">
        <f>IF('Current Index'!1106:1106,"AAAAAGY6S+g=",0)</f>
        <v>0</v>
      </c>
      <c r="HZ39">
        <f>IF('Current Index'!1107:1107,"AAAAAGY6S+k=",0)</f>
        <v>0</v>
      </c>
      <c r="IA39">
        <f>IF('Current Index'!1108:1108,"AAAAAGY6S+o=",0)</f>
        <v>0</v>
      </c>
      <c r="IB39">
        <f>IF('Current Index'!1109:1109,"AAAAAGY6S+s=",0)</f>
        <v>0</v>
      </c>
      <c r="IC39">
        <f>IF('Current Index'!1110:1110,"AAAAAGY6S+w=",0)</f>
        <v>0</v>
      </c>
      <c r="ID39">
        <f>IF('Current Index'!1111:1111,"AAAAAGY6S+0=",0)</f>
        <v>0</v>
      </c>
      <c r="IE39">
        <f>IF('Current Index'!1112:1112,"AAAAAGY6S+4=",0)</f>
        <v>0</v>
      </c>
      <c r="IF39">
        <f>IF('Current Index'!1113:1113,"AAAAAGY6S+8=",0)</f>
        <v>0</v>
      </c>
      <c r="IG39">
        <f>IF('Current Index'!1114:1114,"AAAAAGY6S/A=",0)</f>
        <v>0</v>
      </c>
      <c r="IH39">
        <f>IF('Current Index'!1115:1115,"AAAAAGY6S/E=",0)</f>
        <v>0</v>
      </c>
      <c r="II39">
        <f>IF('Current Index'!1116:1116,"AAAAAGY6S/I=",0)</f>
        <v>0</v>
      </c>
      <c r="IJ39">
        <f>IF('Current Index'!1117:1117,"AAAAAGY6S/M=",0)</f>
        <v>0</v>
      </c>
      <c r="IK39">
        <f>IF('Current Index'!1118:1118,"AAAAAGY6S/Q=",0)</f>
        <v>0</v>
      </c>
      <c r="IL39">
        <f>IF('Current Index'!1119:1119,"AAAAAGY6S/U=",0)</f>
        <v>0</v>
      </c>
      <c r="IM39">
        <f>IF('Current Index'!1120:1120,"AAAAAGY6S/Y=",0)</f>
        <v>0</v>
      </c>
      <c r="IN39">
        <f>IF('Current Index'!1121:1121,"AAAAAGY6S/c=",0)</f>
        <v>0</v>
      </c>
      <c r="IO39">
        <f>IF('Current Index'!1122:1122,"AAAAAGY6S/g=",0)</f>
        <v>0</v>
      </c>
      <c r="IP39">
        <f>IF('Current Index'!1123:1123,"AAAAAGY6S/k=",0)</f>
        <v>0</v>
      </c>
      <c r="IQ39">
        <f>IF('Current Index'!1124:1124,"AAAAAGY6S/o=",0)</f>
        <v>0</v>
      </c>
      <c r="IR39">
        <f>IF('Current Index'!1125:1125,"AAAAAGY6S/s=",0)</f>
        <v>0</v>
      </c>
      <c r="IS39">
        <f>IF('Current Index'!1126:1126,"AAAAAGY6S/w=",0)</f>
        <v>0</v>
      </c>
      <c r="IT39">
        <f>IF('Current Index'!1127:1127,"AAAAAGY6S/0=",0)</f>
        <v>0</v>
      </c>
      <c r="IU39">
        <f>IF('Current Index'!1128:1128,"AAAAAGY6S/4=",0)</f>
        <v>0</v>
      </c>
      <c r="IV39">
        <f>IF('Current Index'!1129:1129,"AAAAAGY6S/8=",0)</f>
        <v>0</v>
      </c>
    </row>
    <row r="40" spans="1:256" x14ac:dyDescent="0.25">
      <c r="A40">
        <f>IF('Current Index'!1130:1130,"AAAAACH//wA=",0)</f>
        <v>0</v>
      </c>
      <c r="B40">
        <f>IF('Current Index'!1131:1131,"AAAAACH//wE=",0)</f>
        <v>0</v>
      </c>
      <c r="C40">
        <f>IF('Current Index'!1132:1132,"AAAAACH//wI=",0)</f>
        <v>0</v>
      </c>
      <c r="D40">
        <f>IF('Current Index'!1133:1133,"AAAAACH//wM=",0)</f>
        <v>0</v>
      </c>
      <c r="E40">
        <f>IF('Current Index'!1134:1134,"AAAAACH//wQ=",0)</f>
        <v>0</v>
      </c>
      <c r="F40">
        <f>IF('Current Index'!1135:1135,"AAAAACH//wU=",0)</f>
        <v>0</v>
      </c>
      <c r="G40">
        <f>IF('Current Index'!1136:1136,"AAAAACH//wY=",0)</f>
        <v>0</v>
      </c>
      <c r="H40">
        <f>IF('Current Index'!1137:1137,"AAAAACH//wc=",0)</f>
        <v>0</v>
      </c>
      <c r="I40">
        <f>IF('Current Index'!1138:1138,"AAAAACH//wg=",0)</f>
        <v>0</v>
      </c>
      <c r="J40">
        <f>IF('Current Index'!1139:1139,"AAAAACH//wk=",0)</f>
        <v>0</v>
      </c>
      <c r="K40">
        <f>IF('Current Index'!1140:1140,"AAAAACH//wo=",0)</f>
        <v>0</v>
      </c>
      <c r="L40">
        <f>IF('Current Index'!1141:1141,"AAAAACH//ws=",0)</f>
        <v>0</v>
      </c>
      <c r="M40">
        <f>IF('Current Index'!1142:1142,"AAAAACH//ww=",0)</f>
        <v>0</v>
      </c>
      <c r="N40">
        <f>IF('Current Index'!1143:1143,"AAAAACH//w0=",0)</f>
        <v>0</v>
      </c>
      <c r="O40">
        <f>IF('Current Index'!1144:1144,"AAAAACH//w4=",0)</f>
        <v>0</v>
      </c>
      <c r="P40">
        <f>IF('Current Index'!1145:1145,"AAAAACH//w8=",0)</f>
        <v>0</v>
      </c>
      <c r="Q40">
        <f>IF('Current Index'!1146:1146,"AAAAACH//xA=",0)</f>
        <v>0</v>
      </c>
      <c r="R40">
        <f>IF('Current Index'!1147:1147,"AAAAACH//xE=",0)</f>
        <v>0</v>
      </c>
      <c r="S40">
        <f>IF('Current Index'!1148:1148,"AAAAACH//xI=",0)</f>
        <v>0</v>
      </c>
      <c r="T40">
        <f>IF('Current Index'!1149:1149,"AAAAACH//xM=",0)</f>
        <v>0</v>
      </c>
      <c r="U40">
        <f>IF('Current Index'!1150:1150,"AAAAACH//xQ=",0)</f>
        <v>0</v>
      </c>
      <c r="V40">
        <f>IF('Current Index'!1151:1151,"AAAAACH//xU=",0)</f>
        <v>0</v>
      </c>
      <c r="W40">
        <f>IF('Current Index'!1152:1152,"AAAAACH//xY=",0)</f>
        <v>0</v>
      </c>
      <c r="X40">
        <f>IF('Current Index'!1153:1153,"AAAAACH//xc=",0)</f>
        <v>0</v>
      </c>
      <c r="Y40">
        <f>IF('Current Index'!1154:1154,"AAAAACH//xg=",0)</f>
        <v>0</v>
      </c>
      <c r="Z40">
        <f>IF('Current Index'!1155:1155,"AAAAACH//xk=",0)</f>
        <v>0</v>
      </c>
      <c r="AA40">
        <f>IF('Current Index'!1156:1156,"AAAAACH//xo=",0)</f>
        <v>0</v>
      </c>
      <c r="AB40">
        <f>IF('Current Index'!1157:1157,"AAAAACH//xs=",0)</f>
        <v>0</v>
      </c>
      <c r="AC40">
        <f>IF('Current Index'!1158:1158,"AAAAACH//xw=",0)</f>
        <v>0</v>
      </c>
      <c r="AD40">
        <f>IF('Current Index'!1159:1159,"AAAAACH//x0=",0)</f>
        <v>0</v>
      </c>
      <c r="AE40">
        <f>IF('Current Index'!1160:1160,"AAAAACH//x4=",0)</f>
        <v>0</v>
      </c>
      <c r="AF40">
        <f>IF('Current Index'!1161:1161,"AAAAACH//x8=",0)</f>
        <v>0</v>
      </c>
      <c r="AG40">
        <f>IF('Current Index'!1162:1162,"AAAAACH//yA=",0)</f>
        <v>0</v>
      </c>
      <c r="AH40">
        <f>IF('Current Index'!1163:1163,"AAAAACH//yE=",0)</f>
        <v>0</v>
      </c>
      <c r="AI40">
        <f>IF('Current Index'!1164:1164,"AAAAACH//yI=",0)</f>
        <v>0</v>
      </c>
      <c r="AJ40">
        <f>IF('Current Index'!1165:1165,"AAAAACH//yM=",0)</f>
        <v>0</v>
      </c>
      <c r="AK40">
        <f>IF('Current Index'!1166:1166,"AAAAACH//yQ=",0)</f>
        <v>0</v>
      </c>
      <c r="AL40">
        <f>IF('Current Index'!1167:1167,"AAAAACH//yU=",0)</f>
        <v>0</v>
      </c>
      <c r="AM40">
        <f>IF('Current Index'!1168:1168,"AAAAACH//yY=",0)</f>
        <v>0</v>
      </c>
      <c r="AN40">
        <f>IF('Current Index'!1169:1169,"AAAAACH//yc=",0)</f>
        <v>0</v>
      </c>
      <c r="AO40">
        <f>IF('Current Index'!1170:1170,"AAAAACH//yg=",0)</f>
        <v>0</v>
      </c>
      <c r="AP40">
        <f>IF('Current Index'!1171:1171,"AAAAACH//yk=",0)</f>
        <v>0</v>
      </c>
      <c r="AQ40">
        <f>IF('Current Index'!1172:1172,"AAAAACH//yo=",0)</f>
        <v>0</v>
      </c>
      <c r="AR40">
        <f>IF('Current Index'!1173:1173,"AAAAACH//ys=",0)</f>
        <v>0</v>
      </c>
      <c r="AS40">
        <f>IF('Current Index'!1174:1174,"AAAAACH//yw=",0)</f>
        <v>0</v>
      </c>
      <c r="AT40">
        <f>IF('Current Index'!1175:1175,"AAAAACH//y0=",0)</f>
        <v>0</v>
      </c>
      <c r="AU40">
        <f>IF('Current Index'!1176:1176,"AAAAACH//y4=",0)</f>
        <v>0</v>
      </c>
      <c r="AV40">
        <f>IF('Current Index'!1177:1177,"AAAAACH//y8=",0)</f>
        <v>0</v>
      </c>
      <c r="AW40">
        <f>IF('Current Index'!1178:1178,"AAAAACH//zA=",0)</f>
        <v>0</v>
      </c>
      <c r="AX40">
        <f>IF('Current Index'!1179:1179,"AAAAACH//zE=",0)</f>
        <v>0</v>
      </c>
      <c r="AY40">
        <f>IF('Current Index'!1180:1180,"AAAAACH//zI=",0)</f>
        <v>0</v>
      </c>
      <c r="AZ40">
        <f>IF('Current Index'!1181:1181,"AAAAACH//zM=",0)</f>
        <v>0</v>
      </c>
      <c r="BA40">
        <f>IF('Current Index'!1182:1182,"AAAAACH//zQ=",0)</f>
        <v>0</v>
      </c>
      <c r="BB40">
        <f>IF('Current Index'!1183:1183,"AAAAACH//zU=",0)</f>
        <v>0</v>
      </c>
      <c r="BC40">
        <f>IF('Current Index'!1184:1184,"AAAAACH//zY=",0)</f>
        <v>0</v>
      </c>
      <c r="BD40">
        <f>IF('Current Index'!1185:1185,"AAAAACH//zc=",0)</f>
        <v>0</v>
      </c>
      <c r="BE40">
        <f>IF('Current Index'!1186:1186,"AAAAACH//zg=",0)</f>
        <v>0</v>
      </c>
      <c r="BF40">
        <f>IF('Current Index'!1187:1187,"AAAAACH//zk=",0)</f>
        <v>0</v>
      </c>
      <c r="BG40">
        <f>IF('Current Index'!1188:1188,"AAAAACH//zo=",0)</f>
        <v>0</v>
      </c>
      <c r="BH40">
        <f>IF('Current Index'!1189:1189,"AAAAACH//zs=",0)</f>
        <v>0</v>
      </c>
      <c r="BI40">
        <f>IF('Current Index'!1190:1190,"AAAAACH//zw=",0)</f>
        <v>0</v>
      </c>
      <c r="BJ40">
        <f>IF('Current Index'!1191:1191,"AAAAACH//z0=",0)</f>
        <v>0</v>
      </c>
      <c r="BK40">
        <f>IF('Current Index'!1192:1192,"AAAAACH//z4=",0)</f>
        <v>0</v>
      </c>
      <c r="BL40">
        <f>IF('Current Index'!1193:1193,"AAAAACH//z8=",0)</f>
        <v>0</v>
      </c>
      <c r="BM40">
        <f>IF('Current Index'!1194:1194,"AAAAACH//0A=",0)</f>
        <v>0</v>
      </c>
      <c r="BN40">
        <f>IF('Current Index'!1195:1195,"AAAAACH//0E=",0)</f>
        <v>0</v>
      </c>
      <c r="BO40">
        <f>IF('Current Index'!1196:1196,"AAAAACH//0I=",0)</f>
        <v>0</v>
      </c>
      <c r="BP40">
        <f>IF('Current Index'!1197:1197,"AAAAACH//0M=",0)</f>
        <v>0</v>
      </c>
      <c r="BQ40">
        <f>IF('Current Index'!1198:1198,"AAAAACH//0Q=",0)</f>
        <v>0</v>
      </c>
      <c r="BR40">
        <f>IF('Current Index'!1199:1199,"AAAAACH//0U=",0)</f>
        <v>0</v>
      </c>
      <c r="BS40">
        <f>IF('Current Index'!1200:1200,"AAAAACH//0Y=",0)</f>
        <v>0</v>
      </c>
      <c r="BT40">
        <f>IF('Current Index'!1201:1201,"AAAAACH//0c=",0)</f>
        <v>0</v>
      </c>
      <c r="BU40">
        <f>IF('Current Index'!1202:1202,"AAAAACH//0g=",0)</f>
        <v>0</v>
      </c>
      <c r="BV40">
        <f>IF('Current Index'!1203:1203,"AAAAACH//0k=",0)</f>
        <v>0</v>
      </c>
      <c r="BW40">
        <f>IF('Current Index'!1204:1204,"AAAAACH//0o=",0)</f>
        <v>0</v>
      </c>
      <c r="BX40">
        <f>IF('Current Index'!1205:1205,"AAAAACH//0s=",0)</f>
        <v>0</v>
      </c>
      <c r="BY40">
        <f>IF('Current Index'!1206:1206,"AAAAACH//0w=",0)</f>
        <v>0</v>
      </c>
      <c r="BZ40">
        <f>IF('Current Index'!1207:1207,"AAAAACH//00=",0)</f>
        <v>0</v>
      </c>
      <c r="CA40">
        <f>IF('Current Index'!1208:1208,"AAAAACH//04=",0)</f>
        <v>0</v>
      </c>
      <c r="CB40">
        <f>IF('Current Index'!1209:1209,"AAAAACH//08=",0)</f>
        <v>0</v>
      </c>
      <c r="CC40">
        <f>IF('Current Index'!1210:1210,"AAAAACH//1A=",0)</f>
        <v>0</v>
      </c>
      <c r="CD40">
        <f>IF('Current Index'!1211:1211,"AAAAACH//1E=",0)</f>
        <v>0</v>
      </c>
      <c r="CE40">
        <f>IF('Current Index'!1212:1212,"AAAAACH//1I=",0)</f>
        <v>0</v>
      </c>
      <c r="CF40">
        <f>IF('Current Index'!1213:1213,"AAAAACH//1M=",0)</f>
        <v>0</v>
      </c>
      <c r="CG40">
        <f>IF('Current Index'!1214:1214,"AAAAACH//1Q=",0)</f>
        <v>0</v>
      </c>
      <c r="CH40">
        <f>IF('Current Index'!1215:1215,"AAAAACH//1U=",0)</f>
        <v>0</v>
      </c>
      <c r="CI40">
        <f>IF('Current Index'!1216:1216,"AAAAACH//1Y=",0)</f>
        <v>0</v>
      </c>
      <c r="CJ40">
        <f>IF('Current Index'!1217:1217,"AAAAACH//1c=",0)</f>
        <v>0</v>
      </c>
      <c r="CK40">
        <f>IF('Current Index'!1218:1218,"AAAAACH//1g=",0)</f>
        <v>0</v>
      </c>
      <c r="CL40">
        <f>IF('Current Index'!1219:1219,"AAAAACH//1k=",0)</f>
        <v>0</v>
      </c>
      <c r="CM40">
        <f>IF('Current Index'!1220:1220,"AAAAACH//1o=",0)</f>
        <v>0</v>
      </c>
      <c r="CN40">
        <f>IF('Current Index'!1221:1221,"AAAAACH//1s=",0)</f>
        <v>0</v>
      </c>
      <c r="CO40">
        <f>IF('Current Index'!1222:1222,"AAAAACH//1w=",0)</f>
        <v>0</v>
      </c>
      <c r="CP40">
        <f>IF('Current Index'!1223:1223,"AAAAACH//10=",0)</f>
        <v>0</v>
      </c>
      <c r="CQ40">
        <f>IF('Current Index'!1224:1224,"AAAAACH//14=",0)</f>
        <v>0</v>
      </c>
      <c r="CR40">
        <f>IF('Current Index'!1225:1225,"AAAAACH//18=",0)</f>
        <v>0</v>
      </c>
      <c r="CS40">
        <f>IF('Current Index'!1226:1226,"AAAAACH//2A=",0)</f>
        <v>0</v>
      </c>
      <c r="CT40">
        <f>IF('Current Index'!1227:1227,"AAAAACH//2E=",0)</f>
        <v>0</v>
      </c>
      <c r="CU40">
        <f>IF('Current Index'!1228:1228,"AAAAACH//2I=",0)</f>
        <v>0</v>
      </c>
      <c r="CV40">
        <f>IF('Current Index'!1229:1229,"AAAAACH//2M=",0)</f>
        <v>0</v>
      </c>
      <c r="CW40">
        <f>IF('Current Index'!1230:1230,"AAAAACH//2Q=",0)</f>
        <v>0</v>
      </c>
      <c r="CX40">
        <f>IF('Current Index'!1231:1231,"AAAAACH//2U=",0)</f>
        <v>0</v>
      </c>
      <c r="CY40">
        <f>IF('Current Index'!1232:1232,"AAAAACH//2Y=",0)</f>
        <v>0</v>
      </c>
      <c r="CZ40">
        <f>IF('Current Index'!1233:1233,"AAAAACH//2c=",0)</f>
        <v>0</v>
      </c>
      <c r="DA40">
        <f>IF('Current Index'!1234:1234,"AAAAACH//2g=",0)</f>
        <v>0</v>
      </c>
      <c r="DB40">
        <f>IF('Current Index'!1235:1235,"AAAAACH//2k=",0)</f>
        <v>0</v>
      </c>
      <c r="DC40">
        <f>IF('Current Index'!1236:1236,"AAAAACH//2o=",0)</f>
        <v>0</v>
      </c>
      <c r="DD40">
        <f>IF('Current Index'!1237:1237,"AAAAACH//2s=",0)</f>
        <v>0</v>
      </c>
      <c r="DE40">
        <f>IF('Current Index'!1238:1238,"AAAAACH//2w=",0)</f>
        <v>0</v>
      </c>
      <c r="DF40">
        <f>IF('Current Index'!1239:1239,"AAAAACH//20=",0)</f>
        <v>0</v>
      </c>
      <c r="DG40">
        <f>IF('Current Index'!1240:1240,"AAAAACH//24=",0)</f>
        <v>0</v>
      </c>
      <c r="DH40">
        <f>IF('Current Index'!1241:1241,"AAAAACH//28=",0)</f>
        <v>0</v>
      </c>
      <c r="DI40">
        <f>IF('Current Index'!1242:1242,"AAAAACH//3A=",0)</f>
        <v>0</v>
      </c>
      <c r="DJ40">
        <f>IF('Current Index'!1243:1243,"AAAAACH//3E=",0)</f>
        <v>0</v>
      </c>
      <c r="DK40">
        <f>IF('Current Index'!1244:1244,"AAAAACH//3I=",0)</f>
        <v>0</v>
      </c>
      <c r="DL40">
        <f>IF('Current Index'!1245:1245,"AAAAACH//3M=",0)</f>
        <v>0</v>
      </c>
      <c r="DM40">
        <f>IF('Current Index'!1246:1246,"AAAAACH//3Q=",0)</f>
        <v>0</v>
      </c>
      <c r="DN40">
        <f>IF('Current Index'!1247:1247,"AAAAACH//3U=",0)</f>
        <v>0</v>
      </c>
      <c r="DO40">
        <f>IF('Current Index'!1248:1248,"AAAAACH//3Y=",0)</f>
        <v>0</v>
      </c>
      <c r="DP40">
        <f>IF('Current Index'!1249:1249,"AAAAACH//3c=",0)</f>
        <v>0</v>
      </c>
      <c r="DQ40">
        <f>IF('Current Index'!1250:1250,"AAAAACH//3g=",0)</f>
        <v>0</v>
      </c>
      <c r="DR40">
        <f>IF('Current Index'!1251:1251,"AAAAACH//3k=",0)</f>
        <v>0</v>
      </c>
      <c r="DS40">
        <f>IF('Current Index'!1252:1252,"AAAAACH//3o=",0)</f>
        <v>0</v>
      </c>
      <c r="DT40">
        <f>IF('Current Index'!1253:1253,"AAAAACH//3s=",0)</f>
        <v>0</v>
      </c>
      <c r="DU40">
        <f>IF('Current Index'!1254:1254,"AAAAACH//3w=",0)</f>
        <v>0</v>
      </c>
      <c r="DV40">
        <f>IF('Current Index'!1255:1255,"AAAAACH//30=",0)</f>
        <v>0</v>
      </c>
      <c r="DW40">
        <f>IF('Current Index'!1256:1256,"AAAAACH//34=",0)</f>
        <v>0</v>
      </c>
      <c r="DX40">
        <f>IF('Current Index'!1257:1257,"AAAAACH//38=",0)</f>
        <v>0</v>
      </c>
      <c r="DY40">
        <f>IF('Current Index'!1258:1258,"AAAAACH//4A=",0)</f>
        <v>0</v>
      </c>
      <c r="DZ40">
        <f>IF('Current Index'!1259:1259,"AAAAACH//4E=",0)</f>
        <v>0</v>
      </c>
      <c r="EA40">
        <f>IF('Current Index'!1260:1260,"AAAAACH//4I=",0)</f>
        <v>0</v>
      </c>
      <c r="EB40">
        <f>IF('Current Index'!1261:1261,"AAAAACH//4M=",0)</f>
        <v>0</v>
      </c>
      <c r="EC40">
        <f>IF('Current Index'!1262:1262,"AAAAACH//4Q=",0)</f>
        <v>0</v>
      </c>
      <c r="ED40">
        <f>IF('Current Index'!1263:1263,"AAAAACH//4U=",0)</f>
        <v>0</v>
      </c>
      <c r="EE40">
        <f>IF('Current Index'!1264:1264,"AAAAACH//4Y=",0)</f>
        <v>0</v>
      </c>
      <c r="EF40">
        <f>IF('Current Index'!1265:1265,"AAAAACH//4c=",0)</f>
        <v>0</v>
      </c>
      <c r="EG40">
        <f>IF('Current Index'!1266:1266,"AAAAACH//4g=",0)</f>
        <v>0</v>
      </c>
      <c r="EH40">
        <f>IF('Current Index'!1267:1267,"AAAAACH//4k=",0)</f>
        <v>0</v>
      </c>
      <c r="EI40">
        <f>IF('Current Index'!1268:1268,"AAAAACH//4o=",0)</f>
        <v>0</v>
      </c>
      <c r="EJ40">
        <f>IF('Current Index'!1269:1269,"AAAAACH//4s=",0)</f>
        <v>0</v>
      </c>
      <c r="EK40">
        <f>IF('Current Index'!1270:1270,"AAAAACH//4w=",0)</f>
        <v>0</v>
      </c>
      <c r="EL40">
        <f>IF('Current Index'!1271:1271,"AAAAACH//40=",0)</f>
        <v>0</v>
      </c>
      <c r="EM40">
        <f>IF('Current Index'!1272:1272,"AAAAACH//44=",0)</f>
        <v>0</v>
      </c>
      <c r="EN40">
        <f>IF('Current Index'!1273:1273,"AAAAACH//48=",0)</f>
        <v>0</v>
      </c>
      <c r="EO40">
        <f>IF('Current Index'!1274:1274,"AAAAACH//5A=",0)</f>
        <v>0</v>
      </c>
      <c r="EP40">
        <f>IF('Current Index'!1275:1275,"AAAAACH//5E=",0)</f>
        <v>0</v>
      </c>
      <c r="EQ40">
        <f>IF('Current Index'!1276:1276,"AAAAACH//5I=",0)</f>
        <v>0</v>
      </c>
      <c r="ER40">
        <f>IF('Current Index'!1277:1277,"AAAAACH//5M=",0)</f>
        <v>0</v>
      </c>
      <c r="ES40">
        <f>IF('Current Index'!1278:1278,"AAAAACH//5Q=",0)</f>
        <v>0</v>
      </c>
      <c r="ET40">
        <f>IF('Current Index'!1279:1279,"AAAAACH//5U=",0)</f>
        <v>0</v>
      </c>
      <c r="EU40">
        <f>IF('Current Index'!1280:1280,"AAAAACH//5Y=",0)</f>
        <v>0</v>
      </c>
      <c r="EV40">
        <f>IF('Current Index'!1281:1281,"AAAAACH//5c=",0)</f>
        <v>0</v>
      </c>
      <c r="EW40">
        <f>IF('Current Index'!1282:1282,"AAAAACH//5g=",0)</f>
        <v>0</v>
      </c>
      <c r="EX40">
        <f>IF('Current Index'!1283:1283,"AAAAACH//5k=",0)</f>
        <v>0</v>
      </c>
      <c r="EY40">
        <f>IF('Current Index'!1284:1284,"AAAAACH//5o=",0)</f>
        <v>0</v>
      </c>
      <c r="EZ40">
        <f>IF('Current Index'!1285:1285,"AAAAACH//5s=",0)</f>
        <v>0</v>
      </c>
      <c r="FA40">
        <f>IF('Current Index'!1286:1286,"AAAAACH//5w=",0)</f>
        <v>0</v>
      </c>
      <c r="FB40">
        <f>IF('Current Index'!1287:1287,"AAAAACH//50=",0)</f>
        <v>0</v>
      </c>
      <c r="FC40">
        <f>IF('Current Index'!1288:1288,"AAAAACH//54=",0)</f>
        <v>0</v>
      </c>
      <c r="FD40">
        <f>IF('Current Index'!1289:1289,"AAAAACH//58=",0)</f>
        <v>0</v>
      </c>
      <c r="FE40">
        <f>IF('Current Index'!1290:1290,"AAAAACH//6A=",0)</f>
        <v>0</v>
      </c>
      <c r="FF40">
        <f>IF('Current Index'!1291:1291,"AAAAACH//6E=",0)</f>
        <v>0</v>
      </c>
      <c r="FG40">
        <f>IF('Current Index'!1292:1292,"AAAAACH//6I=",0)</f>
        <v>0</v>
      </c>
      <c r="FH40">
        <f>IF('Current Index'!1293:1293,"AAAAACH//6M=",0)</f>
        <v>0</v>
      </c>
      <c r="FI40">
        <f>IF('Current Index'!1294:1294,"AAAAACH//6Q=",0)</f>
        <v>0</v>
      </c>
      <c r="FJ40">
        <f>IF('Current Index'!1295:1295,"AAAAACH//6U=",0)</f>
        <v>0</v>
      </c>
      <c r="FK40">
        <f>IF('Current Index'!1296:1296,"AAAAACH//6Y=",0)</f>
        <v>0</v>
      </c>
      <c r="FL40">
        <f>IF('Current Index'!1297:1297,"AAAAACH//6c=",0)</f>
        <v>0</v>
      </c>
      <c r="FM40">
        <f>IF('Current Index'!1298:1298,"AAAAACH//6g=",0)</f>
        <v>0</v>
      </c>
      <c r="FN40">
        <f>IF('Current Index'!1299:1299,"AAAAACH//6k=",0)</f>
        <v>0</v>
      </c>
      <c r="FO40">
        <f>IF('Current Index'!1300:1300,"AAAAACH//6o=",0)</f>
        <v>0</v>
      </c>
      <c r="FP40">
        <f>IF('Current Index'!1301:1301,"AAAAACH//6s=",0)</f>
        <v>0</v>
      </c>
      <c r="FQ40">
        <f>IF('Current Index'!1302:1302,"AAAAACH//6w=",0)</f>
        <v>0</v>
      </c>
      <c r="FR40">
        <f>IF('Current Index'!1303:1303,"AAAAACH//60=",0)</f>
        <v>0</v>
      </c>
      <c r="FS40">
        <f>IF('Current Index'!1304:1304,"AAAAACH//64=",0)</f>
        <v>0</v>
      </c>
      <c r="FT40">
        <f>IF('Current Index'!1305:1305,"AAAAACH//68=",0)</f>
        <v>0</v>
      </c>
      <c r="FU40">
        <f>IF('Current Index'!1306:1306,"AAAAACH//7A=",0)</f>
        <v>0</v>
      </c>
      <c r="FV40">
        <f>IF('Current Index'!1307:1307,"AAAAACH//7E=",0)</f>
        <v>0</v>
      </c>
      <c r="FW40">
        <f>IF('Current Index'!1308:1308,"AAAAACH//7I=",0)</f>
        <v>0</v>
      </c>
      <c r="FX40">
        <f>IF('Current Index'!1309:1309,"AAAAACH//7M=",0)</f>
        <v>0</v>
      </c>
      <c r="FY40">
        <f>IF('Current Index'!1310:1310,"AAAAACH//7Q=",0)</f>
        <v>0</v>
      </c>
      <c r="FZ40">
        <f>IF('Current Index'!1311:1311,"AAAAACH//7U=",0)</f>
        <v>0</v>
      </c>
      <c r="GA40">
        <f>IF('Current Index'!1312:1312,"AAAAACH//7Y=",0)</f>
        <v>0</v>
      </c>
      <c r="GB40">
        <f>IF('Current Index'!1313:1313,"AAAAACH//7c=",0)</f>
        <v>0</v>
      </c>
      <c r="GC40">
        <f>IF('Current Index'!1314:1314,"AAAAACH//7g=",0)</f>
        <v>0</v>
      </c>
      <c r="GD40">
        <f>IF('Current Index'!1315:1315,"AAAAACH//7k=",0)</f>
        <v>0</v>
      </c>
      <c r="GE40">
        <f>IF('Current Index'!1316:1316,"AAAAACH//7o=",0)</f>
        <v>0</v>
      </c>
      <c r="GF40">
        <f>IF('Current Index'!1317:1317,"AAAAACH//7s=",0)</f>
        <v>0</v>
      </c>
      <c r="GG40">
        <f>IF('Current Index'!1318:1318,"AAAAACH//7w=",0)</f>
        <v>0</v>
      </c>
      <c r="GH40">
        <f>IF('Current Index'!1319:1319,"AAAAACH//70=",0)</f>
        <v>0</v>
      </c>
      <c r="GI40">
        <f>IF('Current Index'!1320:1320,"AAAAACH//74=",0)</f>
        <v>0</v>
      </c>
      <c r="GJ40">
        <f>IF('Current Index'!1321:1321,"AAAAACH//78=",0)</f>
        <v>0</v>
      </c>
      <c r="GK40">
        <f>IF('Current Index'!1322:1322,"AAAAACH//8A=",0)</f>
        <v>0</v>
      </c>
      <c r="GL40">
        <f>IF('Current Index'!1323:1323,"AAAAACH//8E=",0)</f>
        <v>0</v>
      </c>
      <c r="GM40">
        <f>IF('Current Index'!1324:1324,"AAAAACH//8I=",0)</f>
        <v>0</v>
      </c>
      <c r="GN40">
        <f>IF('Current Index'!1325:1325,"AAAAACH//8M=",0)</f>
        <v>0</v>
      </c>
      <c r="GO40">
        <f>IF('Current Index'!1326:1326,"AAAAACH//8Q=",0)</f>
        <v>0</v>
      </c>
      <c r="GP40">
        <f>IF('Current Index'!1327:1327,"AAAAACH//8U=",0)</f>
        <v>0</v>
      </c>
      <c r="GQ40">
        <f>IF('Current Index'!1328:1328,"AAAAACH//8Y=",0)</f>
        <v>0</v>
      </c>
      <c r="GR40">
        <f>IF('Current Index'!1329:1329,"AAAAACH//8c=",0)</f>
        <v>0</v>
      </c>
      <c r="GS40">
        <f>IF('Current Index'!1330:1330,"AAAAACH//8g=",0)</f>
        <v>0</v>
      </c>
      <c r="GT40">
        <f>IF('Current Index'!1331:1331,"AAAAACH//8k=",0)</f>
        <v>0</v>
      </c>
      <c r="GU40">
        <f>IF('Current Index'!1332:1332,"AAAAACH//8o=",0)</f>
        <v>0</v>
      </c>
      <c r="GV40">
        <f>IF('Current Index'!1333:1333,"AAAAACH//8s=",0)</f>
        <v>0</v>
      </c>
      <c r="GW40">
        <f>IF('Current Index'!1334:1334,"AAAAACH//8w=",0)</f>
        <v>0</v>
      </c>
      <c r="GX40">
        <f>IF('Current Index'!1335:1335,"AAAAACH//80=",0)</f>
        <v>0</v>
      </c>
      <c r="GY40">
        <f>IF('Current Index'!1336:1336,"AAAAACH//84=",0)</f>
        <v>0</v>
      </c>
      <c r="GZ40">
        <f>IF('Current Index'!1337:1337,"AAAAACH//88=",0)</f>
        <v>0</v>
      </c>
      <c r="HA40">
        <f>IF('Current Index'!1338:1338,"AAAAACH//9A=",0)</f>
        <v>0</v>
      </c>
      <c r="HB40">
        <f>IF('Current Index'!1339:1339,"AAAAACH//9E=",0)</f>
        <v>0</v>
      </c>
      <c r="HC40">
        <f>IF('Current Index'!1340:1340,"AAAAACH//9I=",0)</f>
        <v>0</v>
      </c>
      <c r="HD40">
        <f>IF('Current Index'!1341:1341,"AAAAACH//9M=",0)</f>
        <v>0</v>
      </c>
      <c r="HE40">
        <f>IF('Current Index'!1342:1342,"AAAAACH//9Q=",0)</f>
        <v>0</v>
      </c>
      <c r="HF40">
        <f>IF('Current Index'!1343:1343,"AAAAACH//9U=",0)</f>
        <v>0</v>
      </c>
      <c r="HG40">
        <f>IF('Current Index'!1344:1344,"AAAAACH//9Y=",0)</f>
        <v>0</v>
      </c>
      <c r="HH40">
        <f>IF('Current Index'!1345:1345,"AAAAACH//9c=",0)</f>
        <v>0</v>
      </c>
      <c r="HI40">
        <f>IF('Current Index'!1346:1346,"AAAAACH//9g=",0)</f>
        <v>0</v>
      </c>
      <c r="HJ40">
        <f>IF('Current Index'!1347:1347,"AAAAACH//9k=",0)</f>
        <v>0</v>
      </c>
      <c r="HK40">
        <f>IF('Current Index'!1348:1348,"AAAAACH//9o=",0)</f>
        <v>0</v>
      </c>
      <c r="HL40">
        <f>IF('Current Index'!1349:1349,"AAAAACH//9s=",0)</f>
        <v>0</v>
      </c>
      <c r="HM40">
        <f>IF('Current Index'!1350:1350,"AAAAACH//9w=",0)</f>
        <v>0</v>
      </c>
      <c r="HN40">
        <f>IF('Current Index'!1351:1351,"AAAAACH//90=",0)</f>
        <v>0</v>
      </c>
      <c r="HO40">
        <f>IF('Current Index'!1352:1352,"AAAAACH//94=",0)</f>
        <v>0</v>
      </c>
      <c r="HP40">
        <f>IF('Current Index'!1353:1353,"AAAAACH//98=",0)</f>
        <v>0</v>
      </c>
      <c r="HQ40">
        <f>IF('Current Index'!1354:1354,"AAAAACH//+A=",0)</f>
        <v>0</v>
      </c>
      <c r="HR40">
        <f>IF('Current Index'!1355:1355,"AAAAACH//+E=",0)</f>
        <v>0</v>
      </c>
      <c r="HS40">
        <f>IF('Current Index'!1356:1356,"AAAAACH//+I=",0)</f>
        <v>0</v>
      </c>
      <c r="HT40">
        <f>IF('Current Index'!1357:1357,"AAAAACH//+M=",0)</f>
        <v>0</v>
      </c>
      <c r="HU40">
        <f>IF('Current Index'!1358:1358,"AAAAACH//+Q=",0)</f>
        <v>0</v>
      </c>
      <c r="HV40">
        <f>IF('Current Index'!1359:1359,"AAAAACH//+U=",0)</f>
        <v>0</v>
      </c>
      <c r="HW40">
        <f>IF('Current Index'!1360:1360,"AAAAACH//+Y=",0)</f>
        <v>0</v>
      </c>
      <c r="HX40">
        <f>IF('Current Index'!1361:1361,"AAAAACH//+c=",0)</f>
        <v>0</v>
      </c>
      <c r="HY40">
        <f>IF('Current Index'!1362:1362,"AAAAACH//+g=",0)</f>
        <v>0</v>
      </c>
      <c r="HZ40">
        <f>IF('Current Index'!1363:1363,"AAAAACH//+k=",0)</f>
        <v>0</v>
      </c>
      <c r="IA40">
        <f>IF('Current Index'!1364:1364,"AAAAACH//+o=",0)</f>
        <v>0</v>
      </c>
      <c r="IB40">
        <f>IF('Current Index'!1365:1365,"AAAAACH//+s=",0)</f>
        <v>0</v>
      </c>
      <c r="IC40">
        <f>IF('Current Index'!1366:1366,"AAAAACH//+w=",0)</f>
        <v>0</v>
      </c>
      <c r="ID40">
        <f>IF('Current Index'!1367:1367,"AAAAACH//+0=",0)</f>
        <v>0</v>
      </c>
      <c r="IE40">
        <f>IF('Current Index'!1368:1368,"AAAAACH//+4=",0)</f>
        <v>0</v>
      </c>
      <c r="IF40">
        <f>IF('Current Index'!1369:1369,"AAAAACH//+8=",0)</f>
        <v>0</v>
      </c>
      <c r="IG40">
        <f>IF('Current Index'!1370:1370,"AAAAACH///A=",0)</f>
        <v>0</v>
      </c>
      <c r="IH40">
        <f>IF('Current Index'!1371:1371,"AAAAACH///E=",0)</f>
        <v>0</v>
      </c>
      <c r="II40">
        <f>IF('Current Index'!1372:1372,"AAAAACH///I=",0)</f>
        <v>0</v>
      </c>
      <c r="IJ40">
        <f>IF('Current Index'!1373:1373,"AAAAACH///M=",0)</f>
        <v>0</v>
      </c>
      <c r="IK40">
        <f>IF('Current Index'!1374:1374,"AAAAACH///Q=",0)</f>
        <v>0</v>
      </c>
      <c r="IL40">
        <f>IF('Current Index'!1375:1375,"AAAAACH///U=",0)</f>
        <v>0</v>
      </c>
      <c r="IM40">
        <f>IF('Current Index'!1376:1376,"AAAAACH///Y=",0)</f>
        <v>0</v>
      </c>
      <c r="IN40">
        <f>IF('Current Index'!1377:1377,"AAAAACH///c=",0)</f>
        <v>0</v>
      </c>
      <c r="IO40">
        <f>IF('Current Index'!1378:1378,"AAAAACH///g=",0)</f>
        <v>0</v>
      </c>
      <c r="IP40">
        <f>IF('Current Index'!1379:1379,"AAAAACH///k=",0)</f>
        <v>0</v>
      </c>
      <c r="IQ40">
        <f>IF('Current Index'!1380:1380,"AAAAACH///o=",0)</f>
        <v>0</v>
      </c>
      <c r="IR40">
        <f>IF('Current Index'!1381:1381,"AAAAACH///s=",0)</f>
        <v>0</v>
      </c>
      <c r="IS40">
        <f>IF('Current Index'!1382:1382,"AAAAACH///w=",0)</f>
        <v>0</v>
      </c>
      <c r="IT40">
        <f>IF('Current Index'!1383:1383,"AAAAACH///0=",0)</f>
        <v>0</v>
      </c>
      <c r="IU40">
        <f>IF('Current Index'!1384:1384,"AAAAACH///4=",0)</f>
        <v>0</v>
      </c>
      <c r="IV40">
        <f>IF('Current Index'!1385:1385,"AAAAACH///8=",0)</f>
        <v>0</v>
      </c>
    </row>
    <row r="41" spans="1:256" x14ac:dyDescent="0.25">
      <c r="A41">
        <f>IF('Current Index'!1386:1386,"AAAAAHX+5AA=",0)</f>
        <v>0</v>
      </c>
      <c r="B41">
        <f>IF('Current Index'!1387:1387,"AAAAAHX+5AE=",0)</f>
        <v>0</v>
      </c>
      <c r="C41">
        <f>IF('Current Index'!1388:1388,"AAAAAHX+5AI=",0)</f>
        <v>0</v>
      </c>
      <c r="D41">
        <f>IF('Current Index'!1389:1389,"AAAAAHX+5AM=",0)</f>
        <v>0</v>
      </c>
      <c r="E41">
        <f>IF('Current Index'!1390:1390,"AAAAAHX+5AQ=",0)</f>
        <v>0</v>
      </c>
      <c r="F41">
        <f>IF('Current Index'!1391:1391,"AAAAAHX+5AU=",0)</f>
        <v>0</v>
      </c>
      <c r="G41">
        <f>IF('Current Index'!1392:1392,"AAAAAHX+5AY=",0)</f>
        <v>0</v>
      </c>
      <c r="H41">
        <f>IF('Current Index'!1393:1393,"AAAAAHX+5Ac=",0)</f>
        <v>0</v>
      </c>
      <c r="I41">
        <f>IF('Current Index'!1394:1394,"AAAAAHX+5Ag=",0)</f>
        <v>0</v>
      </c>
      <c r="J41">
        <f>IF('Current Index'!1395:1395,"AAAAAHX+5Ak=",0)</f>
        <v>0</v>
      </c>
      <c r="K41">
        <f>IF('Current Index'!1396:1396,"AAAAAHX+5Ao=",0)</f>
        <v>0</v>
      </c>
      <c r="L41">
        <f>IF('Current Index'!1397:1397,"AAAAAHX+5As=",0)</f>
        <v>0</v>
      </c>
      <c r="M41">
        <f>IF('Current Index'!1398:1398,"AAAAAHX+5Aw=",0)</f>
        <v>0</v>
      </c>
      <c r="N41">
        <f>IF('Current Index'!1399:1399,"AAAAAHX+5A0=",0)</f>
        <v>0</v>
      </c>
      <c r="O41">
        <f>IF('Current Index'!1400:1400,"AAAAAHX+5A4=",0)</f>
        <v>0</v>
      </c>
      <c r="P41">
        <f>IF('Current Index'!1401:1401,"AAAAAHX+5A8=",0)</f>
        <v>0</v>
      </c>
      <c r="Q41">
        <f>IF('Current Index'!1402:1402,"AAAAAHX+5BA=",0)</f>
        <v>0</v>
      </c>
      <c r="R41">
        <f>IF('Current Index'!1403:1403,"AAAAAHX+5BE=",0)</f>
        <v>0</v>
      </c>
      <c r="S41">
        <f>IF('Current Index'!1404:1404,"AAAAAHX+5BI=",0)</f>
        <v>0</v>
      </c>
      <c r="T41">
        <f>IF('Current Index'!1405:1405,"AAAAAHX+5BM=",0)</f>
        <v>0</v>
      </c>
      <c r="U41">
        <f>IF('Current Index'!1406:1406,"AAAAAHX+5BQ=",0)</f>
        <v>0</v>
      </c>
      <c r="V41">
        <f>IF('Current Index'!1407:1407,"AAAAAHX+5BU=",0)</f>
        <v>0</v>
      </c>
      <c r="W41">
        <f>IF('Current Index'!1408:1408,"AAAAAHX+5BY=",0)</f>
        <v>0</v>
      </c>
      <c r="X41">
        <f>IF('Current Index'!1409:1409,"AAAAAHX+5Bc=",0)</f>
        <v>0</v>
      </c>
      <c r="Y41">
        <f>IF('Current Index'!1410:1410,"AAAAAHX+5Bg=",0)</f>
        <v>0</v>
      </c>
      <c r="Z41">
        <f>IF('Current Index'!1411:1411,"AAAAAHX+5Bk=",0)</f>
        <v>0</v>
      </c>
      <c r="AA41">
        <f>IF('Current Index'!1412:1412,"AAAAAHX+5Bo=",0)</f>
        <v>0</v>
      </c>
      <c r="AB41">
        <f>IF('Current Index'!1413:1413,"AAAAAHX+5Bs=",0)</f>
        <v>0</v>
      </c>
      <c r="AC41">
        <f>IF('Current Index'!1414:1414,"AAAAAHX+5Bw=",0)</f>
        <v>0</v>
      </c>
      <c r="AD41">
        <f>IF('Current Index'!1415:1415,"AAAAAHX+5B0=",0)</f>
        <v>0</v>
      </c>
      <c r="AE41">
        <f>IF('Current Index'!1416:1416,"AAAAAHX+5B4=",0)</f>
        <v>0</v>
      </c>
      <c r="AF41">
        <f>IF('Current Index'!1417:1417,"AAAAAHX+5B8=",0)</f>
        <v>0</v>
      </c>
      <c r="AG41">
        <f>IF('Current Index'!1418:1418,"AAAAAHX+5CA=",0)</f>
        <v>0</v>
      </c>
      <c r="AH41">
        <f>IF('Current Index'!1419:1419,"AAAAAHX+5CE=",0)</f>
        <v>0</v>
      </c>
      <c r="AI41">
        <f>IF('Current Index'!1420:1420,"AAAAAHX+5CI=",0)</f>
        <v>0</v>
      </c>
      <c r="AJ41">
        <f>IF('Current Index'!1421:1421,"AAAAAHX+5CM=",0)</f>
        <v>0</v>
      </c>
      <c r="AK41">
        <f>IF('Current Index'!1422:1422,"AAAAAHX+5CQ=",0)</f>
        <v>0</v>
      </c>
      <c r="AL41">
        <f>IF('Current Index'!1423:1423,"AAAAAHX+5CU=",0)</f>
        <v>0</v>
      </c>
      <c r="AM41">
        <f>IF('Current Index'!1424:1424,"AAAAAHX+5CY=",0)</f>
        <v>0</v>
      </c>
      <c r="AN41">
        <f>IF('Current Index'!1425:1425,"AAAAAHX+5Cc=",0)</f>
        <v>0</v>
      </c>
      <c r="AO41">
        <f>IF('Current Index'!1426:1426,"AAAAAHX+5Cg=",0)</f>
        <v>0</v>
      </c>
      <c r="AP41">
        <f>IF('Current Index'!1427:1427,"AAAAAHX+5Ck=",0)</f>
        <v>0</v>
      </c>
      <c r="AQ41">
        <f>IF('Current Index'!1428:1428,"AAAAAHX+5Co=",0)</f>
        <v>0</v>
      </c>
      <c r="AR41">
        <f>IF('Current Index'!1429:1429,"AAAAAHX+5Cs=",0)</f>
        <v>0</v>
      </c>
      <c r="AS41">
        <f>IF('Current Index'!1430:1430,"AAAAAHX+5Cw=",0)</f>
        <v>0</v>
      </c>
      <c r="AT41">
        <f>IF('Current Index'!1431:1431,"AAAAAHX+5C0=",0)</f>
        <v>0</v>
      </c>
      <c r="AU41">
        <f>IF('Current Index'!1432:1432,"AAAAAHX+5C4=",0)</f>
        <v>0</v>
      </c>
      <c r="AV41">
        <f>IF('Current Index'!1433:1433,"AAAAAHX+5C8=",0)</f>
        <v>0</v>
      </c>
      <c r="AW41">
        <f>IF('Current Index'!1434:1434,"AAAAAHX+5DA=",0)</f>
        <v>0</v>
      </c>
      <c r="AX41">
        <f>IF('Current Index'!1435:1435,"AAAAAHX+5DE=",0)</f>
        <v>0</v>
      </c>
      <c r="AY41">
        <f>IF('Current Index'!1436:1436,"AAAAAHX+5DI=",0)</f>
        <v>0</v>
      </c>
      <c r="AZ41">
        <f>IF('Current Index'!1437:1437,"AAAAAHX+5DM=",0)</f>
        <v>0</v>
      </c>
      <c r="BA41">
        <f>IF('Current Index'!1438:1438,"AAAAAHX+5DQ=",0)</f>
        <v>0</v>
      </c>
      <c r="BB41">
        <f>IF('Current Index'!1439:1439,"AAAAAHX+5DU=",0)</f>
        <v>0</v>
      </c>
      <c r="BC41">
        <f>IF('Current Index'!1440:1440,"AAAAAHX+5DY=",0)</f>
        <v>0</v>
      </c>
      <c r="BD41">
        <f>IF('Current Index'!1441:1441,"AAAAAHX+5Dc=",0)</f>
        <v>0</v>
      </c>
      <c r="BE41">
        <f>IF('Current Index'!1442:1442,"AAAAAHX+5Dg=",0)</f>
        <v>0</v>
      </c>
      <c r="BF41">
        <f>IF('Current Index'!1443:1443,"AAAAAHX+5Dk=",0)</f>
        <v>0</v>
      </c>
      <c r="BG41">
        <f>IF('Current Index'!1444:1444,"AAAAAHX+5Do=",0)</f>
        <v>0</v>
      </c>
      <c r="BH41">
        <f>IF('Current Index'!1445:1445,"AAAAAHX+5Ds=",0)</f>
        <v>0</v>
      </c>
      <c r="BI41">
        <f>IF('Current Index'!1446:1446,"AAAAAHX+5Dw=",0)</f>
        <v>0</v>
      </c>
      <c r="BJ41">
        <f>IF('Current Index'!1447:1447,"AAAAAHX+5D0=",0)</f>
        <v>0</v>
      </c>
      <c r="BK41">
        <f>IF('Current Index'!1448:1448,"AAAAAHX+5D4=",0)</f>
        <v>0</v>
      </c>
      <c r="BL41">
        <f>IF('Current Index'!1449:1449,"AAAAAHX+5D8=",0)</f>
        <v>0</v>
      </c>
      <c r="BM41">
        <f>IF('Current Index'!1450:1450,"AAAAAHX+5EA=",0)</f>
        <v>0</v>
      </c>
      <c r="BN41">
        <f>IF('Current Index'!1451:1451,"AAAAAHX+5EE=",0)</f>
        <v>0</v>
      </c>
      <c r="BO41">
        <f>IF('Current Index'!1452:1452,"AAAAAHX+5EI=",0)</f>
        <v>0</v>
      </c>
      <c r="BP41">
        <f>IF('Current Index'!1453:1453,"AAAAAHX+5EM=",0)</f>
        <v>0</v>
      </c>
      <c r="BQ41">
        <f>IF('Current Index'!1454:1454,"AAAAAHX+5EQ=",0)</f>
        <v>0</v>
      </c>
      <c r="BR41">
        <f>IF('Current Index'!1455:1455,"AAAAAHX+5EU=",0)</f>
        <v>0</v>
      </c>
      <c r="BS41">
        <f>IF('Current Index'!1456:1456,"AAAAAHX+5EY=",0)</f>
        <v>0</v>
      </c>
      <c r="BT41">
        <f>IF('Current Index'!1457:1457,"AAAAAHX+5Ec=",0)</f>
        <v>0</v>
      </c>
      <c r="BU41">
        <f>IF('Current Index'!1458:1458,"AAAAAHX+5Eg=",0)</f>
        <v>0</v>
      </c>
      <c r="BV41">
        <f>IF('Current Index'!1459:1459,"AAAAAHX+5Ek=",0)</f>
        <v>0</v>
      </c>
      <c r="BW41">
        <f>IF('Current Index'!1460:1460,"AAAAAHX+5Eo=",0)</f>
        <v>0</v>
      </c>
      <c r="BX41">
        <f>IF('Current Index'!1461:1461,"AAAAAHX+5Es=",0)</f>
        <v>0</v>
      </c>
      <c r="BY41">
        <f>IF('Current Index'!1462:1462,"AAAAAHX+5Ew=",0)</f>
        <v>0</v>
      </c>
      <c r="BZ41">
        <f>IF('Current Index'!1463:1463,"AAAAAHX+5E0=",0)</f>
        <v>0</v>
      </c>
      <c r="CA41">
        <f>IF('Current Index'!1464:1464,"AAAAAHX+5E4=",0)</f>
        <v>0</v>
      </c>
      <c r="CB41">
        <f>IF('Current Index'!1465:1465,"AAAAAHX+5E8=",0)</f>
        <v>0</v>
      </c>
      <c r="CC41">
        <f>IF('Current Index'!1466:1466,"AAAAAHX+5FA=",0)</f>
        <v>0</v>
      </c>
      <c r="CD41">
        <f>IF('Current Index'!1467:1467,"AAAAAHX+5FE=",0)</f>
        <v>0</v>
      </c>
      <c r="CE41">
        <f>IF('Current Index'!1468:1468,"AAAAAHX+5FI=",0)</f>
        <v>0</v>
      </c>
      <c r="CF41">
        <f>IF('Current Index'!1469:1469,"AAAAAHX+5FM=",0)</f>
        <v>0</v>
      </c>
      <c r="CG41">
        <f>IF('Current Index'!1470:1470,"AAAAAHX+5FQ=",0)</f>
        <v>0</v>
      </c>
      <c r="CH41">
        <f>IF('Current Index'!1471:1471,"AAAAAHX+5FU=",0)</f>
        <v>0</v>
      </c>
      <c r="CI41">
        <f>IF('Current Index'!1472:1472,"AAAAAHX+5FY=",0)</f>
        <v>0</v>
      </c>
      <c r="CJ41">
        <f>IF('Current Index'!1473:1473,"AAAAAHX+5Fc=",0)</f>
        <v>0</v>
      </c>
      <c r="CK41">
        <f>IF('Current Index'!1474:1474,"AAAAAHX+5Fg=",0)</f>
        <v>0</v>
      </c>
      <c r="CL41">
        <f>IF('Current Index'!1475:1475,"AAAAAHX+5Fk=",0)</f>
        <v>0</v>
      </c>
      <c r="CM41">
        <f>IF('Current Index'!1476:1476,"AAAAAHX+5Fo=",0)</f>
        <v>0</v>
      </c>
      <c r="CN41">
        <f>IF('Current Index'!1477:1477,"AAAAAHX+5Fs=",0)</f>
        <v>0</v>
      </c>
      <c r="CO41">
        <f>IF('Current Index'!1478:1478,"AAAAAHX+5Fw=",0)</f>
        <v>0</v>
      </c>
      <c r="CP41">
        <f>IF('Current Index'!1479:1479,"AAAAAHX+5F0=",0)</f>
        <v>0</v>
      </c>
      <c r="CQ41">
        <f>IF('Current Index'!1480:1480,"AAAAAHX+5F4=",0)</f>
        <v>0</v>
      </c>
      <c r="CR41">
        <f>IF('Current Index'!1481:1481,"AAAAAHX+5F8=",0)</f>
        <v>0</v>
      </c>
      <c r="CS41">
        <f>IF('Current Index'!1482:1482,"AAAAAHX+5GA=",0)</f>
        <v>0</v>
      </c>
      <c r="CT41">
        <f>IF('Current Index'!1483:1483,"AAAAAHX+5GE=",0)</f>
        <v>0</v>
      </c>
      <c r="CU41">
        <f>IF('Current Index'!1484:1484,"AAAAAHX+5GI=",0)</f>
        <v>0</v>
      </c>
      <c r="CV41">
        <f>IF('Current Index'!1485:1485,"AAAAAHX+5GM=",0)</f>
        <v>0</v>
      </c>
      <c r="CW41">
        <f>IF('Current Index'!1486:1486,"AAAAAHX+5GQ=",0)</f>
        <v>0</v>
      </c>
      <c r="CX41">
        <f>IF('Current Index'!1487:1487,"AAAAAHX+5GU=",0)</f>
        <v>0</v>
      </c>
      <c r="CY41">
        <f>IF('Current Index'!1488:1488,"AAAAAHX+5GY=",0)</f>
        <v>0</v>
      </c>
      <c r="CZ41">
        <f>IF('Current Index'!1489:1489,"AAAAAHX+5Gc=",0)</f>
        <v>0</v>
      </c>
      <c r="DA41">
        <f>IF('Current Index'!1490:1490,"AAAAAHX+5Gg=",0)</f>
        <v>0</v>
      </c>
      <c r="DB41">
        <f>IF('Current Index'!1491:1491,"AAAAAHX+5Gk=",0)</f>
        <v>0</v>
      </c>
      <c r="DC41">
        <f>IF('Current Index'!1492:1492,"AAAAAHX+5Go=",0)</f>
        <v>0</v>
      </c>
      <c r="DD41">
        <f>IF('Current Index'!1493:1493,"AAAAAHX+5Gs=",0)</f>
        <v>0</v>
      </c>
      <c r="DE41">
        <f>IF('Current Index'!1494:1494,"AAAAAHX+5Gw=",0)</f>
        <v>0</v>
      </c>
      <c r="DF41">
        <f>IF('Current Index'!1495:1495,"AAAAAHX+5G0=",0)</f>
        <v>0</v>
      </c>
      <c r="DG41">
        <f>IF('Current Index'!1496:1496,"AAAAAHX+5G4=",0)</f>
        <v>0</v>
      </c>
      <c r="DH41">
        <f>IF('Current Index'!1497:1497,"AAAAAHX+5G8=",0)</f>
        <v>0</v>
      </c>
      <c r="DI41">
        <f>IF('Current Index'!1498:1498,"AAAAAHX+5HA=",0)</f>
        <v>0</v>
      </c>
      <c r="DJ41">
        <f>IF('Current Index'!1499:1499,"AAAAAHX+5HE=",0)</f>
        <v>0</v>
      </c>
      <c r="DK41">
        <f>IF('Current Index'!1500:1500,"AAAAAHX+5HI=",0)</f>
        <v>0</v>
      </c>
      <c r="DL41">
        <f>IF('Current Index'!1501:1501,"AAAAAHX+5HM=",0)</f>
        <v>0</v>
      </c>
      <c r="DM41">
        <f>IF('Current Index'!1502:1502,"AAAAAHX+5HQ=",0)</f>
        <v>0</v>
      </c>
      <c r="DN41">
        <f>IF('Current Index'!1503:1503,"AAAAAHX+5HU=",0)</f>
        <v>0</v>
      </c>
      <c r="DO41">
        <f>IF('Current Index'!1504:1504,"AAAAAHX+5HY=",0)</f>
        <v>0</v>
      </c>
      <c r="DP41">
        <f>IF('Current Index'!1505:1505,"AAAAAHX+5Hc=",0)</f>
        <v>0</v>
      </c>
      <c r="DQ41">
        <f>IF('Current Index'!1506:1506,"AAAAAHX+5Hg=",0)</f>
        <v>0</v>
      </c>
      <c r="DR41">
        <f>IF('Current Index'!1507:1507,"AAAAAHX+5Hk=",0)</f>
        <v>0</v>
      </c>
      <c r="DS41">
        <f>IF('Current Index'!1508:1508,"AAAAAHX+5Ho=",0)</f>
        <v>0</v>
      </c>
      <c r="DT41">
        <f>IF('Current Index'!1509:1509,"AAAAAHX+5Hs=",0)</f>
        <v>0</v>
      </c>
      <c r="DU41">
        <f>IF('Current Index'!1510:1510,"AAAAAHX+5Hw=",0)</f>
        <v>0</v>
      </c>
      <c r="DV41">
        <f>IF('Current Index'!1511:1511,"AAAAAHX+5H0=",0)</f>
        <v>0</v>
      </c>
      <c r="DW41">
        <f>IF('Current Index'!1512:1512,"AAAAAHX+5H4=",0)</f>
        <v>0</v>
      </c>
      <c r="DX41">
        <f>IF('Current Index'!1513:1513,"AAAAAHX+5H8=",0)</f>
        <v>0</v>
      </c>
      <c r="DY41">
        <f>IF('Current Index'!1514:1514,"AAAAAHX+5IA=",0)</f>
        <v>0</v>
      </c>
      <c r="DZ41">
        <f>IF('Current Index'!1515:1515,"AAAAAHX+5IE=",0)</f>
        <v>0</v>
      </c>
      <c r="EA41">
        <f>IF('Current Index'!1516:1516,"AAAAAHX+5II=",0)</f>
        <v>0</v>
      </c>
      <c r="EB41">
        <f>IF('Current Index'!1517:1517,"AAAAAHX+5IM=",0)</f>
        <v>0</v>
      </c>
      <c r="EC41">
        <f>IF('Current Index'!1518:1518,"AAAAAHX+5IQ=",0)</f>
        <v>0</v>
      </c>
      <c r="ED41">
        <f>IF('Current Index'!1519:1519,"AAAAAHX+5IU=",0)</f>
        <v>0</v>
      </c>
      <c r="EE41">
        <f>IF('Current Index'!1520:1520,"AAAAAHX+5IY=",0)</f>
        <v>0</v>
      </c>
      <c r="EF41">
        <f>IF('Current Index'!1521:1521,"AAAAAHX+5Ic=",0)</f>
        <v>0</v>
      </c>
      <c r="EG41">
        <f>IF('Current Index'!1522:1522,"AAAAAHX+5Ig=",0)</f>
        <v>0</v>
      </c>
      <c r="EH41">
        <f>IF('Current Index'!1523:1523,"AAAAAHX+5Ik=",0)</f>
        <v>0</v>
      </c>
      <c r="EI41">
        <f>IF('Current Index'!1524:1524,"AAAAAHX+5Io=",0)</f>
        <v>0</v>
      </c>
      <c r="EJ41">
        <f>IF('Current Index'!1525:1525,"AAAAAHX+5Is=",0)</f>
        <v>0</v>
      </c>
      <c r="EK41">
        <f>IF('Current Index'!1526:1526,"AAAAAHX+5Iw=",0)</f>
        <v>0</v>
      </c>
      <c r="EL41">
        <f>IF('Current Index'!1527:1527,"AAAAAHX+5I0=",0)</f>
        <v>0</v>
      </c>
      <c r="EM41">
        <f>IF('Current Index'!1528:1528,"AAAAAHX+5I4=",0)</f>
        <v>0</v>
      </c>
      <c r="EN41">
        <f>IF('Current Index'!1529:1529,"AAAAAHX+5I8=",0)</f>
        <v>0</v>
      </c>
      <c r="EO41">
        <f>IF('Current Index'!1530:1530,"AAAAAHX+5JA=",0)</f>
        <v>0</v>
      </c>
      <c r="EP41">
        <f>IF('Current Index'!1531:1531,"AAAAAHX+5JE=",0)</f>
        <v>0</v>
      </c>
      <c r="EQ41">
        <f>IF('Current Index'!1532:1532,"AAAAAHX+5JI=",0)</f>
        <v>0</v>
      </c>
      <c r="ER41">
        <f>IF('Current Index'!1533:1533,"AAAAAHX+5JM=",0)</f>
        <v>0</v>
      </c>
      <c r="ES41">
        <f>IF('Current Index'!1534:1534,"AAAAAHX+5JQ=",0)</f>
        <v>0</v>
      </c>
      <c r="ET41">
        <f>IF('Current Index'!1535:1535,"AAAAAHX+5JU=",0)</f>
        <v>0</v>
      </c>
      <c r="EU41">
        <f>IF('Current Index'!1536:1536,"AAAAAHX+5JY=",0)</f>
        <v>0</v>
      </c>
      <c r="EV41">
        <f>IF('Current Index'!1537:1537,"AAAAAHX+5Jc=",0)</f>
        <v>0</v>
      </c>
      <c r="EW41">
        <f>IF('Current Index'!1538:1538,"AAAAAHX+5Jg=",0)</f>
        <v>0</v>
      </c>
      <c r="EX41">
        <f>IF('Current Index'!1539:1539,"AAAAAHX+5Jk=",0)</f>
        <v>0</v>
      </c>
      <c r="EY41">
        <f>IF('Current Index'!1540:1540,"AAAAAHX+5Jo=",0)</f>
        <v>0</v>
      </c>
      <c r="EZ41">
        <f>IF('Current Index'!1541:1541,"AAAAAHX+5Js=",0)</f>
        <v>0</v>
      </c>
      <c r="FA41">
        <f>IF('Current Index'!1542:1542,"AAAAAHX+5Jw=",0)</f>
        <v>0</v>
      </c>
      <c r="FB41">
        <f>IF('Current Index'!1543:1543,"AAAAAHX+5J0=",0)</f>
        <v>0</v>
      </c>
      <c r="FC41">
        <f>IF('Current Index'!1544:1544,"AAAAAHX+5J4=",0)</f>
        <v>0</v>
      </c>
      <c r="FD41">
        <f>IF('Current Index'!1545:1545,"AAAAAHX+5J8=",0)</f>
        <v>0</v>
      </c>
      <c r="FE41">
        <f>IF('Current Index'!1546:1546,"AAAAAHX+5KA=",0)</f>
        <v>0</v>
      </c>
      <c r="FF41">
        <f>IF('Current Index'!1547:1547,"AAAAAHX+5KE=",0)</f>
        <v>0</v>
      </c>
      <c r="FG41">
        <f>IF('Current Index'!1548:1548,"AAAAAHX+5KI=",0)</f>
        <v>0</v>
      </c>
      <c r="FH41">
        <f>IF('Current Index'!1549:1549,"AAAAAHX+5KM=",0)</f>
        <v>0</v>
      </c>
      <c r="FI41">
        <f>IF('Current Index'!1550:1550,"AAAAAHX+5KQ=",0)</f>
        <v>0</v>
      </c>
      <c r="FJ41">
        <f>IF('Current Index'!1551:1551,"AAAAAHX+5KU=",0)</f>
        <v>0</v>
      </c>
      <c r="FK41">
        <f>IF('Current Index'!1552:1552,"AAAAAHX+5KY=",0)</f>
        <v>0</v>
      </c>
      <c r="FL41">
        <f>IF('Current Index'!1553:1553,"AAAAAHX+5Kc=",0)</f>
        <v>0</v>
      </c>
      <c r="FM41">
        <f>IF('Current Index'!1554:1554,"AAAAAHX+5Kg=",0)</f>
        <v>0</v>
      </c>
      <c r="FN41">
        <f>IF('Current Index'!1555:1555,"AAAAAHX+5Kk=",0)</f>
        <v>0</v>
      </c>
      <c r="FO41">
        <f>IF('Current Index'!1556:1556,"AAAAAHX+5Ko=",0)</f>
        <v>0</v>
      </c>
      <c r="FP41">
        <f>IF('Current Index'!1557:1557,"AAAAAHX+5Ks=",0)</f>
        <v>0</v>
      </c>
      <c r="FQ41">
        <f>IF('Current Index'!1558:1558,"AAAAAHX+5Kw=",0)</f>
        <v>0</v>
      </c>
      <c r="FR41">
        <f>IF('Current Index'!1559:1559,"AAAAAHX+5K0=",0)</f>
        <v>0</v>
      </c>
      <c r="FS41">
        <f>IF('Current Index'!1560:1560,"AAAAAHX+5K4=",0)</f>
        <v>0</v>
      </c>
      <c r="FT41">
        <f>IF('Current Index'!1561:1561,"AAAAAHX+5K8=",0)</f>
        <v>0</v>
      </c>
      <c r="FU41">
        <f>IF('Current Index'!1562:1562,"AAAAAHX+5LA=",0)</f>
        <v>0</v>
      </c>
      <c r="FV41">
        <f>IF('Current Index'!1563:1563,"AAAAAHX+5LE=",0)</f>
        <v>0</v>
      </c>
      <c r="FW41">
        <f>IF('Current Index'!1564:1564,"AAAAAHX+5LI=",0)</f>
        <v>0</v>
      </c>
      <c r="FX41">
        <f>IF('Current Index'!1565:1565,"AAAAAHX+5LM=",0)</f>
        <v>0</v>
      </c>
      <c r="FY41">
        <f>IF('Current Index'!1566:1566,"AAAAAHX+5LQ=",0)</f>
        <v>0</v>
      </c>
      <c r="FZ41">
        <f>IF('Current Index'!1567:1567,"AAAAAHX+5LU=",0)</f>
        <v>0</v>
      </c>
      <c r="GA41">
        <f>IF('Current Index'!1568:1568,"AAAAAHX+5LY=",0)</f>
        <v>0</v>
      </c>
      <c r="GB41">
        <f>IF('Current Index'!1569:1569,"AAAAAHX+5Lc=",0)</f>
        <v>0</v>
      </c>
      <c r="GC41">
        <f>IF('Current Index'!1570:1570,"AAAAAHX+5Lg=",0)</f>
        <v>0</v>
      </c>
      <c r="GD41">
        <f>IF('Current Index'!1571:1571,"AAAAAHX+5Lk=",0)</f>
        <v>0</v>
      </c>
      <c r="GE41">
        <f>IF('Current Index'!1572:1572,"AAAAAHX+5Lo=",0)</f>
        <v>0</v>
      </c>
      <c r="GF41">
        <f>IF('Current Index'!1573:1573,"AAAAAHX+5Ls=",0)</f>
        <v>0</v>
      </c>
      <c r="GG41">
        <f>IF('Current Index'!1574:1574,"AAAAAHX+5Lw=",0)</f>
        <v>0</v>
      </c>
      <c r="GH41">
        <f>IF('Current Index'!1575:1575,"AAAAAHX+5L0=",0)</f>
        <v>0</v>
      </c>
      <c r="GI41">
        <f>IF('Current Index'!1576:1576,"AAAAAHX+5L4=",0)</f>
        <v>0</v>
      </c>
      <c r="GJ41">
        <f>IF('Current Index'!1577:1577,"AAAAAHX+5L8=",0)</f>
        <v>0</v>
      </c>
      <c r="GK41">
        <f>IF('Current Index'!1578:1578,"AAAAAHX+5MA=",0)</f>
        <v>0</v>
      </c>
      <c r="GL41">
        <f>IF('Current Index'!1579:1579,"AAAAAHX+5ME=",0)</f>
        <v>0</v>
      </c>
      <c r="GM41">
        <f>IF('Current Index'!1580:1580,"AAAAAHX+5MI=",0)</f>
        <v>0</v>
      </c>
      <c r="GN41">
        <f>IF('Current Index'!1581:1581,"AAAAAHX+5MM=",0)</f>
        <v>0</v>
      </c>
      <c r="GO41">
        <f>IF('Current Index'!1582:1582,"AAAAAHX+5MQ=",0)</f>
        <v>0</v>
      </c>
      <c r="GP41">
        <f>IF('Current Index'!1583:1583,"AAAAAHX+5MU=",0)</f>
        <v>0</v>
      </c>
      <c r="GQ41">
        <f>IF('Current Index'!1584:1584,"AAAAAHX+5MY=",0)</f>
        <v>0</v>
      </c>
      <c r="GR41">
        <f>IF('Current Index'!1585:1585,"AAAAAHX+5Mc=",0)</f>
        <v>0</v>
      </c>
      <c r="GS41">
        <f>IF('Current Index'!1586:1586,"AAAAAHX+5Mg=",0)</f>
        <v>0</v>
      </c>
      <c r="GT41">
        <f>IF('Current Index'!1587:1587,"AAAAAHX+5Mk=",0)</f>
        <v>0</v>
      </c>
      <c r="GU41">
        <f>IF('Current Index'!1588:1588,"AAAAAHX+5Mo=",0)</f>
        <v>0</v>
      </c>
      <c r="GV41">
        <f>IF('Current Index'!1589:1589,"AAAAAHX+5Ms=",0)</f>
        <v>0</v>
      </c>
      <c r="GW41">
        <f>IF('Current Index'!1590:1590,"AAAAAHX+5Mw=",0)</f>
        <v>0</v>
      </c>
      <c r="GX41">
        <f>IF('Current Index'!1591:1591,"AAAAAHX+5M0=",0)</f>
        <v>0</v>
      </c>
      <c r="GY41">
        <f>IF('Current Index'!1592:1592,"AAAAAHX+5M4=",0)</f>
        <v>0</v>
      </c>
      <c r="GZ41">
        <f>IF('Current Index'!1593:1593,"AAAAAHX+5M8=",0)</f>
        <v>0</v>
      </c>
      <c r="HA41">
        <f>IF('Current Index'!1594:1594,"AAAAAHX+5NA=",0)</f>
        <v>0</v>
      </c>
      <c r="HB41">
        <f>IF('Current Index'!1595:1595,"AAAAAHX+5NE=",0)</f>
        <v>0</v>
      </c>
      <c r="HC41">
        <f>IF('Current Index'!1596:1596,"AAAAAHX+5NI=",0)</f>
        <v>0</v>
      </c>
      <c r="HD41">
        <f>IF('Current Index'!1597:1597,"AAAAAHX+5NM=",0)</f>
        <v>0</v>
      </c>
      <c r="HE41">
        <f>IF('Current Index'!1598:1598,"AAAAAHX+5NQ=",0)</f>
        <v>0</v>
      </c>
      <c r="HF41">
        <f>IF('Current Index'!1599:1599,"AAAAAHX+5NU=",0)</f>
        <v>0</v>
      </c>
      <c r="HG41">
        <f>IF('Current Index'!1600:1600,"AAAAAHX+5NY=",0)</f>
        <v>0</v>
      </c>
      <c r="HH41">
        <f>IF('Current Index'!1601:1601,"AAAAAHX+5Nc=",0)</f>
        <v>0</v>
      </c>
      <c r="HI41">
        <f>IF('Current Index'!1602:1602,"AAAAAHX+5Ng=",0)</f>
        <v>0</v>
      </c>
      <c r="HJ41">
        <f>IF('Current Index'!1603:1603,"AAAAAHX+5Nk=",0)</f>
        <v>0</v>
      </c>
      <c r="HK41">
        <f>IF('Current Index'!1604:1604,"AAAAAHX+5No=",0)</f>
        <v>0</v>
      </c>
      <c r="HL41">
        <f>IF('Current Index'!1605:1605,"AAAAAHX+5Ns=",0)</f>
        <v>0</v>
      </c>
      <c r="HM41">
        <f>IF('Current Index'!1606:1606,"AAAAAHX+5Nw=",0)</f>
        <v>0</v>
      </c>
      <c r="HN41">
        <f>IF('Current Index'!1607:1607,"AAAAAHX+5N0=",0)</f>
        <v>0</v>
      </c>
      <c r="HO41">
        <f>IF('Current Index'!1608:1608,"AAAAAHX+5N4=",0)</f>
        <v>0</v>
      </c>
      <c r="HP41">
        <f>IF('Current Index'!1609:1609,"AAAAAHX+5N8=",0)</f>
        <v>0</v>
      </c>
      <c r="HQ41">
        <f>IF('Current Index'!1610:1610,"AAAAAHX+5OA=",0)</f>
        <v>0</v>
      </c>
      <c r="HR41">
        <f>IF('Current Index'!1611:1611,"AAAAAHX+5OE=",0)</f>
        <v>0</v>
      </c>
      <c r="HS41">
        <f>IF('Current Index'!1612:1612,"AAAAAHX+5OI=",0)</f>
        <v>0</v>
      </c>
      <c r="HT41">
        <f>IF('Current Index'!1613:1613,"AAAAAHX+5OM=",0)</f>
        <v>0</v>
      </c>
      <c r="HU41">
        <f>IF('Current Index'!1614:1614,"AAAAAHX+5OQ=",0)</f>
        <v>0</v>
      </c>
      <c r="HV41">
        <f>IF('Current Index'!1615:1615,"AAAAAHX+5OU=",0)</f>
        <v>0</v>
      </c>
      <c r="HW41">
        <f>IF('Current Index'!1616:1616,"AAAAAHX+5OY=",0)</f>
        <v>0</v>
      </c>
      <c r="HX41">
        <f>IF('Current Index'!1617:1617,"AAAAAHX+5Oc=",0)</f>
        <v>0</v>
      </c>
      <c r="HY41">
        <f>IF('Current Index'!1618:1618,"AAAAAHX+5Og=",0)</f>
        <v>0</v>
      </c>
      <c r="HZ41">
        <f>IF('Current Index'!1619:1619,"AAAAAHX+5Ok=",0)</f>
        <v>0</v>
      </c>
      <c r="IA41">
        <f>IF('Current Index'!1620:1620,"AAAAAHX+5Oo=",0)</f>
        <v>0</v>
      </c>
      <c r="IB41">
        <f>IF('Current Index'!1621:1621,"AAAAAHX+5Os=",0)</f>
        <v>0</v>
      </c>
      <c r="IC41">
        <f>IF('Current Index'!1622:1622,"AAAAAHX+5Ow=",0)</f>
        <v>0</v>
      </c>
      <c r="ID41">
        <f>IF('Current Index'!1623:1623,"AAAAAHX+5O0=",0)</f>
        <v>0</v>
      </c>
      <c r="IE41">
        <f>IF('Current Index'!1624:1624,"AAAAAHX+5O4=",0)</f>
        <v>0</v>
      </c>
      <c r="IF41">
        <f>IF('Current Index'!1625:1625,"AAAAAHX+5O8=",0)</f>
        <v>0</v>
      </c>
      <c r="IG41">
        <f>IF('Current Index'!1626:1626,"AAAAAHX+5PA=",0)</f>
        <v>0</v>
      </c>
      <c r="IH41">
        <f>IF('Current Index'!1627:1627,"AAAAAHX+5PE=",0)</f>
        <v>0</v>
      </c>
      <c r="II41">
        <f>IF('Current Index'!1628:1628,"AAAAAHX+5PI=",0)</f>
        <v>0</v>
      </c>
      <c r="IJ41">
        <f>IF('Current Index'!1629:1629,"AAAAAHX+5PM=",0)</f>
        <v>0</v>
      </c>
      <c r="IK41">
        <f>IF('Current Index'!1630:1630,"AAAAAHX+5PQ=",0)</f>
        <v>0</v>
      </c>
      <c r="IL41">
        <f>IF('Current Index'!1631:1631,"AAAAAHX+5PU=",0)</f>
        <v>0</v>
      </c>
      <c r="IM41">
        <f>IF('Current Index'!1632:1632,"AAAAAHX+5PY=",0)</f>
        <v>0</v>
      </c>
      <c r="IN41">
        <f>IF('Current Index'!1633:1633,"AAAAAHX+5Pc=",0)</f>
        <v>0</v>
      </c>
      <c r="IO41">
        <f>IF('Current Index'!1634:1634,"AAAAAHX+5Pg=",0)</f>
        <v>0</v>
      </c>
      <c r="IP41">
        <f>IF('Current Index'!1635:1635,"AAAAAHX+5Pk=",0)</f>
        <v>0</v>
      </c>
      <c r="IQ41">
        <f>IF('Current Index'!1636:1636,"AAAAAHX+5Po=",0)</f>
        <v>0</v>
      </c>
      <c r="IR41">
        <f>IF('Current Index'!1637:1637,"AAAAAHX+5Ps=",0)</f>
        <v>0</v>
      </c>
      <c r="IS41">
        <f>IF('Current Index'!1638:1638,"AAAAAHX+5Pw=",0)</f>
        <v>0</v>
      </c>
      <c r="IT41">
        <f>IF('Current Index'!1639:1639,"AAAAAHX+5P0=",0)</f>
        <v>0</v>
      </c>
      <c r="IU41">
        <f>IF('Current Index'!1640:1640,"AAAAAHX+5P4=",0)</f>
        <v>0</v>
      </c>
      <c r="IV41">
        <f>IF('Current Index'!1641:1641,"AAAAAHX+5P8=",0)</f>
        <v>0</v>
      </c>
    </row>
    <row r="42" spans="1:256" x14ac:dyDescent="0.25">
      <c r="A42">
        <f>IF('Current Index'!1642:1642,"AAAAAG9XXwA=",0)</f>
        <v>0</v>
      </c>
      <c r="B42">
        <f>IF('Current Index'!1643:1643,"AAAAAG9XXwE=",0)</f>
        <v>0</v>
      </c>
      <c r="C42">
        <f>IF('Current Index'!1644:1644,"AAAAAG9XXwI=",0)</f>
        <v>0</v>
      </c>
      <c r="D42">
        <f>IF('Current Index'!1645:1645,"AAAAAG9XXwM=",0)</f>
        <v>0</v>
      </c>
      <c r="E42">
        <f>IF('Current Index'!1646:1646,"AAAAAG9XXwQ=",0)</f>
        <v>0</v>
      </c>
      <c r="F42">
        <f>IF('Current Index'!1647:1647,"AAAAAG9XXwU=",0)</f>
        <v>0</v>
      </c>
      <c r="G42">
        <f>IF('Current Index'!1648:1648,"AAAAAG9XXwY=",0)</f>
        <v>0</v>
      </c>
      <c r="H42">
        <f>IF('Current Index'!1649:1649,"AAAAAG9XXwc=",0)</f>
        <v>0</v>
      </c>
      <c r="I42">
        <f>IF('Current Index'!1650:1650,"AAAAAG9XXwg=",0)</f>
        <v>0</v>
      </c>
      <c r="J42">
        <f>IF('Current Index'!1651:1651,"AAAAAG9XXwk=",0)</f>
        <v>0</v>
      </c>
      <c r="K42">
        <f>IF('Current Index'!1652:1652,"AAAAAG9XXwo=",0)</f>
        <v>0</v>
      </c>
      <c r="L42">
        <f>IF('Current Index'!1653:1653,"AAAAAG9XXws=",0)</f>
        <v>0</v>
      </c>
      <c r="M42">
        <f>IF('Current Index'!1654:1654,"AAAAAG9XXww=",0)</f>
        <v>0</v>
      </c>
      <c r="N42">
        <f>IF('Current Index'!1655:1655,"AAAAAG9XXw0=",0)</f>
        <v>0</v>
      </c>
      <c r="O42">
        <f>IF('Current Index'!1656:1656,"AAAAAG9XXw4=",0)</f>
        <v>0</v>
      </c>
      <c r="P42">
        <f>IF('Current Index'!1657:1657,"AAAAAG9XXw8=",0)</f>
        <v>0</v>
      </c>
      <c r="Q42">
        <f>IF('Current Index'!1658:1658,"AAAAAG9XXxA=",0)</f>
        <v>0</v>
      </c>
      <c r="R42">
        <f>IF('Current Index'!1659:1659,"AAAAAG9XXxE=",0)</f>
        <v>0</v>
      </c>
      <c r="S42">
        <f>IF('Current Index'!1660:1660,"AAAAAG9XXxI=",0)</f>
        <v>0</v>
      </c>
      <c r="T42">
        <f>IF('Current Index'!1661:1661,"AAAAAG9XXxM=",0)</f>
        <v>0</v>
      </c>
      <c r="U42">
        <f>IF('Current Index'!1662:1662,"AAAAAG9XXxQ=",0)</f>
        <v>0</v>
      </c>
      <c r="V42">
        <f>IF('Current Index'!1663:1663,"AAAAAG9XXxU=",0)</f>
        <v>0</v>
      </c>
      <c r="W42">
        <f>IF('Current Index'!1664:1664,"AAAAAG9XXxY=",0)</f>
        <v>0</v>
      </c>
      <c r="X42">
        <f>IF('Current Index'!1665:1665,"AAAAAG9XXxc=",0)</f>
        <v>0</v>
      </c>
      <c r="Y42">
        <f>IF('Current Index'!1666:1666,"AAAAAG9XXxg=",0)</f>
        <v>0</v>
      </c>
      <c r="Z42">
        <f>IF('Current Index'!1667:1667,"AAAAAG9XXxk=",0)</f>
        <v>0</v>
      </c>
      <c r="AA42">
        <f>IF('Current Index'!1668:1668,"AAAAAG9XXxo=",0)</f>
        <v>0</v>
      </c>
      <c r="AB42">
        <f>IF('Current Index'!1669:1669,"AAAAAG9XXxs=",0)</f>
        <v>0</v>
      </c>
      <c r="AC42">
        <f>IF('Current Index'!1670:1670,"AAAAAG9XXxw=",0)</f>
        <v>0</v>
      </c>
      <c r="AD42">
        <f>IF('Current Index'!1671:1671,"AAAAAG9XXx0=",0)</f>
        <v>0</v>
      </c>
      <c r="AE42">
        <f>IF('Current Index'!1672:1672,"AAAAAG9XXx4=",0)</f>
        <v>0</v>
      </c>
      <c r="AF42">
        <f>IF('Current Index'!1673:1673,"AAAAAG9XXx8=",0)</f>
        <v>0</v>
      </c>
      <c r="AG42">
        <f>IF('Current Index'!1674:1674,"AAAAAG9XXyA=",0)</f>
        <v>0</v>
      </c>
      <c r="AH42">
        <f>IF('Current Index'!1675:1675,"AAAAAG9XXyE=",0)</f>
        <v>0</v>
      </c>
      <c r="AI42">
        <f>IF('Current Index'!1676:1676,"AAAAAG9XXyI=",0)</f>
        <v>0</v>
      </c>
      <c r="AJ42">
        <f>IF('Current Index'!1677:1677,"AAAAAG9XXyM=",0)</f>
        <v>0</v>
      </c>
      <c r="AK42">
        <f>IF('Current Index'!1678:1678,"AAAAAG9XXyQ=",0)</f>
        <v>0</v>
      </c>
      <c r="AL42">
        <f>IF('Current Index'!1679:1679,"AAAAAG9XXyU=",0)</f>
        <v>0</v>
      </c>
      <c r="AM42">
        <f>IF('Current Index'!1680:1680,"AAAAAG9XXyY=",0)</f>
        <v>0</v>
      </c>
      <c r="AN42">
        <f>IF('Current Index'!1681:1681,"AAAAAG9XXyc=",0)</f>
        <v>0</v>
      </c>
      <c r="AO42">
        <f>IF('Current Index'!1682:1682,"AAAAAG9XXyg=",0)</f>
        <v>0</v>
      </c>
      <c r="AP42">
        <f>IF('Current Index'!1683:1683,"AAAAAG9XXyk=",0)</f>
        <v>0</v>
      </c>
      <c r="AQ42">
        <f>IF('Current Index'!1684:1684,"AAAAAG9XXyo=",0)</f>
        <v>0</v>
      </c>
      <c r="AR42">
        <f>IF('Current Index'!1685:1685,"AAAAAG9XXys=",0)</f>
        <v>0</v>
      </c>
      <c r="AS42">
        <f>IF('Current Index'!1686:1686,"AAAAAG9XXyw=",0)</f>
        <v>0</v>
      </c>
      <c r="AT42">
        <f>IF('Current Index'!1687:1687,"AAAAAG9XXy0=",0)</f>
        <v>0</v>
      </c>
      <c r="AU42">
        <f>IF('Current Index'!1688:1688,"AAAAAG9XXy4=",0)</f>
        <v>0</v>
      </c>
      <c r="AV42">
        <f>IF('Current Index'!1689:1689,"AAAAAG9XXy8=",0)</f>
        <v>0</v>
      </c>
      <c r="AW42">
        <f>IF('Current Index'!1690:1690,"AAAAAG9XXzA=",0)</f>
        <v>0</v>
      </c>
      <c r="AX42">
        <f>IF('Current Index'!1691:1691,"AAAAAG9XXzE=",0)</f>
        <v>0</v>
      </c>
      <c r="AY42">
        <f>IF('Current Index'!1692:1692,"AAAAAG9XXzI=",0)</f>
        <v>0</v>
      </c>
      <c r="AZ42">
        <f>IF('Current Index'!1693:1693,"AAAAAG9XXzM=",0)</f>
        <v>0</v>
      </c>
      <c r="BA42">
        <f>IF('Current Index'!1694:1694,"AAAAAG9XXzQ=",0)</f>
        <v>0</v>
      </c>
      <c r="BB42">
        <f>IF('Current Index'!1695:1695,"AAAAAG9XXzU=",0)</f>
        <v>0</v>
      </c>
      <c r="BC42">
        <f>IF('Current Index'!1696:1696,"AAAAAG9XXzY=",0)</f>
        <v>0</v>
      </c>
      <c r="BD42">
        <f>IF('Current Index'!1697:1697,"AAAAAG9XXzc=",0)</f>
        <v>0</v>
      </c>
      <c r="BE42">
        <f>IF('Current Index'!1698:1698,"AAAAAG9XXzg=",0)</f>
        <v>0</v>
      </c>
      <c r="BF42">
        <f>IF('Current Index'!1699:1699,"AAAAAG9XXzk=",0)</f>
        <v>0</v>
      </c>
      <c r="BG42">
        <f>IF('Current Index'!1700:1700,"AAAAAG9XXzo=",0)</f>
        <v>0</v>
      </c>
      <c r="BH42">
        <f>IF('Current Index'!1701:1701,"AAAAAG9XXzs=",0)</f>
        <v>0</v>
      </c>
      <c r="BI42">
        <f>IF('Current Index'!1702:1702,"AAAAAG9XXzw=",0)</f>
        <v>0</v>
      </c>
      <c r="BJ42">
        <f>IF('Current Index'!1703:1703,"AAAAAG9XXz0=",0)</f>
        <v>0</v>
      </c>
      <c r="BK42">
        <f>IF('Current Index'!1704:1704,"AAAAAG9XXz4=",0)</f>
        <v>0</v>
      </c>
      <c r="BL42">
        <f>IF('Current Index'!1705:1705,"AAAAAG9XXz8=",0)</f>
        <v>0</v>
      </c>
      <c r="BM42">
        <f>IF('Current Index'!1706:1706,"AAAAAG9XX0A=",0)</f>
        <v>0</v>
      </c>
      <c r="BN42">
        <f>IF('Current Index'!1707:1707,"AAAAAG9XX0E=",0)</f>
        <v>0</v>
      </c>
      <c r="BO42">
        <f>IF('Current Index'!1708:1708,"AAAAAG9XX0I=",0)</f>
        <v>0</v>
      </c>
      <c r="BP42">
        <f>IF('Current Index'!1709:1709,"AAAAAG9XX0M=",0)</f>
        <v>0</v>
      </c>
      <c r="BQ42">
        <f>IF('Current Index'!1710:1710,"AAAAAG9XX0Q=",0)</f>
        <v>0</v>
      </c>
      <c r="BR42">
        <f>IF('Current Index'!1711:1711,"AAAAAG9XX0U=",0)</f>
        <v>0</v>
      </c>
      <c r="BS42">
        <f>IF('Current Index'!1712:1712,"AAAAAG9XX0Y=",0)</f>
        <v>0</v>
      </c>
      <c r="BT42">
        <f>IF('Current Index'!1713:1713,"AAAAAG9XX0c=",0)</f>
        <v>0</v>
      </c>
      <c r="BU42">
        <f>IF('Current Index'!1714:1714,"AAAAAG9XX0g=",0)</f>
        <v>0</v>
      </c>
      <c r="BV42">
        <f>IF('Current Index'!1715:1715,"AAAAAG9XX0k=",0)</f>
        <v>0</v>
      </c>
      <c r="BW42">
        <f>IF('Current Index'!1716:1716,"AAAAAG9XX0o=",0)</f>
        <v>0</v>
      </c>
      <c r="BX42">
        <f>IF('Current Index'!1717:1717,"AAAAAG9XX0s=",0)</f>
        <v>0</v>
      </c>
      <c r="BY42">
        <f>IF('Current Index'!1718:1718,"AAAAAG9XX0w=",0)</f>
        <v>0</v>
      </c>
      <c r="BZ42">
        <f>IF('Current Index'!1719:1719,"AAAAAG9XX00=",0)</f>
        <v>0</v>
      </c>
      <c r="CA42">
        <f>IF('Current Index'!1720:1720,"AAAAAG9XX04=",0)</f>
        <v>0</v>
      </c>
      <c r="CB42">
        <f>IF('Current Index'!1721:1721,"AAAAAG9XX08=",0)</f>
        <v>0</v>
      </c>
      <c r="CC42">
        <f>IF('Current Index'!1722:1722,"AAAAAG9XX1A=",0)</f>
        <v>0</v>
      </c>
      <c r="CD42">
        <f>IF('Current Index'!1723:1723,"AAAAAG9XX1E=",0)</f>
        <v>0</v>
      </c>
      <c r="CE42">
        <f>IF('Current Index'!1724:1724,"AAAAAG9XX1I=",0)</f>
        <v>0</v>
      </c>
      <c r="CF42">
        <f>IF('Current Index'!1725:1725,"AAAAAG9XX1M=",0)</f>
        <v>0</v>
      </c>
      <c r="CG42">
        <f>IF('Current Index'!1726:1726,"AAAAAG9XX1Q=",0)</f>
        <v>0</v>
      </c>
      <c r="CH42">
        <f>IF('Current Index'!1727:1727,"AAAAAG9XX1U=",0)</f>
        <v>0</v>
      </c>
      <c r="CI42">
        <f>IF('Current Index'!1728:1728,"AAAAAG9XX1Y=",0)</f>
        <v>0</v>
      </c>
      <c r="CJ42">
        <f>IF('Current Index'!1729:1729,"AAAAAG9XX1c=",0)</f>
        <v>0</v>
      </c>
      <c r="CK42">
        <f>IF('Current Index'!1730:1730,"AAAAAG9XX1g=",0)</f>
        <v>0</v>
      </c>
      <c r="CL42">
        <f>IF('Current Index'!1731:1731,"AAAAAG9XX1k=",0)</f>
        <v>0</v>
      </c>
      <c r="CM42">
        <f>IF('Current Index'!1732:1732,"AAAAAG9XX1o=",0)</f>
        <v>0</v>
      </c>
      <c r="CN42">
        <f>IF('Current Index'!1733:1733,"AAAAAG9XX1s=",0)</f>
        <v>0</v>
      </c>
      <c r="CO42">
        <f>IF('Current Index'!1734:1734,"AAAAAG9XX1w=",0)</f>
        <v>0</v>
      </c>
      <c r="CP42">
        <f>IF('Current Index'!1735:1735,"AAAAAG9XX10=",0)</f>
        <v>0</v>
      </c>
      <c r="CQ42">
        <f>IF('Current Index'!1736:1736,"AAAAAG9XX14=",0)</f>
        <v>0</v>
      </c>
      <c r="CR42">
        <f>IF('Current Index'!1737:1737,"AAAAAG9XX18=",0)</f>
        <v>0</v>
      </c>
      <c r="CS42">
        <f>IF('Current Index'!1738:1738,"AAAAAG9XX2A=",0)</f>
        <v>0</v>
      </c>
      <c r="CT42">
        <f>IF('Current Index'!1739:1739,"AAAAAG9XX2E=",0)</f>
        <v>0</v>
      </c>
      <c r="CU42">
        <f>IF('Current Index'!1740:1740,"AAAAAG9XX2I=",0)</f>
        <v>0</v>
      </c>
      <c r="CV42">
        <f>IF('Current Index'!1741:1741,"AAAAAG9XX2M=",0)</f>
        <v>0</v>
      </c>
      <c r="CW42">
        <f>IF('Current Index'!1742:1742,"AAAAAG9XX2Q=",0)</f>
        <v>0</v>
      </c>
      <c r="CX42">
        <f>IF('Current Index'!1743:1743,"AAAAAG9XX2U=",0)</f>
        <v>0</v>
      </c>
      <c r="CY42">
        <f>IF('Current Index'!1744:1744,"AAAAAG9XX2Y=",0)</f>
        <v>0</v>
      </c>
      <c r="CZ42">
        <f>IF('Current Index'!1745:1745,"AAAAAG9XX2c=",0)</f>
        <v>0</v>
      </c>
      <c r="DA42">
        <f>IF('Current Index'!1746:1746,"AAAAAG9XX2g=",0)</f>
        <v>0</v>
      </c>
      <c r="DB42">
        <f>IF('Current Index'!1747:1747,"AAAAAG9XX2k=",0)</f>
        <v>0</v>
      </c>
      <c r="DC42">
        <f>IF('Current Index'!1748:1748,"AAAAAG9XX2o=",0)</f>
        <v>0</v>
      </c>
      <c r="DD42">
        <f>IF('Current Index'!1749:1749,"AAAAAG9XX2s=",0)</f>
        <v>0</v>
      </c>
      <c r="DE42">
        <f>IF('Current Index'!1750:1750,"AAAAAG9XX2w=",0)</f>
        <v>0</v>
      </c>
      <c r="DF42">
        <f>IF('Current Index'!1751:1751,"AAAAAG9XX20=",0)</f>
        <v>0</v>
      </c>
      <c r="DG42">
        <f>IF('Current Index'!1752:1752,"AAAAAG9XX24=",0)</f>
        <v>0</v>
      </c>
      <c r="DH42">
        <f>IF('Current Index'!1753:1753,"AAAAAG9XX28=",0)</f>
        <v>0</v>
      </c>
      <c r="DI42">
        <f>IF('Current Index'!1754:1754,"AAAAAG9XX3A=",0)</f>
        <v>0</v>
      </c>
      <c r="DJ42">
        <f>IF('Current Index'!1755:1755,"AAAAAG9XX3E=",0)</f>
        <v>0</v>
      </c>
      <c r="DK42">
        <f>IF('Current Index'!1756:1756,"AAAAAG9XX3I=",0)</f>
        <v>0</v>
      </c>
      <c r="DL42">
        <f>IF('Current Index'!1757:1757,"AAAAAG9XX3M=",0)</f>
        <v>0</v>
      </c>
      <c r="DM42">
        <f>IF('Current Index'!1758:1758,"AAAAAG9XX3Q=",0)</f>
        <v>0</v>
      </c>
      <c r="DN42">
        <f>IF('Current Index'!1759:1759,"AAAAAG9XX3U=",0)</f>
        <v>0</v>
      </c>
      <c r="DO42">
        <f>IF('Current Index'!1760:1760,"AAAAAG9XX3Y=",0)</f>
        <v>0</v>
      </c>
      <c r="DP42">
        <f>IF('Current Index'!1761:1761,"AAAAAG9XX3c=",0)</f>
        <v>0</v>
      </c>
      <c r="DQ42">
        <f>IF('Current Index'!1762:1762,"AAAAAG9XX3g=",0)</f>
        <v>0</v>
      </c>
      <c r="DR42">
        <f>IF('Current Index'!1763:1763,"AAAAAG9XX3k=",0)</f>
        <v>0</v>
      </c>
      <c r="DS42">
        <f>IF('Current Index'!1764:1764,"AAAAAG9XX3o=",0)</f>
        <v>0</v>
      </c>
      <c r="DT42">
        <f>IF('Current Index'!1765:1765,"AAAAAG9XX3s=",0)</f>
        <v>0</v>
      </c>
      <c r="DU42">
        <f>IF('Current Index'!1766:1766,"AAAAAG9XX3w=",0)</f>
        <v>0</v>
      </c>
      <c r="DV42">
        <f>IF('Current Index'!1767:1767,"AAAAAG9XX30=",0)</f>
        <v>0</v>
      </c>
      <c r="DW42">
        <f>IF('Current Index'!1768:1768,"AAAAAG9XX34=",0)</f>
        <v>0</v>
      </c>
      <c r="DX42">
        <f>IF('Current Index'!1769:1769,"AAAAAG9XX38=",0)</f>
        <v>0</v>
      </c>
      <c r="DY42">
        <f>IF('Current Index'!1770:1770,"AAAAAG9XX4A=",0)</f>
        <v>0</v>
      </c>
      <c r="DZ42">
        <f>IF('Current Index'!1771:1771,"AAAAAG9XX4E=",0)</f>
        <v>0</v>
      </c>
      <c r="EA42">
        <f>IF('Current Index'!1772:1772,"AAAAAG9XX4I=",0)</f>
        <v>0</v>
      </c>
      <c r="EB42">
        <f>IF('Current Index'!1773:1773,"AAAAAG9XX4M=",0)</f>
        <v>0</v>
      </c>
      <c r="EC42">
        <f>IF('Current Index'!1774:1774,"AAAAAG9XX4Q=",0)</f>
        <v>0</v>
      </c>
      <c r="ED42">
        <f>IF('Current Index'!1775:1775,"AAAAAG9XX4U=",0)</f>
        <v>0</v>
      </c>
      <c r="EE42">
        <f>IF('Current Index'!1776:1776,"AAAAAG9XX4Y=",0)</f>
        <v>0</v>
      </c>
      <c r="EF42">
        <f>IF('Current Index'!1777:1777,"AAAAAG9XX4c=",0)</f>
        <v>0</v>
      </c>
      <c r="EG42">
        <f>IF('Current Index'!1778:1778,"AAAAAG9XX4g=",0)</f>
        <v>0</v>
      </c>
      <c r="EH42">
        <f>IF('Current Index'!1779:1779,"AAAAAG9XX4k=",0)</f>
        <v>0</v>
      </c>
      <c r="EI42">
        <f>IF('Current Index'!1780:1780,"AAAAAG9XX4o=",0)</f>
        <v>0</v>
      </c>
      <c r="EJ42">
        <f>IF('Current Index'!1781:1781,"AAAAAG9XX4s=",0)</f>
        <v>0</v>
      </c>
      <c r="EK42">
        <f>IF('Current Index'!1782:1782,"AAAAAG9XX4w=",0)</f>
        <v>0</v>
      </c>
      <c r="EL42">
        <f>IF('Current Index'!1783:1783,"AAAAAG9XX40=",0)</f>
        <v>0</v>
      </c>
      <c r="EM42">
        <f>IF('Current Index'!1784:1784,"AAAAAG9XX44=",0)</f>
        <v>0</v>
      </c>
      <c r="EN42">
        <f>IF('Current Index'!1785:1785,"AAAAAG9XX48=",0)</f>
        <v>0</v>
      </c>
      <c r="EO42">
        <f>IF('Current Index'!1786:1786,"AAAAAG9XX5A=",0)</f>
        <v>0</v>
      </c>
      <c r="EP42">
        <f>IF('Current Index'!1787:1787,"AAAAAG9XX5E=",0)</f>
        <v>0</v>
      </c>
      <c r="EQ42">
        <f>IF('Current Index'!1788:1788,"AAAAAG9XX5I=",0)</f>
        <v>0</v>
      </c>
      <c r="ER42">
        <f>IF('Current Index'!1789:1789,"AAAAAG9XX5M=",0)</f>
        <v>0</v>
      </c>
      <c r="ES42">
        <f>IF('Current Index'!1790:1790,"AAAAAG9XX5Q=",0)</f>
        <v>0</v>
      </c>
      <c r="ET42">
        <f>IF('Current Index'!1791:1791,"AAAAAG9XX5U=",0)</f>
        <v>0</v>
      </c>
      <c r="EU42">
        <f>IF('Current Index'!1792:1792,"AAAAAG9XX5Y=",0)</f>
        <v>0</v>
      </c>
      <c r="EV42">
        <f>IF('Current Index'!1793:1793,"AAAAAG9XX5c=",0)</f>
        <v>0</v>
      </c>
      <c r="EW42">
        <f>IF('Current Index'!1794:1794,"AAAAAG9XX5g=",0)</f>
        <v>0</v>
      </c>
      <c r="EX42">
        <f>IF('Current Index'!1795:1795,"AAAAAG9XX5k=",0)</f>
        <v>0</v>
      </c>
      <c r="EY42">
        <f>IF('Current Index'!1796:1796,"AAAAAG9XX5o=",0)</f>
        <v>0</v>
      </c>
      <c r="EZ42">
        <f>IF('Current Index'!1797:1797,"AAAAAG9XX5s=",0)</f>
        <v>0</v>
      </c>
      <c r="FA42">
        <f>IF('Current Index'!1798:1798,"AAAAAG9XX5w=",0)</f>
        <v>0</v>
      </c>
      <c r="FB42">
        <f>IF('Current Index'!1799:1799,"AAAAAG9XX50=",0)</f>
        <v>0</v>
      </c>
      <c r="FC42">
        <f>IF('Current Index'!1800:1800,"AAAAAG9XX54=",0)</f>
        <v>0</v>
      </c>
      <c r="FD42">
        <f>IF('Current Index'!1801:1801,"AAAAAG9XX58=",0)</f>
        <v>0</v>
      </c>
      <c r="FE42">
        <f>IF('Current Index'!1802:1802,"AAAAAG9XX6A=",0)</f>
        <v>0</v>
      </c>
      <c r="FF42">
        <f>IF('Current Index'!1803:1803,"AAAAAG9XX6E=",0)</f>
        <v>0</v>
      </c>
      <c r="FG42">
        <f>IF('Current Index'!1804:1804,"AAAAAG9XX6I=",0)</f>
        <v>0</v>
      </c>
      <c r="FH42">
        <f>IF('Current Index'!1805:1805,"AAAAAG9XX6M=",0)</f>
        <v>0</v>
      </c>
      <c r="FI42">
        <f>IF('Current Index'!1806:1806,"AAAAAG9XX6Q=",0)</f>
        <v>0</v>
      </c>
      <c r="FJ42">
        <f>IF('Current Index'!1807:1807,"AAAAAG9XX6U=",0)</f>
        <v>0</v>
      </c>
      <c r="FK42">
        <f>IF('Current Index'!1808:1808,"AAAAAG9XX6Y=",0)</f>
        <v>0</v>
      </c>
      <c r="FL42">
        <f>IF('Current Index'!1809:1809,"AAAAAG9XX6c=",0)</f>
        <v>0</v>
      </c>
      <c r="FM42">
        <f>IF('Current Index'!1810:1810,"AAAAAG9XX6g=",0)</f>
        <v>0</v>
      </c>
      <c r="FN42">
        <f>IF('Current Index'!1811:1811,"AAAAAG9XX6k=",0)</f>
        <v>0</v>
      </c>
      <c r="FO42">
        <f>IF('Current Index'!1812:1812,"AAAAAG9XX6o=",0)</f>
        <v>0</v>
      </c>
      <c r="FP42">
        <f>IF('Current Index'!1813:1813,"AAAAAG9XX6s=",0)</f>
        <v>0</v>
      </c>
      <c r="FQ42">
        <f>IF('Current Index'!1814:1814,"AAAAAG9XX6w=",0)</f>
        <v>0</v>
      </c>
      <c r="FR42">
        <f>IF('Current Index'!1815:1815,"AAAAAG9XX60=",0)</f>
        <v>0</v>
      </c>
      <c r="FS42">
        <f>IF('Current Index'!1816:1816,"AAAAAG9XX64=",0)</f>
        <v>0</v>
      </c>
      <c r="FT42">
        <f>IF('Current Index'!1817:1817,"AAAAAG9XX68=",0)</f>
        <v>0</v>
      </c>
      <c r="FU42">
        <f>IF('Current Index'!1818:1818,"AAAAAG9XX7A=",0)</f>
        <v>0</v>
      </c>
      <c r="FV42">
        <f>IF('Current Index'!1819:1819,"AAAAAG9XX7E=",0)</f>
        <v>0</v>
      </c>
      <c r="FW42">
        <f>IF('Current Index'!1820:1820,"AAAAAG9XX7I=",0)</f>
        <v>0</v>
      </c>
      <c r="FX42">
        <f>IF('Current Index'!1821:1821,"AAAAAG9XX7M=",0)</f>
        <v>0</v>
      </c>
      <c r="FY42">
        <f>IF('Current Index'!1822:1822,"AAAAAG9XX7Q=",0)</f>
        <v>0</v>
      </c>
      <c r="FZ42">
        <f>IF('Current Index'!1823:1823,"AAAAAG9XX7U=",0)</f>
        <v>0</v>
      </c>
      <c r="GA42">
        <f>IF('Current Index'!1824:1824,"AAAAAG9XX7Y=",0)</f>
        <v>0</v>
      </c>
      <c r="GB42">
        <f>IF('Current Index'!1825:1825,"AAAAAG9XX7c=",0)</f>
        <v>0</v>
      </c>
      <c r="GC42">
        <f>IF('Current Index'!1826:1826,"AAAAAG9XX7g=",0)</f>
        <v>0</v>
      </c>
      <c r="GD42">
        <f>IF('Current Index'!1827:1827,"AAAAAG9XX7k=",0)</f>
        <v>0</v>
      </c>
      <c r="GE42">
        <f>IF('Current Index'!1828:1828,"AAAAAG9XX7o=",0)</f>
        <v>0</v>
      </c>
      <c r="GF42">
        <f>IF('Current Index'!1829:1829,"AAAAAG9XX7s=",0)</f>
        <v>0</v>
      </c>
      <c r="GG42">
        <f>IF('Current Index'!1830:1830,"AAAAAG9XX7w=",0)</f>
        <v>0</v>
      </c>
      <c r="GH42">
        <f>IF('Current Index'!1831:1831,"AAAAAG9XX70=",0)</f>
        <v>0</v>
      </c>
      <c r="GI42">
        <f>IF('Current Index'!1832:1832,"AAAAAG9XX74=",0)</f>
        <v>0</v>
      </c>
      <c r="GJ42">
        <f>IF('Current Index'!1833:1833,"AAAAAG9XX78=",0)</f>
        <v>0</v>
      </c>
      <c r="GK42">
        <f>IF('Current Index'!1834:1834,"AAAAAG9XX8A=",0)</f>
        <v>0</v>
      </c>
      <c r="GL42">
        <f>IF('Current Index'!1835:1835,"AAAAAG9XX8E=",0)</f>
        <v>0</v>
      </c>
      <c r="GM42">
        <f>IF('Current Index'!1836:1836,"AAAAAG9XX8I=",0)</f>
        <v>0</v>
      </c>
      <c r="GN42">
        <f>IF('Current Index'!1837:1837,"AAAAAG9XX8M=",0)</f>
        <v>0</v>
      </c>
      <c r="GO42">
        <f>IF('Current Index'!1838:1838,"AAAAAG9XX8Q=",0)</f>
        <v>0</v>
      </c>
      <c r="GP42">
        <f>IF('Current Index'!1839:1839,"AAAAAG9XX8U=",0)</f>
        <v>0</v>
      </c>
      <c r="GQ42">
        <f>IF('Current Index'!1840:1840,"AAAAAG9XX8Y=",0)</f>
        <v>0</v>
      </c>
      <c r="GR42">
        <f>IF('Current Index'!1841:1841,"AAAAAG9XX8c=",0)</f>
        <v>0</v>
      </c>
      <c r="GS42">
        <f>IF('Current Index'!1842:1842,"AAAAAG9XX8g=",0)</f>
        <v>0</v>
      </c>
      <c r="GT42">
        <f>IF('Current Index'!1843:1843,"AAAAAG9XX8k=",0)</f>
        <v>0</v>
      </c>
      <c r="GU42">
        <f>IF('Current Index'!1844:1844,"AAAAAG9XX8o=",0)</f>
        <v>0</v>
      </c>
      <c r="GV42">
        <f>IF('Current Index'!1845:1845,"AAAAAG9XX8s=",0)</f>
        <v>0</v>
      </c>
      <c r="GW42">
        <f>IF('Current Index'!1846:1846,"AAAAAG9XX8w=",0)</f>
        <v>0</v>
      </c>
      <c r="GX42">
        <f>IF('Current Index'!1847:1847,"AAAAAG9XX80=",0)</f>
        <v>0</v>
      </c>
      <c r="GY42">
        <f>IF('Current Index'!1848:1848,"AAAAAG9XX84=",0)</f>
        <v>0</v>
      </c>
      <c r="GZ42">
        <f>IF('Current Index'!1849:1849,"AAAAAG9XX88=",0)</f>
        <v>0</v>
      </c>
      <c r="HA42">
        <f>IF('Current Index'!1850:1850,"AAAAAG9XX9A=",0)</f>
        <v>0</v>
      </c>
      <c r="HB42">
        <f>IF('Current Index'!1851:1851,"AAAAAG9XX9E=",0)</f>
        <v>0</v>
      </c>
      <c r="HC42">
        <f>IF('Current Index'!1852:1852,"AAAAAG9XX9I=",0)</f>
        <v>0</v>
      </c>
      <c r="HD42">
        <f>IF('Current Index'!1853:1853,"AAAAAG9XX9M=",0)</f>
        <v>0</v>
      </c>
      <c r="HE42">
        <f>IF('Current Index'!1854:1854,"AAAAAG9XX9Q=",0)</f>
        <v>0</v>
      </c>
      <c r="HF42">
        <f>IF('Current Index'!1855:1855,"AAAAAG9XX9U=",0)</f>
        <v>0</v>
      </c>
      <c r="HG42">
        <f>IF('Current Index'!1856:1856,"AAAAAG9XX9Y=",0)</f>
        <v>0</v>
      </c>
      <c r="HH42">
        <f>IF('Current Index'!1857:1857,"AAAAAG9XX9c=",0)</f>
        <v>0</v>
      </c>
      <c r="HI42">
        <f>IF('Current Index'!1858:1858,"AAAAAG9XX9g=",0)</f>
        <v>0</v>
      </c>
      <c r="HJ42">
        <f>IF('Current Index'!1859:1859,"AAAAAG9XX9k=",0)</f>
        <v>0</v>
      </c>
      <c r="HK42">
        <f>IF('Current Index'!1860:1860,"AAAAAG9XX9o=",0)</f>
        <v>0</v>
      </c>
      <c r="HL42">
        <f>IF('Current Index'!1861:1861,"AAAAAG9XX9s=",0)</f>
        <v>0</v>
      </c>
      <c r="HM42">
        <f>IF('Current Index'!1862:1862,"AAAAAG9XX9w=",0)</f>
        <v>0</v>
      </c>
      <c r="HN42">
        <f>IF('Current Index'!1863:1863,"AAAAAG9XX90=",0)</f>
        <v>0</v>
      </c>
      <c r="HO42">
        <f>IF('Current Index'!1864:1864,"AAAAAG9XX94=",0)</f>
        <v>0</v>
      </c>
      <c r="HP42">
        <f>IF('Current Index'!1865:1865,"AAAAAG9XX98=",0)</f>
        <v>0</v>
      </c>
      <c r="HQ42">
        <f>IF('Current Index'!1866:1866,"AAAAAG9XX+A=",0)</f>
        <v>0</v>
      </c>
      <c r="HR42">
        <f>IF('Current Index'!1867:1867,"AAAAAG9XX+E=",0)</f>
        <v>0</v>
      </c>
      <c r="HS42">
        <f>IF('Current Index'!1868:1868,"AAAAAG9XX+I=",0)</f>
        <v>0</v>
      </c>
      <c r="HT42">
        <f>IF('Current Index'!1869:1869,"AAAAAG9XX+M=",0)</f>
        <v>0</v>
      </c>
      <c r="HU42">
        <f>IF('Current Index'!1870:1870,"AAAAAG9XX+Q=",0)</f>
        <v>0</v>
      </c>
      <c r="HV42">
        <f>IF('Current Index'!1871:1871,"AAAAAG9XX+U=",0)</f>
        <v>0</v>
      </c>
      <c r="HW42">
        <f>IF('Current Index'!1872:1872,"AAAAAG9XX+Y=",0)</f>
        <v>0</v>
      </c>
      <c r="HX42">
        <f>IF('Current Index'!1873:1873,"AAAAAG9XX+c=",0)</f>
        <v>0</v>
      </c>
      <c r="HY42">
        <f>IF('Current Index'!1874:1874,"AAAAAG9XX+g=",0)</f>
        <v>0</v>
      </c>
      <c r="HZ42">
        <f>IF('Current Index'!1875:1875,"AAAAAG9XX+k=",0)</f>
        <v>0</v>
      </c>
      <c r="IA42">
        <f>IF('Current Index'!1876:1876,"AAAAAG9XX+o=",0)</f>
        <v>0</v>
      </c>
      <c r="IB42">
        <f>IF('Current Index'!1877:1877,"AAAAAG9XX+s=",0)</f>
        <v>0</v>
      </c>
      <c r="IC42">
        <f>IF('Current Index'!1878:1878,"AAAAAG9XX+w=",0)</f>
        <v>0</v>
      </c>
      <c r="ID42">
        <f>IF('Current Index'!1879:1879,"AAAAAG9XX+0=",0)</f>
        <v>0</v>
      </c>
      <c r="IE42">
        <f>IF('Current Index'!1880:1880,"AAAAAG9XX+4=",0)</f>
        <v>0</v>
      </c>
      <c r="IF42">
        <f>IF('Current Index'!1881:1881,"AAAAAG9XX+8=",0)</f>
        <v>0</v>
      </c>
      <c r="IG42">
        <f>IF('Current Index'!1882:1882,"AAAAAG9XX/A=",0)</f>
        <v>0</v>
      </c>
      <c r="IH42">
        <f>IF('Current Index'!1883:1883,"AAAAAG9XX/E=",0)</f>
        <v>0</v>
      </c>
      <c r="II42">
        <f>IF('Current Index'!1884:1884,"AAAAAG9XX/I=",0)</f>
        <v>0</v>
      </c>
      <c r="IJ42">
        <f>IF('Current Index'!1885:1885,"AAAAAG9XX/M=",0)</f>
        <v>0</v>
      </c>
      <c r="IK42">
        <f>IF('Current Index'!1886:1886,"AAAAAG9XX/Q=",0)</f>
        <v>0</v>
      </c>
      <c r="IL42">
        <f>IF('Current Index'!1887:1887,"AAAAAG9XX/U=",0)</f>
        <v>0</v>
      </c>
      <c r="IM42">
        <f>IF('Current Index'!1888:1888,"AAAAAG9XX/Y=",0)</f>
        <v>0</v>
      </c>
      <c r="IN42">
        <f>IF('Current Index'!1889:1889,"AAAAAG9XX/c=",0)</f>
        <v>0</v>
      </c>
      <c r="IO42">
        <f>IF('Current Index'!1890:1890,"AAAAAG9XX/g=",0)</f>
        <v>0</v>
      </c>
      <c r="IP42">
        <f>IF('Current Index'!1891:1891,"AAAAAG9XX/k=",0)</f>
        <v>0</v>
      </c>
      <c r="IQ42">
        <f>IF('Current Index'!1892:1892,"AAAAAG9XX/o=",0)</f>
        <v>0</v>
      </c>
      <c r="IR42">
        <f>IF('Current Index'!1893:1893,"AAAAAG9XX/s=",0)</f>
        <v>0</v>
      </c>
      <c r="IS42">
        <f>IF('Current Index'!1894:1894,"AAAAAG9XX/w=",0)</f>
        <v>0</v>
      </c>
      <c r="IT42">
        <f>IF('Current Index'!1895:1895,"AAAAAG9XX/0=",0)</f>
        <v>0</v>
      </c>
      <c r="IU42">
        <f>IF('Current Index'!1896:1896,"AAAAAG9XX/4=",0)</f>
        <v>0</v>
      </c>
      <c r="IV42">
        <f>IF('Current Index'!1897:1897,"AAAAAG9XX/8=",0)</f>
        <v>0</v>
      </c>
    </row>
    <row r="43" spans="1:256" x14ac:dyDescent="0.25">
      <c r="A43">
        <f>IF('Current Index'!1898:1898,"AAAAAHf7uAA=",0)</f>
        <v>0</v>
      </c>
      <c r="B43">
        <f>IF('Current Index'!1899:1899,"AAAAAHf7uAE=",0)</f>
        <v>0</v>
      </c>
      <c r="C43">
        <f>IF('Current Index'!1900:1900,"AAAAAHf7uAI=",0)</f>
        <v>0</v>
      </c>
      <c r="D43">
        <f>IF('Current Index'!1901:1901,"AAAAAHf7uAM=",0)</f>
        <v>0</v>
      </c>
      <c r="E43">
        <f>IF('Current Index'!1902:1902,"AAAAAHf7uAQ=",0)</f>
        <v>0</v>
      </c>
      <c r="F43">
        <f>IF('Current Index'!1903:1903,"AAAAAHf7uAU=",0)</f>
        <v>0</v>
      </c>
      <c r="G43">
        <f>IF('Current Index'!1904:1904,"AAAAAHf7uAY=",0)</f>
        <v>0</v>
      </c>
      <c r="H43">
        <f>IF('Current Index'!1905:1905,"AAAAAHf7uAc=",0)</f>
        <v>0</v>
      </c>
      <c r="I43">
        <f>IF('Current Index'!1906:1906,"AAAAAHf7uAg=",0)</f>
        <v>0</v>
      </c>
      <c r="J43">
        <f>IF('Current Index'!1907:1907,"AAAAAHf7uAk=",0)</f>
        <v>0</v>
      </c>
      <c r="K43">
        <f>IF('Current Index'!1908:1908,"AAAAAHf7uAo=",0)</f>
        <v>0</v>
      </c>
      <c r="L43">
        <f>IF('Current Index'!1909:1909,"AAAAAHf7uAs=",0)</f>
        <v>0</v>
      </c>
      <c r="M43">
        <f>IF('Current Index'!1910:1910,"AAAAAHf7uAw=",0)</f>
        <v>0</v>
      </c>
      <c r="N43">
        <f>IF('Current Index'!1911:1911,"AAAAAHf7uA0=",0)</f>
        <v>0</v>
      </c>
      <c r="O43">
        <f>IF('Current Index'!1912:1912,"AAAAAHf7uA4=",0)</f>
        <v>0</v>
      </c>
      <c r="P43">
        <f>IF('Current Index'!1913:1913,"AAAAAHf7uA8=",0)</f>
        <v>0</v>
      </c>
      <c r="Q43">
        <f>IF('Current Index'!1914:1914,"AAAAAHf7uBA=",0)</f>
        <v>0</v>
      </c>
      <c r="R43">
        <f>IF('Current Index'!1915:1915,"AAAAAHf7uBE=",0)</f>
        <v>0</v>
      </c>
      <c r="S43">
        <f>IF('Current Index'!1916:1916,"AAAAAHf7uBI=",0)</f>
        <v>0</v>
      </c>
      <c r="T43">
        <f>IF('Current Index'!1917:1917,"AAAAAHf7uBM=",0)</f>
        <v>0</v>
      </c>
      <c r="U43">
        <f>IF('Current Index'!1918:1918,"AAAAAHf7uBQ=",0)</f>
        <v>0</v>
      </c>
      <c r="V43">
        <f>IF('Current Index'!1919:1919,"AAAAAHf7uBU=",0)</f>
        <v>0</v>
      </c>
      <c r="W43">
        <f>IF('Current Index'!1920:1920,"AAAAAHf7uBY=",0)</f>
        <v>0</v>
      </c>
      <c r="X43">
        <f>IF('Current Index'!1921:1921,"AAAAAHf7uBc=",0)</f>
        <v>0</v>
      </c>
      <c r="Y43">
        <f>IF('Current Index'!1922:1922,"AAAAAHf7uBg=",0)</f>
        <v>0</v>
      </c>
      <c r="Z43">
        <f>IF('Current Index'!1923:1923,"AAAAAHf7uBk=",0)</f>
        <v>0</v>
      </c>
      <c r="AA43">
        <f>IF('Current Index'!1924:1924,"AAAAAHf7uBo=",0)</f>
        <v>0</v>
      </c>
      <c r="AB43">
        <f>IF('Current Index'!1925:1925,"AAAAAHf7uBs=",0)</f>
        <v>0</v>
      </c>
      <c r="AC43">
        <f>IF('Current Index'!1926:1926,"AAAAAHf7uBw=",0)</f>
        <v>0</v>
      </c>
      <c r="AD43">
        <f>IF('Current Index'!1927:1927,"AAAAAHf7uB0=",0)</f>
        <v>0</v>
      </c>
      <c r="AE43">
        <f>IF('Current Index'!1928:1928,"AAAAAHf7uB4=",0)</f>
        <v>0</v>
      </c>
      <c r="AF43">
        <f>IF('Current Index'!1929:1929,"AAAAAHf7uB8=",0)</f>
        <v>0</v>
      </c>
      <c r="AG43">
        <f>IF('Current Index'!1930:1930,"AAAAAHf7uCA=",0)</f>
        <v>0</v>
      </c>
      <c r="AH43">
        <f>IF('Current Index'!1931:1931,"AAAAAHf7uCE=",0)</f>
        <v>0</v>
      </c>
      <c r="AI43">
        <f>IF('Current Index'!1932:1932,"AAAAAHf7uCI=",0)</f>
        <v>0</v>
      </c>
      <c r="AJ43">
        <f>IF('Current Index'!1933:1933,"AAAAAHf7uCM=",0)</f>
        <v>0</v>
      </c>
      <c r="AK43">
        <f>IF('Current Index'!1934:1934,"AAAAAHf7uCQ=",0)</f>
        <v>0</v>
      </c>
      <c r="AL43">
        <f>IF('Current Index'!1935:1935,"AAAAAHf7uCU=",0)</f>
        <v>0</v>
      </c>
      <c r="AM43">
        <f>IF('Current Index'!1936:1936,"AAAAAHf7uCY=",0)</f>
        <v>0</v>
      </c>
      <c r="AN43">
        <f>IF('Current Index'!1937:1937,"AAAAAHf7uCc=",0)</f>
        <v>0</v>
      </c>
      <c r="AO43">
        <f>IF('Current Index'!1938:1938,"AAAAAHf7uCg=",0)</f>
        <v>0</v>
      </c>
      <c r="AP43">
        <f>IF('Current Index'!1939:1939,"AAAAAHf7uCk=",0)</f>
        <v>0</v>
      </c>
      <c r="AQ43">
        <f>IF('Current Index'!1940:1940,"AAAAAHf7uCo=",0)</f>
        <v>0</v>
      </c>
      <c r="AR43">
        <f>IF('Current Index'!1941:1941,"AAAAAHf7uCs=",0)</f>
        <v>0</v>
      </c>
      <c r="AS43">
        <f>IF('Current Index'!1942:1942,"AAAAAHf7uCw=",0)</f>
        <v>0</v>
      </c>
      <c r="AT43">
        <f>IF('Current Index'!1943:1943,"AAAAAHf7uC0=",0)</f>
        <v>0</v>
      </c>
      <c r="AU43">
        <f>IF('Current Index'!1944:1944,"AAAAAHf7uC4=",0)</f>
        <v>0</v>
      </c>
      <c r="AV43">
        <f>IF('Current Index'!1945:1945,"AAAAAHf7uC8=",0)</f>
        <v>0</v>
      </c>
      <c r="AW43">
        <f>IF('Current Index'!1946:1946,"AAAAAHf7uDA=",0)</f>
        <v>0</v>
      </c>
      <c r="AX43">
        <f>IF('Current Index'!1947:1947,"AAAAAHf7uDE=",0)</f>
        <v>0</v>
      </c>
      <c r="AY43">
        <f>IF('Current Index'!1948:1948,"AAAAAHf7uDI=",0)</f>
        <v>0</v>
      </c>
      <c r="AZ43">
        <f>IF('Current Index'!1949:1949,"AAAAAHf7uDM=",0)</f>
        <v>0</v>
      </c>
      <c r="BA43">
        <f>IF('Current Index'!1950:1950,"AAAAAHf7uDQ=",0)</f>
        <v>0</v>
      </c>
      <c r="BB43">
        <f>IF('Current Index'!1951:1951,"AAAAAHf7uDU=",0)</f>
        <v>0</v>
      </c>
      <c r="BC43">
        <f>IF('Current Index'!1952:1952,"AAAAAHf7uDY=",0)</f>
        <v>0</v>
      </c>
      <c r="BD43">
        <f>IF('Current Index'!1953:1953,"AAAAAHf7uDc=",0)</f>
        <v>0</v>
      </c>
      <c r="BE43">
        <f>IF('Current Index'!1954:1954,"AAAAAHf7uDg=",0)</f>
        <v>0</v>
      </c>
      <c r="BF43">
        <f>IF('Current Index'!1955:1955,"AAAAAHf7uDk=",0)</f>
        <v>0</v>
      </c>
      <c r="BG43">
        <f>IF('Current Index'!1956:1956,"AAAAAHf7uDo=",0)</f>
        <v>0</v>
      </c>
      <c r="BH43">
        <f>IF('Current Index'!1957:1957,"AAAAAHf7uDs=",0)</f>
        <v>0</v>
      </c>
      <c r="BI43">
        <f>IF('Current Index'!1958:1958,"AAAAAHf7uDw=",0)</f>
        <v>0</v>
      </c>
      <c r="BJ43">
        <f>IF('Current Index'!1959:1959,"AAAAAHf7uD0=",0)</f>
        <v>0</v>
      </c>
      <c r="BK43">
        <f>IF('Current Index'!1960:1960,"AAAAAHf7uD4=",0)</f>
        <v>0</v>
      </c>
      <c r="BL43">
        <f>IF('Current Index'!1961:1961,"AAAAAHf7uD8=",0)</f>
        <v>0</v>
      </c>
      <c r="BM43">
        <f>IF('Current Index'!1962:1962,"AAAAAHf7uEA=",0)</f>
        <v>0</v>
      </c>
      <c r="BN43">
        <f>IF('Current Index'!1963:1963,"AAAAAHf7uEE=",0)</f>
        <v>0</v>
      </c>
      <c r="BO43">
        <f>IF('Current Index'!1964:1964,"AAAAAHf7uEI=",0)</f>
        <v>0</v>
      </c>
      <c r="BP43">
        <f>IF('Current Index'!1965:1965,"AAAAAHf7uEM=",0)</f>
        <v>0</v>
      </c>
      <c r="BQ43">
        <f>IF('Current Index'!1966:1966,"AAAAAHf7uEQ=",0)</f>
        <v>0</v>
      </c>
      <c r="BR43">
        <f>IF('Current Index'!1967:1967,"AAAAAHf7uEU=",0)</f>
        <v>0</v>
      </c>
      <c r="BS43">
        <f>IF('Current Index'!1968:1968,"AAAAAHf7uEY=",0)</f>
        <v>0</v>
      </c>
      <c r="BT43">
        <f>IF('Current Index'!1969:1969,"AAAAAHf7uEc=",0)</f>
        <v>0</v>
      </c>
      <c r="BU43">
        <f>IF('Current Index'!1970:1970,"AAAAAHf7uEg=",0)</f>
        <v>0</v>
      </c>
      <c r="BV43">
        <f>IF('Current Index'!1971:1971,"AAAAAHf7uEk=",0)</f>
        <v>0</v>
      </c>
      <c r="BW43">
        <f>IF('Current Index'!1972:1972,"AAAAAHf7uEo=",0)</f>
        <v>0</v>
      </c>
      <c r="BX43">
        <f>IF('Current Index'!1973:1973,"AAAAAHf7uEs=",0)</f>
        <v>0</v>
      </c>
      <c r="BY43">
        <f>IF('Current Index'!1974:1974,"AAAAAHf7uEw=",0)</f>
        <v>0</v>
      </c>
      <c r="BZ43">
        <f>IF('Current Index'!1975:1975,"AAAAAHf7uE0=",0)</f>
        <v>0</v>
      </c>
      <c r="CA43">
        <f>IF('Current Index'!1976:1976,"AAAAAHf7uE4=",0)</f>
        <v>0</v>
      </c>
      <c r="CB43">
        <f>IF('Current Index'!1977:1977,"AAAAAHf7uE8=",0)</f>
        <v>0</v>
      </c>
      <c r="CC43">
        <f>IF('Current Index'!1978:1978,"AAAAAHf7uFA=",0)</f>
        <v>0</v>
      </c>
      <c r="CD43">
        <f>IF('Current Index'!1979:1979,"AAAAAHf7uFE=",0)</f>
        <v>0</v>
      </c>
      <c r="CE43">
        <f>IF('Current Index'!1980:1980,"AAAAAHf7uFI=",0)</f>
        <v>0</v>
      </c>
      <c r="CF43">
        <f>IF('Current Index'!1981:1981,"AAAAAHf7uFM=",0)</f>
        <v>0</v>
      </c>
      <c r="CG43">
        <f>IF('Current Index'!1982:1982,"AAAAAHf7uFQ=",0)</f>
        <v>0</v>
      </c>
      <c r="CH43">
        <f>IF('Current Index'!1983:1983,"AAAAAHf7uFU=",0)</f>
        <v>0</v>
      </c>
      <c r="CI43">
        <f>IF('Current Index'!1984:1984,"AAAAAHf7uFY=",0)</f>
        <v>0</v>
      </c>
      <c r="CJ43">
        <f>IF('Current Index'!1985:1985,"AAAAAHf7uFc=",0)</f>
        <v>0</v>
      </c>
      <c r="CK43">
        <f>IF('Current Index'!1986:1986,"AAAAAHf7uFg=",0)</f>
        <v>0</v>
      </c>
      <c r="CL43">
        <f>IF('Current Index'!1987:1987,"AAAAAHf7uFk=",0)</f>
        <v>0</v>
      </c>
      <c r="CM43">
        <f>IF('Current Index'!1988:1988,"AAAAAHf7uFo=",0)</f>
        <v>0</v>
      </c>
      <c r="CN43">
        <f>IF('Current Index'!1989:1989,"AAAAAHf7uFs=",0)</f>
        <v>0</v>
      </c>
      <c r="CO43">
        <f>IF('Current Index'!1990:1990,"AAAAAHf7uFw=",0)</f>
        <v>0</v>
      </c>
      <c r="CP43">
        <f>IF('Current Index'!1991:1991,"AAAAAHf7uF0=",0)</f>
        <v>0</v>
      </c>
      <c r="CQ43">
        <f>IF('Current Index'!1992:1992,"AAAAAHf7uF4=",0)</f>
        <v>0</v>
      </c>
      <c r="CR43">
        <f>IF('Current Index'!1993:1993,"AAAAAHf7uF8=",0)</f>
        <v>0</v>
      </c>
      <c r="CS43">
        <f>IF('Current Index'!1994:1994,"AAAAAHf7uGA=",0)</f>
        <v>0</v>
      </c>
      <c r="CT43">
        <f>IF('Current Index'!1995:1995,"AAAAAHf7uGE=",0)</f>
        <v>0</v>
      </c>
      <c r="CU43">
        <f>IF('Current Index'!1996:1996,"AAAAAHf7uGI=",0)</f>
        <v>0</v>
      </c>
      <c r="CV43">
        <f>IF('Current Index'!1997:1997,"AAAAAHf7uGM=",0)</f>
        <v>0</v>
      </c>
      <c r="CW43">
        <f>IF('Current Index'!1998:1998,"AAAAAHf7uGQ=",0)</f>
        <v>0</v>
      </c>
      <c r="CX43">
        <f>IF('Current Index'!1999:1999,"AAAAAHf7uGU=",0)</f>
        <v>0</v>
      </c>
      <c r="CY43">
        <f>IF('Current Index'!2000:2000,"AAAAAHf7uGY=",0)</f>
        <v>0</v>
      </c>
      <c r="CZ43">
        <f>IF('Current Index'!2001:2001,"AAAAAHf7uGc=",0)</f>
        <v>0</v>
      </c>
      <c r="DA43">
        <f>IF('Current Index'!2002:2002,"AAAAAHf7uGg=",0)</f>
        <v>0</v>
      </c>
      <c r="DB43">
        <f>IF('Current Index'!2003:2003,"AAAAAHf7uGk=",0)</f>
        <v>0</v>
      </c>
      <c r="DC43">
        <f>IF('Current Index'!2004:2004,"AAAAAHf7uGo=",0)</f>
        <v>0</v>
      </c>
      <c r="DD43">
        <f>IF('Current Index'!2005:2005,"AAAAAHf7uGs=",0)</f>
        <v>0</v>
      </c>
      <c r="DE43">
        <f>IF('Current Index'!2006:2006,"AAAAAHf7uGw=",0)</f>
        <v>0</v>
      </c>
      <c r="DF43">
        <f>IF('Current Index'!2007:2007,"AAAAAHf7uG0=",0)</f>
        <v>0</v>
      </c>
      <c r="DG43">
        <f>IF('Current Index'!2008:2008,"AAAAAHf7uG4=",0)</f>
        <v>0</v>
      </c>
      <c r="DH43">
        <f>IF('Current Index'!2009:2009,"AAAAAHf7uG8=",0)</f>
        <v>0</v>
      </c>
      <c r="DI43">
        <f>IF('Current Index'!2010:2010,"AAAAAHf7uHA=",0)</f>
        <v>0</v>
      </c>
      <c r="DJ43">
        <f>IF('Current Index'!2011:2011,"AAAAAHf7uHE=",0)</f>
        <v>0</v>
      </c>
      <c r="DK43">
        <f>IF('Current Index'!2012:2012,"AAAAAHf7uHI=",0)</f>
        <v>0</v>
      </c>
      <c r="DL43">
        <f>IF('Current Index'!2013:2013,"AAAAAHf7uHM=",0)</f>
        <v>0</v>
      </c>
      <c r="DM43">
        <f>IF('Current Index'!2014:2014,"AAAAAHf7uHQ=",0)</f>
        <v>0</v>
      </c>
      <c r="DN43">
        <f>IF('Current Index'!2015:2015,"AAAAAHf7uHU=",0)</f>
        <v>0</v>
      </c>
      <c r="DO43">
        <f>IF('Current Index'!2016:2016,"AAAAAHf7uHY=",0)</f>
        <v>0</v>
      </c>
      <c r="DP43">
        <f>IF('Current Index'!2017:2017,"AAAAAHf7uHc=",0)</f>
        <v>0</v>
      </c>
      <c r="DQ43">
        <f>IF('Current Index'!2018:2018,"AAAAAHf7uHg=",0)</f>
        <v>0</v>
      </c>
      <c r="DR43">
        <f>IF('Current Index'!2019:2019,"AAAAAHf7uHk=",0)</f>
        <v>0</v>
      </c>
      <c r="DS43">
        <f>IF('Current Index'!2020:2020,"AAAAAHf7uHo=",0)</f>
        <v>0</v>
      </c>
      <c r="DT43">
        <f>IF('Current Index'!2021:2021,"AAAAAHf7uHs=",0)</f>
        <v>0</v>
      </c>
      <c r="DU43">
        <f>IF('Current Index'!2022:2022,"AAAAAHf7uHw=",0)</f>
        <v>0</v>
      </c>
      <c r="DV43">
        <f>IF('Current Index'!2023:2023,"AAAAAHf7uH0=",0)</f>
        <v>0</v>
      </c>
      <c r="DW43">
        <f>IF('Current Index'!2024:2024,"AAAAAHf7uH4=",0)</f>
        <v>0</v>
      </c>
      <c r="DX43">
        <f>IF('Current Index'!2025:2025,"AAAAAHf7uH8=",0)</f>
        <v>0</v>
      </c>
      <c r="DY43">
        <f>IF('Current Index'!2026:2026,"AAAAAHf7uIA=",0)</f>
        <v>0</v>
      </c>
      <c r="DZ43">
        <f>IF('Current Index'!2027:2027,"AAAAAHf7uIE=",0)</f>
        <v>0</v>
      </c>
      <c r="EA43">
        <f>IF('Current Index'!2028:2028,"AAAAAHf7uII=",0)</f>
        <v>0</v>
      </c>
      <c r="EB43">
        <f>IF('Current Index'!2029:2029,"AAAAAHf7uIM=",0)</f>
        <v>0</v>
      </c>
      <c r="EC43">
        <f>IF('Current Index'!2030:2030,"AAAAAHf7uIQ=",0)</f>
        <v>0</v>
      </c>
      <c r="ED43">
        <f>IF('Current Index'!2031:2031,"AAAAAHf7uIU=",0)</f>
        <v>0</v>
      </c>
      <c r="EE43">
        <f>IF('Current Index'!2032:2032,"AAAAAHf7uIY=",0)</f>
        <v>0</v>
      </c>
      <c r="EF43">
        <f>IF('Current Index'!2033:2033,"AAAAAHf7uIc=",0)</f>
        <v>0</v>
      </c>
      <c r="EG43">
        <f>IF('Current Index'!2034:2034,"AAAAAHf7uIg=",0)</f>
        <v>0</v>
      </c>
      <c r="EH43">
        <f>IF('Current Index'!2035:2035,"AAAAAHf7uIk=",0)</f>
        <v>0</v>
      </c>
      <c r="EI43">
        <f>IF('Current Index'!2036:2036,"AAAAAHf7uIo=",0)</f>
        <v>0</v>
      </c>
      <c r="EJ43">
        <f>IF('Current Index'!2037:2037,"AAAAAHf7uIs=",0)</f>
        <v>0</v>
      </c>
      <c r="EK43">
        <f>IF('Current Index'!2038:2038,"AAAAAHf7uIw=",0)</f>
        <v>0</v>
      </c>
      <c r="EL43">
        <f>IF('Current Index'!2039:2039,"AAAAAHf7uI0=",0)</f>
        <v>0</v>
      </c>
      <c r="EM43">
        <f>IF('Current Index'!2040:2040,"AAAAAHf7uI4=",0)</f>
        <v>0</v>
      </c>
      <c r="EN43">
        <f>IF('Current Index'!2041:2041,"AAAAAHf7uI8=",0)</f>
        <v>0</v>
      </c>
      <c r="EO43">
        <f>IF('Current Index'!2042:2042,"AAAAAHf7uJA=",0)</f>
        <v>0</v>
      </c>
      <c r="EP43">
        <f>IF('Current Index'!2043:2043,"AAAAAHf7uJE=",0)</f>
        <v>0</v>
      </c>
      <c r="EQ43">
        <f>IF('Current Index'!2044:2044,"AAAAAHf7uJI=",0)</f>
        <v>0</v>
      </c>
      <c r="ER43">
        <f>IF('Current Index'!2045:2045,"AAAAAHf7uJM=",0)</f>
        <v>0</v>
      </c>
      <c r="ES43">
        <f>IF('Current Index'!2046:2046,"AAAAAHf7uJQ=",0)</f>
        <v>0</v>
      </c>
      <c r="ET43">
        <f>IF('Current Index'!2047:2047,"AAAAAHf7uJU=",0)</f>
        <v>0</v>
      </c>
      <c r="EU43">
        <f>IF('Current Index'!2048:2048,"AAAAAHf7uJY=",0)</f>
        <v>0</v>
      </c>
      <c r="EV43">
        <f>IF('Current Index'!2049:2049,"AAAAAHf7uJc=",0)</f>
        <v>0</v>
      </c>
      <c r="EW43">
        <f>IF('Current Index'!2050:2050,"AAAAAHf7uJg=",0)</f>
        <v>0</v>
      </c>
      <c r="EX43">
        <f>IF('Current Index'!2051:2051,"AAAAAHf7uJk=",0)</f>
        <v>0</v>
      </c>
      <c r="EY43">
        <f>IF('Current Index'!2052:2052,"AAAAAHf7uJo=",0)</f>
        <v>0</v>
      </c>
      <c r="EZ43">
        <f>IF('Current Index'!2053:2053,"AAAAAHf7uJs=",0)</f>
        <v>0</v>
      </c>
      <c r="FA43">
        <f>IF('Current Index'!2054:2054,"AAAAAHf7uJw=",0)</f>
        <v>0</v>
      </c>
      <c r="FB43">
        <f>IF('Current Index'!2055:2055,"AAAAAHf7uJ0=",0)</f>
        <v>0</v>
      </c>
      <c r="FC43">
        <f>IF('Current Index'!2056:2056,"AAAAAHf7uJ4=",0)</f>
        <v>0</v>
      </c>
      <c r="FD43">
        <f>IF('Current Index'!2057:2057,"AAAAAHf7uJ8=",0)</f>
        <v>0</v>
      </c>
      <c r="FE43">
        <f>IF('Current Index'!2058:2058,"AAAAAHf7uKA=",0)</f>
        <v>0</v>
      </c>
      <c r="FF43">
        <f>IF('Current Index'!2059:2059,"AAAAAHf7uKE=",0)</f>
        <v>0</v>
      </c>
      <c r="FG43">
        <f>IF('Current Index'!2060:2060,"AAAAAHf7uKI=",0)</f>
        <v>0</v>
      </c>
      <c r="FH43">
        <f>IF('Current Index'!2061:2061,"AAAAAHf7uKM=",0)</f>
        <v>0</v>
      </c>
      <c r="FI43">
        <f>IF('Current Index'!2062:2062,"AAAAAHf7uKQ=",0)</f>
        <v>0</v>
      </c>
      <c r="FJ43">
        <f>IF('Current Index'!2063:2063,"AAAAAHf7uKU=",0)</f>
        <v>0</v>
      </c>
      <c r="FK43">
        <f>IF('Current Index'!2064:2064,"AAAAAHf7uKY=",0)</f>
        <v>0</v>
      </c>
      <c r="FL43">
        <f>IF('Current Index'!2065:2065,"AAAAAHf7uKc=",0)</f>
        <v>0</v>
      </c>
      <c r="FM43">
        <f>IF('Current Index'!2066:2066,"AAAAAHf7uKg=",0)</f>
        <v>0</v>
      </c>
      <c r="FN43">
        <f>IF('Current Index'!2067:2067,"AAAAAHf7uKk=",0)</f>
        <v>0</v>
      </c>
      <c r="FO43">
        <f>IF('Current Index'!2068:2068,"AAAAAHf7uKo=",0)</f>
        <v>0</v>
      </c>
      <c r="FP43">
        <f>IF('Current Index'!2069:2069,"AAAAAHf7uKs=",0)</f>
        <v>0</v>
      </c>
      <c r="FQ43">
        <f>IF('Current Index'!2070:2070,"AAAAAHf7uKw=",0)</f>
        <v>0</v>
      </c>
      <c r="FR43">
        <f>IF('Current Index'!2071:2071,"AAAAAHf7uK0=",0)</f>
        <v>0</v>
      </c>
      <c r="FS43">
        <f>IF('Current Index'!2072:2072,"AAAAAHf7uK4=",0)</f>
        <v>0</v>
      </c>
      <c r="FT43">
        <f>IF('Current Index'!2073:2073,"AAAAAHf7uK8=",0)</f>
        <v>0</v>
      </c>
      <c r="FU43">
        <f>IF('Current Index'!2074:2074,"AAAAAHf7uLA=",0)</f>
        <v>0</v>
      </c>
      <c r="FV43">
        <f>IF('Current Index'!2075:2075,"AAAAAHf7uLE=",0)</f>
        <v>0</v>
      </c>
      <c r="FW43">
        <f>IF('Current Index'!2076:2076,"AAAAAHf7uLI=",0)</f>
        <v>0</v>
      </c>
      <c r="FX43">
        <f>IF('Current Index'!2077:2077,"AAAAAHf7uLM=",0)</f>
        <v>0</v>
      </c>
      <c r="FY43">
        <f>IF('Current Index'!2078:2078,"AAAAAHf7uLQ=",0)</f>
        <v>0</v>
      </c>
      <c r="FZ43">
        <f>IF('Current Index'!2079:2079,"AAAAAHf7uLU=",0)</f>
        <v>0</v>
      </c>
      <c r="GA43">
        <f>IF('Current Index'!2080:2080,"AAAAAHf7uLY=",0)</f>
        <v>0</v>
      </c>
      <c r="GB43">
        <f>IF('Current Index'!2081:2081,"AAAAAHf7uLc=",0)</f>
        <v>0</v>
      </c>
      <c r="GC43">
        <f>IF('Current Index'!2082:2082,"AAAAAHf7uLg=",0)</f>
        <v>0</v>
      </c>
      <c r="GD43">
        <f>IF('Current Index'!2083:2083,"AAAAAHf7uLk=",0)</f>
        <v>0</v>
      </c>
      <c r="GE43">
        <f>IF('Current Index'!2084:2084,"AAAAAHf7uLo=",0)</f>
        <v>0</v>
      </c>
      <c r="GF43">
        <f>IF('Current Index'!2085:2085,"AAAAAHf7uLs=",0)</f>
        <v>0</v>
      </c>
      <c r="GG43">
        <f>IF('Current Index'!2086:2086,"AAAAAHf7uLw=",0)</f>
        <v>0</v>
      </c>
      <c r="GH43">
        <f>IF('Current Index'!2087:2087,"AAAAAHf7uL0=",0)</f>
        <v>0</v>
      </c>
      <c r="GI43">
        <f>IF('Current Index'!2088:2088,"AAAAAHf7uL4=",0)</f>
        <v>0</v>
      </c>
      <c r="GJ43">
        <f>IF('Current Index'!2089:2089,"AAAAAHf7uL8=",0)</f>
        <v>0</v>
      </c>
      <c r="GK43">
        <f>IF('Current Index'!2090:2090,"AAAAAHf7uMA=",0)</f>
        <v>0</v>
      </c>
      <c r="GL43">
        <f>IF('Current Index'!2091:2091,"AAAAAHf7uME=",0)</f>
        <v>0</v>
      </c>
      <c r="GM43">
        <f>IF('Current Index'!2092:2092,"AAAAAHf7uMI=",0)</f>
        <v>0</v>
      </c>
      <c r="GN43">
        <f>IF('Current Index'!2093:2093,"AAAAAHf7uMM=",0)</f>
        <v>0</v>
      </c>
      <c r="GO43">
        <f>IF('Current Index'!2094:2094,"AAAAAHf7uMQ=",0)</f>
        <v>0</v>
      </c>
      <c r="GP43">
        <f>IF('Current Index'!2095:2095,"AAAAAHf7uMU=",0)</f>
        <v>0</v>
      </c>
      <c r="GQ43">
        <f>IF('Current Index'!2096:2096,"AAAAAHf7uMY=",0)</f>
        <v>0</v>
      </c>
      <c r="GR43">
        <f>IF('Current Index'!2097:2097,"AAAAAHf7uMc=",0)</f>
        <v>0</v>
      </c>
      <c r="GS43">
        <f>IF('Current Index'!2098:2098,"AAAAAHf7uMg=",0)</f>
        <v>0</v>
      </c>
      <c r="GT43">
        <f>IF('Current Index'!2099:2099,"AAAAAHf7uMk=",0)</f>
        <v>0</v>
      </c>
      <c r="GU43">
        <f>IF('Current Index'!2100:2100,"AAAAAHf7uMo=",0)</f>
        <v>0</v>
      </c>
      <c r="GV43">
        <f>IF('Current Index'!2101:2101,"AAAAAHf7uMs=",0)</f>
        <v>0</v>
      </c>
      <c r="GW43">
        <f>IF('Current Index'!2102:2102,"AAAAAHf7uMw=",0)</f>
        <v>0</v>
      </c>
      <c r="GX43">
        <f>IF('Current Index'!2103:2103,"AAAAAHf7uM0=",0)</f>
        <v>0</v>
      </c>
      <c r="GY43">
        <f>IF('Current Index'!2104:2104,"AAAAAHf7uM4=",0)</f>
        <v>0</v>
      </c>
      <c r="GZ43">
        <f>IF('Current Index'!2105:2105,"AAAAAHf7uM8=",0)</f>
        <v>0</v>
      </c>
      <c r="HA43">
        <f>IF('Current Index'!2106:2106,"AAAAAHf7uNA=",0)</f>
        <v>0</v>
      </c>
      <c r="HB43">
        <f>IF('Current Index'!2107:2107,"AAAAAHf7uNE=",0)</f>
        <v>0</v>
      </c>
      <c r="HC43">
        <f>IF('Current Index'!2108:2108,"AAAAAHf7uNI=",0)</f>
        <v>0</v>
      </c>
      <c r="HD43">
        <f>IF('Current Index'!2109:2109,"AAAAAHf7uNM=",0)</f>
        <v>0</v>
      </c>
      <c r="HE43">
        <f>IF('Current Index'!2110:2110,"AAAAAHf7uNQ=",0)</f>
        <v>0</v>
      </c>
      <c r="HF43">
        <f>IF('Current Index'!2111:2111,"AAAAAHf7uNU=",0)</f>
        <v>0</v>
      </c>
      <c r="HG43">
        <f>IF('Current Index'!2112:2112,"AAAAAHf7uNY=",0)</f>
        <v>0</v>
      </c>
      <c r="HH43">
        <f>IF('Current Index'!2113:2113,"AAAAAHf7uNc=",0)</f>
        <v>0</v>
      </c>
      <c r="HI43">
        <f>IF('Current Index'!2114:2114,"AAAAAHf7uNg=",0)</f>
        <v>0</v>
      </c>
      <c r="HJ43">
        <f>IF('Current Index'!2115:2115,"AAAAAHf7uNk=",0)</f>
        <v>0</v>
      </c>
      <c r="HK43">
        <f>IF('Current Index'!2116:2116,"AAAAAHf7uNo=",0)</f>
        <v>0</v>
      </c>
      <c r="HL43">
        <f>IF('Current Index'!2117:2117,"AAAAAHf7uNs=",0)</f>
        <v>0</v>
      </c>
      <c r="HM43">
        <f>IF('Current Index'!2118:2118,"AAAAAHf7uNw=",0)</f>
        <v>0</v>
      </c>
      <c r="HN43">
        <f>IF('Current Index'!2119:2119,"AAAAAHf7uN0=",0)</f>
        <v>0</v>
      </c>
      <c r="HO43">
        <f>IF('Current Index'!2120:2120,"AAAAAHf7uN4=",0)</f>
        <v>0</v>
      </c>
      <c r="HP43">
        <f>IF('Current Index'!2121:2121,"AAAAAHf7uN8=",0)</f>
        <v>0</v>
      </c>
      <c r="HQ43">
        <f>IF('Current Index'!2122:2122,"AAAAAHf7uOA=",0)</f>
        <v>0</v>
      </c>
      <c r="HR43">
        <f>IF('Current Index'!2123:2123,"AAAAAHf7uOE=",0)</f>
        <v>0</v>
      </c>
      <c r="HS43">
        <f>IF('Current Index'!2124:2124,"AAAAAHf7uOI=",0)</f>
        <v>0</v>
      </c>
      <c r="HT43">
        <f>IF('Current Index'!2125:2125,"AAAAAHf7uOM=",0)</f>
        <v>0</v>
      </c>
      <c r="HU43">
        <f>IF('Current Index'!2126:2126,"AAAAAHf7uOQ=",0)</f>
        <v>0</v>
      </c>
      <c r="HV43">
        <f>IF('Current Index'!2127:2127,"AAAAAHf7uOU=",0)</f>
        <v>0</v>
      </c>
      <c r="HW43">
        <f>IF('Current Index'!2128:2128,"AAAAAHf7uOY=",0)</f>
        <v>0</v>
      </c>
      <c r="HX43">
        <f>IF('Current Index'!2129:2129,"AAAAAHf7uOc=",0)</f>
        <v>0</v>
      </c>
      <c r="HY43">
        <f>IF('Current Index'!2130:2130,"AAAAAHf7uOg=",0)</f>
        <v>0</v>
      </c>
      <c r="HZ43">
        <f>IF('Current Index'!2131:2131,"AAAAAHf7uOk=",0)</f>
        <v>0</v>
      </c>
      <c r="IA43">
        <f>IF('Current Index'!2132:2132,"AAAAAHf7uOo=",0)</f>
        <v>0</v>
      </c>
      <c r="IB43">
        <f>IF('Current Index'!2133:2133,"AAAAAHf7uOs=",0)</f>
        <v>0</v>
      </c>
      <c r="IC43">
        <f>IF('Current Index'!2134:2134,"AAAAAHf7uOw=",0)</f>
        <v>0</v>
      </c>
      <c r="ID43">
        <f>IF('Current Index'!2135:2135,"AAAAAHf7uO0=",0)</f>
        <v>0</v>
      </c>
      <c r="IE43">
        <f>IF('Current Index'!2136:2136,"AAAAAHf7uO4=",0)</f>
        <v>0</v>
      </c>
      <c r="IF43">
        <f>IF('Current Index'!2137:2137,"AAAAAHf7uO8=",0)</f>
        <v>0</v>
      </c>
      <c r="IG43">
        <f>IF('Current Index'!2138:2138,"AAAAAHf7uPA=",0)</f>
        <v>0</v>
      </c>
      <c r="IH43">
        <f>IF('Current Index'!2139:2139,"AAAAAHf7uPE=",0)</f>
        <v>0</v>
      </c>
      <c r="II43">
        <f>IF('Current Index'!2140:2140,"AAAAAHf7uPI=",0)</f>
        <v>0</v>
      </c>
      <c r="IJ43">
        <f>IF('Current Index'!2141:2141,"AAAAAHf7uPM=",0)</f>
        <v>0</v>
      </c>
      <c r="IK43">
        <f>IF('Current Index'!2142:2142,"AAAAAHf7uPQ=",0)</f>
        <v>0</v>
      </c>
      <c r="IL43">
        <f>IF('Current Index'!2143:2143,"AAAAAHf7uPU=",0)</f>
        <v>0</v>
      </c>
      <c r="IM43">
        <f>IF('Current Index'!2144:2144,"AAAAAHf7uPY=",0)</f>
        <v>0</v>
      </c>
      <c r="IN43">
        <f>IF('Current Index'!2145:2145,"AAAAAHf7uPc=",0)</f>
        <v>0</v>
      </c>
      <c r="IO43">
        <f>IF('Current Index'!2146:2146,"AAAAAHf7uPg=",0)</f>
        <v>0</v>
      </c>
      <c r="IP43">
        <f>IF('Current Index'!2147:2147,"AAAAAHf7uPk=",0)</f>
        <v>0</v>
      </c>
      <c r="IQ43">
        <f>IF('Current Index'!2148:2148,"AAAAAHf7uPo=",0)</f>
        <v>0</v>
      </c>
      <c r="IR43">
        <f>IF('Current Index'!2149:2149,"AAAAAHf7uPs=",0)</f>
        <v>0</v>
      </c>
      <c r="IS43">
        <f>IF('Current Index'!2150:2150,"AAAAAHf7uPw=",0)</f>
        <v>0</v>
      </c>
      <c r="IT43">
        <f>IF('Current Index'!2151:2151,"AAAAAHf7uP0=",0)</f>
        <v>0</v>
      </c>
      <c r="IU43">
        <f>IF('Current Index'!2152:2152,"AAAAAHf7uP4=",0)</f>
        <v>0</v>
      </c>
      <c r="IV43">
        <f>IF('Current Index'!2153:2153,"AAAAAHf7uP8=",0)</f>
        <v>0</v>
      </c>
    </row>
    <row r="44" spans="1:256" x14ac:dyDescent="0.25">
      <c r="A44">
        <f>IF('Current Index'!2154:2154,"AAAAAD30dgA=",0)</f>
        <v>0</v>
      </c>
      <c r="B44">
        <f>IF('Current Index'!2155:2155,"AAAAAD30dgE=",0)</f>
        <v>0</v>
      </c>
      <c r="C44">
        <f>IF('Current Index'!2156:2156,"AAAAAD30dgI=",0)</f>
        <v>0</v>
      </c>
      <c r="D44">
        <f>IF('Current Index'!2157:2157,"AAAAAD30dgM=",0)</f>
        <v>0</v>
      </c>
      <c r="E44">
        <f>IF('Current Index'!2158:2158,"AAAAAD30dgQ=",0)</f>
        <v>0</v>
      </c>
      <c r="F44">
        <f>IF('Current Index'!2159:2159,"AAAAAD30dgU=",0)</f>
        <v>0</v>
      </c>
      <c r="G44">
        <f>IF('Current Index'!2160:2160,"AAAAAD30dgY=",0)</f>
        <v>0</v>
      </c>
      <c r="H44">
        <f>IF('Current Index'!2161:2161,"AAAAAD30dgc=",0)</f>
        <v>0</v>
      </c>
      <c r="I44">
        <f>IF('Current Index'!2162:2162,"AAAAAD30dgg=",0)</f>
        <v>0</v>
      </c>
      <c r="J44">
        <f>IF('Current Index'!2163:2163,"AAAAAD30dgk=",0)</f>
        <v>0</v>
      </c>
      <c r="K44">
        <f>IF('Current Index'!2164:2164,"AAAAAD30dgo=",0)</f>
        <v>0</v>
      </c>
      <c r="L44">
        <f>IF('Current Index'!2165:2165,"AAAAAD30dgs=",0)</f>
        <v>0</v>
      </c>
      <c r="M44">
        <f>IF('Current Index'!2166:2166,"AAAAAD30dgw=",0)</f>
        <v>0</v>
      </c>
      <c r="N44">
        <f>IF('Current Index'!2167:2167,"AAAAAD30dg0=",0)</f>
        <v>0</v>
      </c>
      <c r="O44">
        <f>IF('Current Index'!2168:2168,"AAAAAD30dg4=",0)</f>
        <v>0</v>
      </c>
      <c r="P44">
        <f>IF('Current Index'!2169:2169,"AAAAAD30dg8=",0)</f>
        <v>0</v>
      </c>
      <c r="Q44">
        <f>IF('Current Index'!2170:2170,"AAAAAD30dhA=",0)</f>
        <v>0</v>
      </c>
      <c r="R44">
        <f>IF('Current Index'!2171:2171,"AAAAAD30dhE=",0)</f>
        <v>0</v>
      </c>
      <c r="S44">
        <f>IF('Current Index'!2172:2172,"AAAAAD30dhI=",0)</f>
        <v>0</v>
      </c>
      <c r="T44">
        <f>IF('Current Index'!2173:2173,"AAAAAD30dhM=",0)</f>
        <v>0</v>
      </c>
      <c r="U44">
        <f>IF('Current Index'!2174:2174,"AAAAAD30dhQ=",0)</f>
        <v>0</v>
      </c>
      <c r="V44">
        <f>IF('Current Index'!2175:2175,"AAAAAD30dhU=",0)</f>
        <v>0</v>
      </c>
      <c r="W44">
        <f>IF('Current Index'!2176:2176,"AAAAAD30dhY=",0)</f>
        <v>0</v>
      </c>
      <c r="X44">
        <f>IF('Current Index'!2177:2177,"AAAAAD30dhc=",0)</f>
        <v>0</v>
      </c>
      <c r="Y44">
        <f>IF('Current Index'!2178:2178,"AAAAAD30dhg=",0)</f>
        <v>0</v>
      </c>
      <c r="Z44">
        <f>IF('Current Index'!2179:2179,"AAAAAD30dhk=",0)</f>
        <v>0</v>
      </c>
      <c r="AA44">
        <f>IF('Current Index'!2180:2180,"AAAAAD30dho=",0)</f>
        <v>0</v>
      </c>
      <c r="AB44">
        <f>IF('Current Index'!2181:2181,"AAAAAD30dhs=",0)</f>
        <v>0</v>
      </c>
      <c r="AC44">
        <f>IF('Current Index'!2182:2182,"AAAAAD30dhw=",0)</f>
        <v>0</v>
      </c>
      <c r="AD44">
        <f>IF('Current Index'!2183:2183,"AAAAAD30dh0=",0)</f>
        <v>0</v>
      </c>
      <c r="AE44">
        <f>IF('Current Index'!2184:2184,"AAAAAD30dh4=",0)</f>
        <v>0</v>
      </c>
      <c r="AF44">
        <f>IF('Current Index'!2185:2185,"AAAAAD30dh8=",0)</f>
        <v>0</v>
      </c>
      <c r="AG44">
        <f>IF('Current Index'!2186:2186,"AAAAAD30diA=",0)</f>
        <v>0</v>
      </c>
      <c r="AH44">
        <f>IF('Current Index'!2187:2187,"AAAAAD30diE=",0)</f>
        <v>0</v>
      </c>
      <c r="AI44">
        <f>IF('Current Index'!2188:2188,"AAAAAD30diI=",0)</f>
        <v>0</v>
      </c>
      <c r="AJ44">
        <f>IF('Current Index'!2189:2189,"AAAAAD30diM=",0)</f>
        <v>0</v>
      </c>
      <c r="AK44">
        <f>IF('Current Index'!2190:2190,"AAAAAD30diQ=",0)</f>
        <v>0</v>
      </c>
      <c r="AL44">
        <f>IF('Current Index'!2191:2191,"AAAAAD30diU=",0)</f>
        <v>0</v>
      </c>
      <c r="AM44">
        <f>IF('Current Index'!2192:2192,"AAAAAD30diY=",0)</f>
        <v>0</v>
      </c>
      <c r="AN44">
        <f>IF('Current Index'!2193:2193,"AAAAAD30dic=",0)</f>
        <v>0</v>
      </c>
      <c r="AO44">
        <f>IF('Current Index'!2194:2194,"AAAAAD30dig=",0)</f>
        <v>0</v>
      </c>
      <c r="AP44">
        <f>IF('Current Index'!2195:2195,"AAAAAD30dik=",0)</f>
        <v>0</v>
      </c>
      <c r="AQ44">
        <f>IF('Current Index'!2196:2196,"AAAAAD30dio=",0)</f>
        <v>0</v>
      </c>
      <c r="AR44">
        <f>IF('Current Index'!2197:2197,"AAAAAD30dis=",0)</f>
        <v>0</v>
      </c>
      <c r="AS44">
        <f>IF('Current Index'!2198:2198,"AAAAAD30diw=",0)</f>
        <v>0</v>
      </c>
      <c r="AT44">
        <f>IF('Current Index'!2199:2199,"AAAAAD30di0=",0)</f>
        <v>0</v>
      </c>
      <c r="AU44">
        <f>IF('Current Index'!2200:2200,"AAAAAD30di4=",0)</f>
        <v>0</v>
      </c>
      <c r="AV44">
        <f>IF('Current Index'!2201:2201,"AAAAAD30di8=",0)</f>
        <v>0</v>
      </c>
      <c r="AW44">
        <f>IF('Current Index'!2202:2202,"AAAAAD30djA=",0)</f>
        <v>0</v>
      </c>
      <c r="AX44">
        <f>IF('Current Index'!2203:2203,"AAAAAD30djE=",0)</f>
        <v>0</v>
      </c>
      <c r="AY44">
        <f>IF('Current Index'!2204:2204,"AAAAAD30djI=",0)</f>
        <v>0</v>
      </c>
      <c r="AZ44">
        <f>IF('Current Index'!2205:2205,"AAAAAD30djM=",0)</f>
        <v>0</v>
      </c>
      <c r="BA44">
        <f>IF('Current Index'!2206:2206,"AAAAAD30djQ=",0)</f>
        <v>0</v>
      </c>
      <c r="BB44">
        <f>IF('Current Index'!2207:2207,"AAAAAD30djU=",0)</f>
        <v>0</v>
      </c>
      <c r="BC44">
        <f>IF('Current Index'!2208:2208,"AAAAAD30djY=",0)</f>
        <v>0</v>
      </c>
      <c r="BD44">
        <f>IF('Current Index'!2209:2209,"AAAAAD30djc=",0)</f>
        <v>0</v>
      </c>
      <c r="BE44">
        <f>IF('Current Index'!2210:2210,"AAAAAD30djg=",0)</f>
        <v>0</v>
      </c>
      <c r="BF44">
        <f>IF('Current Index'!2211:2211,"AAAAAD30djk=",0)</f>
        <v>0</v>
      </c>
      <c r="BG44">
        <f>IF('Current Index'!2212:2212,"AAAAAD30djo=",0)</f>
        <v>0</v>
      </c>
      <c r="BH44">
        <f>IF('Current Index'!2213:2213,"AAAAAD30djs=",0)</f>
        <v>0</v>
      </c>
      <c r="BI44">
        <f>IF('Current Index'!2214:2214,"AAAAAD30djw=",0)</f>
        <v>0</v>
      </c>
      <c r="BJ44">
        <f>IF('Current Index'!2215:2215,"AAAAAD30dj0=",0)</f>
        <v>0</v>
      </c>
      <c r="BK44">
        <f>IF('Current Index'!2216:2216,"AAAAAD30dj4=",0)</f>
        <v>0</v>
      </c>
      <c r="BL44">
        <f>IF('Current Index'!2217:2217,"AAAAAD30dj8=",0)</f>
        <v>0</v>
      </c>
      <c r="BM44">
        <f>IF('Current Index'!2218:2218,"AAAAAD30dkA=",0)</f>
        <v>0</v>
      </c>
      <c r="BN44">
        <f>IF('Current Index'!2219:2219,"AAAAAD30dkE=",0)</f>
        <v>0</v>
      </c>
      <c r="BO44">
        <f>IF('Current Index'!2220:2220,"AAAAAD30dkI=",0)</f>
        <v>0</v>
      </c>
      <c r="BP44">
        <f>IF('Current Index'!A:A,"AAAAAD30dkM=",0)</f>
        <v>0</v>
      </c>
      <c r="BQ44" t="e">
        <f>IF('Current Index'!#REF!,"AAAAAD30dkQ=",0)</f>
        <v>#REF!</v>
      </c>
      <c r="BR44" t="e">
        <f>IF('Current Index'!B:B,"AAAAAD30dkU=",0)</f>
        <v>#VALUE!</v>
      </c>
      <c r="BS44" t="e">
        <f>IF('Current Index'!C:C,"AAAAAD30dkY=",0)</f>
        <v>#VALUE!</v>
      </c>
      <c r="BT44">
        <f>IF('Current Index'!D:D,"AAAAAD30dkc=",0)</f>
        <v>0</v>
      </c>
      <c r="BU44" t="e">
        <f>IF('Current Index'!E:E,"AAAAAD30dkg=",0)</f>
        <v>#VALUE!</v>
      </c>
      <c r="BV44" t="str">
        <f>IF('Current Index'!F:F,"AAAAAD30dkk=",0)</f>
        <v>AAAAAD30dkk=</v>
      </c>
      <c r="BW44" t="e">
        <f>IF('Current Index'!G:G,"AAAAAD30dko=",0)</f>
        <v>#VALUE!</v>
      </c>
      <c r="BX44" t="e">
        <f>IF('Current Index'!H:H,"AAAAAD30dks=",0)</f>
        <v>#VALUE!</v>
      </c>
      <c r="BY44">
        <f>IF('Current Index'!I:I,"AAAAAD30dkw=",0)</f>
        <v>0</v>
      </c>
      <c r="BZ44" t="e">
        <f>IF(#REF!,"AAAAAD30dk0=",0)</f>
        <v>#REF!</v>
      </c>
      <c r="CA44" t="e">
        <f>AND(#REF!,"AAAAAD30dk4=")</f>
        <v>#REF!</v>
      </c>
      <c r="CB44" t="e">
        <f>AND(#REF!,"AAAAAD30dk8=")</f>
        <v>#REF!</v>
      </c>
      <c r="CC44" t="e">
        <f>AND(#REF!,"AAAAAD30dlA=")</f>
        <v>#REF!</v>
      </c>
      <c r="CD44" t="e">
        <f>AND(#REF!,"AAAAAD30dlE=")</f>
        <v>#REF!</v>
      </c>
      <c r="CE44" t="e">
        <f>AND(#REF!,"AAAAAD30dlI=")</f>
        <v>#REF!</v>
      </c>
      <c r="CF44" t="e">
        <f>AND(#REF!,"AAAAAD30dlM=")</f>
        <v>#REF!</v>
      </c>
      <c r="CG44" t="e">
        <f>IF(#REF!,"AAAAAD30dlQ=",0)</f>
        <v>#REF!</v>
      </c>
      <c r="CH44" t="e">
        <f>AND(#REF!,"AAAAAD30dlU=")</f>
        <v>#REF!</v>
      </c>
      <c r="CI44" t="e">
        <f>AND(#REF!,"AAAAAD30dlY=")</f>
        <v>#REF!</v>
      </c>
      <c r="CJ44" t="e">
        <f>AND(#REF!,"AAAAAD30dlc=")</f>
        <v>#REF!</v>
      </c>
      <c r="CK44" t="e">
        <f>AND(#REF!,"AAAAAD30dlg=")</f>
        <v>#REF!</v>
      </c>
      <c r="CL44" t="e">
        <f>AND(#REF!,"AAAAAD30dlk=")</f>
        <v>#REF!</v>
      </c>
      <c r="CM44" t="e">
        <f>AND(#REF!,"AAAAAD30dlo=")</f>
        <v>#REF!</v>
      </c>
      <c r="CN44" t="e">
        <f>IF(#REF!,"AAAAAD30dls=",0)</f>
        <v>#REF!</v>
      </c>
      <c r="CO44" t="e">
        <f>AND(#REF!,"AAAAAD30dlw=")</f>
        <v>#REF!</v>
      </c>
      <c r="CP44" t="e">
        <f>AND(#REF!,"AAAAAD30dl0=")</f>
        <v>#REF!</v>
      </c>
      <c r="CQ44" t="e">
        <f>AND(#REF!,"AAAAAD30dl4=")</f>
        <v>#REF!</v>
      </c>
      <c r="CR44" t="e">
        <f>AND(#REF!,"AAAAAD30dl8=")</f>
        <v>#REF!</v>
      </c>
      <c r="CS44" t="e">
        <f>AND(#REF!,"AAAAAD30dmA=")</f>
        <v>#REF!</v>
      </c>
      <c r="CT44" t="e">
        <f>AND(#REF!,"AAAAAD30dmE=")</f>
        <v>#REF!</v>
      </c>
      <c r="CU44" t="e">
        <f>IF(#REF!,"AAAAAD30dmI=",0)</f>
        <v>#REF!</v>
      </c>
      <c r="CV44" t="e">
        <f>AND(#REF!,"AAAAAD30dmM=")</f>
        <v>#REF!</v>
      </c>
      <c r="CW44" t="e">
        <f>AND(#REF!,"AAAAAD30dmQ=")</f>
        <v>#REF!</v>
      </c>
      <c r="CX44" t="e">
        <f>AND(#REF!,"AAAAAD30dmU=")</f>
        <v>#REF!</v>
      </c>
      <c r="CY44" t="e">
        <f>AND(#REF!,"AAAAAD30dmY=")</f>
        <v>#REF!</v>
      </c>
      <c r="CZ44" t="e">
        <f>AND(#REF!,"AAAAAD30dmc=")</f>
        <v>#REF!</v>
      </c>
      <c r="DA44" t="e">
        <f>AND(#REF!,"AAAAAD30dmg=")</f>
        <v>#REF!</v>
      </c>
      <c r="DB44" t="e">
        <f>IF(#REF!,"AAAAAD30dmk=",0)</f>
        <v>#REF!</v>
      </c>
      <c r="DC44" t="e">
        <f>AND(#REF!,"AAAAAD30dmo=")</f>
        <v>#REF!</v>
      </c>
      <c r="DD44" t="e">
        <f>AND(#REF!,"AAAAAD30dms=")</f>
        <v>#REF!</v>
      </c>
      <c r="DE44" t="e">
        <f>AND(#REF!,"AAAAAD30dmw=")</f>
        <v>#REF!</v>
      </c>
      <c r="DF44" t="e">
        <f>AND(#REF!,"AAAAAD30dm0=")</f>
        <v>#REF!</v>
      </c>
      <c r="DG44" t="e">
        <f>AND(#REF!,"AAAAAD30dm4=")</f>
        <v>#REF!</v>
      </c>
      <c r="DH44" t="e">
        <f>AND(#REF!,"AAAAAD30dm8=")</f>
        <v>#REF!</v>
      </c>
      <c r="DI44" t="e">
        <f>IF(#REF!,"AAAAAD30dnA=",0)</f>
        <v>#REF!</v>
      </c>
      <c r="DJ44" t="e">
        <f>AND(#REF!,"AAAAAD30dnE=")</f>
        <v>#REF!</v>
      </c>
      <c r="DK44" t="e">
        <f>AND(#REF!,"AAAAAD30dnI=")</f>
        <v>#REF!</v>
      </c>
      <c r="DL44" t="e">
        <f>AND(#REF!,"AAAAAD30dnM=")</f>
        <v>#REF!</v>
      </c>
      <c r="DM44" t="e">
        <f>AND(#REF!,"AAAAAD30dnQ=")</f>
        <v>#REF!</v>
      </c>
      <c r="DN44" t="e">
        <f>AND(#REF!,"AAAAAD30dnU=")</f>
        <v>#REF!</v>
      </c>
      <c r="DO44" t="e">
        <f>AND(#REF!,"AAAAAD30dnY=")</f>
        <v>#REF!</v>
      </c>
      <c r="DP44" t="e">
        <f>IF(#REF!,"AAAAAD30dnc=",0)</f>
        <v>#REF!</v>
      </c>
      <c r="DQ44" t="e">
        <f>AND(#REF!,"AAAAAD30dng=")</f>
        <v>#REF!</v>
      </c>
      <c r="DR44" t="e">
        <f>AND(#REF!,"AAAAAD30dnk=")</f>
        <v>#REF!</v>
      </c>
      <c r="DS44" t="e">
        <f>AND(#REF!,"AAAAAD30dno=")</f>
        <v>#REF!</v>
      </c>
      <c r="DT44" t="e">
        <f>AND(#REF!,"AAAAAD30dns=")</f>
        <v>#REF!</v>
      </c>
      <c r="DU44" t="e">
        <f>AND(#REF!,"AAAAAD30dnw=")</f>
        <v>#REF!</v>
      </c>
      <c r="DV44" t="e">
        <f>AND(#REF!,"AAAAAD30dn0=")</f>
        <v>#REF!</v>
      </c>
      <c r="DW44" t="e">
        <f>IF(#REF!,"AAAAAD30dn4=",0)</f>
        <v>#REF!</v>
      </c>
      <c r="DX44" t="e">
        <f>AND(#REF!,"AAAAAD30dn8=")</f>
        <v>#REF!</v>
      </c>
      <c r="DY44" t="e">
        <f>AND(#REF!,"AAAAAD30doA=")</f>
        <v>#REF!</v>
      </c>
      <c r="DZ44" t="e">
        <f>AND(#REF!,"AAAAAD30doE=")</f>
        <v>#REF!</v>
      </c>
      <c r="EA44" t="e">
        <f>AND(#REF!,"AAAAAD30doI=")</f>
        <v>#REF!</v>
      </c>
      <c r="EB44" t="e">
        <f>AND(#REF!,"AAAAAD30doM=")</f>
        <v>#REF!</v>
      </c>
      <c r="EC44" t="e">
        <f>AND(#REF!,"AAAAAD30doQ=")</f>
        <v>#REF!</v>
      </c>
      <c r="ED44" t="e">
        <f>IF(#REF!,"AAAAAD30doU=",0)</f>
        <v>#REF!</v>
      </c>
      <c r="EE44" t="e">
        <f>AND(#REF!,"AAAAAD30doY=")</f>
        <v>#REF!</v>
      </c>
      <c r="EF44" t="e">
        <f>AND(#REF!,"AAAAAD30doc=")</f>
        <v>#REF!</v>
      </c>
      <c r="EG44" t="e">
        <f>AND(#REF!,"AAAAAD30dog=")</f>
        <v>#REF!</v>
      </c>
      <c r="EH44" t="e">
        <f>AND(#REF!,"AAAAAD30dok=")</f>
        <v>#REF!</v>
      </c>
      <c r="EI44" t="e">
        <f>AND(#REF!,"AAAAAD30doo=")</f>
        <v>#REF!</v>
      </c>
      <c r="EJ44" t="e">
        <f>AND(#REF!,"AAAAAD30dos=")</f>
        <v>#REF!</v>
      </c>
      <c r="EK44" t="e">
        <f>IF(#REF!,"AAAAAD30dow=",0)</f>
        <v>#REF!</v>
      </c>
      <c r="EL44" t="e">
        <f>AND(#REF!,"AAAAAD30do0=")</f>
        <v>#REF!</v>
      </c>
      <c r="EM44" t="e">
        <f>AND(#REF!,"AAAAAD30do4=")</f>
        <v>#REF!</v>
      </c>
      <c r="EN44" t="e">
        <f>AND(#REF!,"AAAAAD30do8=")</f>
        <v>#REF!</v>
      </c>
      <c r="EO44" t="e">
        <f>AND(#REF!,"AAAAAD30dpA=")</f>
        <v>#REF!</v>
      </c>
      <c r="EP44" t="e">
        <f>AND(#REF!,"AAAAAD30dpE=")</f>
        <v>#REF!</v>
      </c>
      <c r="EQ44" t="e">
        <f>AND(#REF!,"AAAAAD30dpI=")</f>
        <v>#REF!</v>
      </c>
      <c r="ER44" t="e">
        <f>IF(#REF!,"AAAAAD30dpM=",0)</f>
        <v>#REF!</v>
      </c>
      <c r="ES44" t="e">
        <f>AND(#REF!,"AAAAAD30dpQ=")</f>
        <v>#REF!</v>
      </c>
      <c r="ET44" t="e">
        <f>AND(#REF!,"AAAAAD30dpU=")</f>
        <v>#REF!</v>
      </c>
      <c r="EU44" t="e">
        <f>AND(#REF!,"AAAAAD30dpY=")</f>
        <v>#REF!</v>
      </c>
      <c r="EV44" t="e">
        <f>AND(#REF!,"AAAAAD30dpc=")</f>
        <v>#REF!</v>
      </c>
      <c r="EW44" t="e">
        <f>AND(#REF!,"AAAAAD30dpg=")</f>
        <v>#REF!</v>
      </c>
      <c r="EX44" t="e">
        <f>AND(#REF!,"AAAAAD30dpk=")</f>
        <v>#REF!</v>
      </c>
      <c r="EY44" t="e">
        <f>IF(#REF!,"AAAAAD30dpo=",0)</f>
        <v>#REF!</v>
      </c>
      <c r="EZ44" t="e">
        <f>AND(#REF!,"AAAAAD30dps=")</f>
        <v>#REF!</v>
      </c>
      <c r="FA44" t="e">
        <f>AND(#REF!,"AAAAAD30dpw=")</f>
        <v>#REF!</v>
      </c>
      <c r="FB44" t="e">
        <f>AND(#REF!,"AAAAAD30dp0=")</f>
        <v>#REF!</v>
      </c>
      <c r="FC44" t="e">
        <f>AND(#REF!,"AAAAAD30dp4=")</f>
        <v>#REF!</v>
      </c>
      <c r="FD44" t="e">
        <f>AND(#REF!,"AAAAAD30dp8=")</f>
        <v>#REF!</v>
      </c>
      <c r="FE44" t="e">
        <f>AND(#REF!,"AAAAAD30dqA=")</f>
        <v>#REF!</v>
      </c>
      <c r="FF44" t="e">
        <f>IF(#REF!,"AAAAAD30dqE=",0)</f>
        <v>#REF!</v>
      </c>
      <c r="FG44" t="e">
        <f>AND(#REF!,"AAAAAD30dqI=")</f>
        <v>#REF!</v>
      </c>
      <c r="FH44" t="e">
        <f>AND(#REF!,"AAAAAD30dqM=")</f>
        <v>#REF!</v>
      </c>
      <c r="FI44" t="e">
        <f>AND(#REF!,"AAAAAD30dqQ=")</f>
        <v>#REF!</v>
      </c>
      <c r="FJ44" t="e">
        <f>AND(#REF!,"AAAAAD30dqU=")</f>
        <v>#REF!</v>
      </c>
      <c r="FK44" t="e">
        <f>AND(#REF!,"AAAAAD30dqY=")</f>
        <v>#REF!</v>
      </c>
      <c r="FL44" t="e">
        <f>AND(#REF!,"AAAAAD30dqc=")</f>
        <v>#REF!</v>
      </c>
      <c r="FM44" t="e">
        <f>IF(#REF!,"AAAAAD30dqg=",0)</f>
        <v>#REF!</v>
      </c>
      <c r="FN44" t="e">
        <f>AND(#REF!,"AAAAAD30dqk=")</f>
        <v>#REF!</v>
      </c>
      <c r="FO44" t="e">
        <f>AND(#REF!,"AAAAAD30dqo=")</f>
        <v>#REF!</v>
      </c>
      <c r="FP44" t="e">
        <f>AND(#REF!,"AAAAAD30dqs=")</f>
        <v>#REF!</v>
      </c>
      <c r="FQ44" t="e">
        <f>AND(#REF!,"AAAAAD30dqw=")</f>
        <v>#REF!</v>
      </c>
      <c r="FR44" t="e">
        <f>AND(#REF!,"AAAAAD30dq0=")</f>
        <v>#REF!</v>
      </c>
      <c r="FS44" t="e">
        <f>AND(#REF!,"AAAAAD30dq4=")</f>
        <v>#REF!</v>
      </c>
      <c r="FT44" t="e">
        <f>IF(#REF!,"AAAAAD30dq8=",0)</f>
        <v>#REF!</v>
      </c>
      <c r="FU44" t="e">
        <f>AND(#REF!,"AAAAAD30drA=")</f>
        <v>#REF!</v>
      </c>
      <c r="FV44" t="e">
        <f>AND(#REF!,"AAAAAD30drE=")</f>
        <v>#REF!</v>
      </c>
      <c r="FW44" t="e">
        <f>AND(#REF!,"AAAAAD30drI=")</f>
        <v>#REF!</v>
      </c>
      <c r="FX44" t="e">
        <f>AND(#REF!,"AAAAAD30drM=")</f>
        <v>#REF!</v>
      </c>
      <c r="FY44" t="e">
        <f>AND(#REF!,"AAAAAD30drQ=")</f>
        <v>#REF!</v>
      </c>
      <c r="FZ44" t="e">
        <f>AND(#REF!,"AAAAAD30drU=")</f>
        <v>#REF!</v>
      </c>
      <c r="GA44" t="e">
        <f>IF(#REF!,"AAAAAD30drY=",0)</f>
        <v>#REF!</v>
      </c>
      <c r="GB44" t="e">
        <f>AND(#REF!,"AAAAAD30drc=")</f>
        <v>#REF!</v>
      </c>
      <c r="GC44" t="e">
        <f>AND(#REF!,"AAAAAD30drg=")</f>
        <v>#REF!</v>
      </c>
      <c r="GD44" t="e">
        <f>AND(#REF!,"AAAAAD30drk=")</f>
        <v>#REF!</v>
      </c>
      <c r="GE44" t="e">
        <f>AND(#REF!,"AAAAAD30dro=")</f>
        <v>#REF!</v>
      </c>
      <c r="GF44" t="e">
        <f>AND(#REF!,"AAAAAD30drs=")</f>
        <v>#REF!</v>
      </c>
      <c r="GG44" t="e">
        <f>AND(#REF!,"AAAAAD30drw=")</f>
        <v>#REF!</v>
      </c>
      <c r="GH44" t="e">
        <f>IF(#REF!,"AAAAAD30dr0=",0)</f>
        <v>#REF!</v>
      </c>
      <c r="GI44" t="e">
        <f>AND(#REF!,"AAAAAD30dr4=")</f>
        <v>#REF!</v>
      </c>
      <c r="GJ44" t="e">
        <f>AND(#REF!,"AAAAAD30dr8=")</f>
        <v>#REF!</v>
      </c>
      <c r="GK44" t="e">
        <f>AND(#REF!,"AAAAAD30dsA=")</f>
        <v>#REF!</v>
      </c>
      <c r="GL44" t="e">
        <f>AND(#REF!,"AAAAAD30dsE=")</f>
        <v>#REF!</v>
      </c>
      <c r="GM44" t="e">
        <f>AND(#REF!,"AAAAAD30dsI=")</f>
        <v>#REF!</v>
      </c>
      <c r="GN44" t="e">
        <f>AND(#REF!,"AAAAAD30dsM=")</f>
        <v>#REF!</v>
      </c>
      <c r="GO44" t="e">
        <f>IF(#REF!,"AAAAAD30dsQ=",0)</f>
        <v>#REF!</v>
      </c>
      <c r="GP44" t="e">
        <f>AND(#REF!,"AAAAAD30dsU=")</f>
        <v>#REF!</v>
      </c>
      <c r="GQ44" t="e">
        <f>AND(#REF!,"AAAAAD30dsY=")</f>
        <v>#REF!</v>
      </c>
      <c r="GR44" t="e">
        <f>AND(#REF!,"AAAAAD30dsc=")</f>
        <v>#REF!</v>
      </c>
      <c r="GS44" t="e">
        <f>AND(#REF!,"AAAAAD30dsg=")</f>
        <v>#REF!</v>
      </c>
      <c r="GT44" t="e">
        <f>AND(#REF!,"AAAAAD30dsk=")</f>
        <v>#REF!</v>
      </c>
      <c r="GU44" t="e">
        <f>AND(#REF!,"AAAAAD30dso=")</f>
        <v>#REF!</v>
      </c>
      <c r="GV44" t="e">
        <f>IF(#REF!,"AAAAAD30dss=",0)</f>
        <v>#REF!</v>
      </c>
      <c r="GW44" t="e">
        <f>AND(#REF!,"AAAAAD30dsw=")</f>
        <v>#REF!</v>
      </c>
      <c r="GX44" t="e">
        <f>AND(#REF!,"AAAAAD30ds0=")</f>
        <v>#REF!</v>
      </c>
      <c r="GY44" t="e">
        <f>AND(#REF!,"AAAAAD30ds4=")</f>
        <v>#REF!</v>
      </c>
      <c r="GZ44" t="e">
        <f>AND(#REF!,"AAAAAD30ds8=")</f>
        <v>#REF!</v>
      </c>
      <c r="HA44" t="e">
        <f>AND(#REF!,"AAAAAD30dtA=")</f>
        <v>#REF!</v>
      </c>
      <c r="HB44" t="e">
        <f>AND(#REF!,"AAAAAD30dtE=")</f>
        <v>#REF!</v>
      </c>
      <c r="HC44" t="e">
        <f>IF(#REF!,"AAAAAD30dtI=",0)</f>
        <v>#REF!</v>
      </c>
      <c r="HD44" t="e">
        <f>AND(#REF!,"AAAAAD30dtM=")</f>
        <v>#REF!</v>
      </c>
      <c r="HE44" t="e">
        <f>AND(#REF!,"AAAAAD30dtQ=")</f>
        <v>#REF!</v>
      </c>
      <c r="HF44" t="e">
        <f>AND(#REF!,"AAAAAD30dtU=")</f>
        <v>#REF!</v>
      </c>
      <c r="HG44" t="e">
        <f>AND(#REF!,"AAAAAD30dtY=")</f>
        <v>#REF!</v>
      </c>
      <c r="HH44" t="e">
        <f>AND(#REF!,"AAAAAD30dtc=")</f>
        <v>#REF!</v>
      </c>
      <c r="HI44" t="e">
        <f>AND(#REF!,"AAAAAD30dtg=")</f>
        <v>#REF!</v>
      </c>
      <c r="HJ44" t="e">
        <f>IF(#REF!,"AAAAAD30dtk=",0)</f>
        <v>#REF!</v>
      </c>
      <c r="HK44" t="e">
        <f>AND(#REF!,"AAAAAD30dto=")</f>
        <v>#REF!</v>
      </c>
      <c r="HL44" t="e">
        <f>AND(#REF!,"AAAAAD30dts=")</f>
        <v>#REF!</v>
      </c>
      <c r="HM44" t="e">
        <f>AND(#REF!,"AAAAAD30dtw=")</f>
        <v>#REF!</v>
      </c>
      <c r="HN44" t="e">
        <f>AND(#REF!,"AAAAAD30dt0=")</f>
        <v>#REF!</v>
      </c>
      <c r="HO44" t="e">
        <f>AND(#REF!,"AAAAAD30dt4=")</f>
        <v>#REF!</v>
      </c>
      <c r="HP44" t="e">
        <f>AND(#REF!,"AAAAAD30dt8=")</f>
        <v>#REF!</v>
      </c>
      <c r="HQ44" t="e">
        <f>IF(#REF!,"AAAAAD30duA=",0)</f>
        <v>#REF!</v>
      </c>
      <c r="HR44" t="e">
        <f>AND(#REF!,"AAAAAD30duE=")</f>
        <v>#REF!</v>
      </c>
      <c r="HS44" t="e">
        <f>AND(#REF!,"AAAAAD30duI=")</f>
        <v>#REF!</v>
      </c>
      <c r="HT44" t="e">
        <f>AND(#REF!,"AAAAAD30duM=")</f>
        <v>#REF!</v>
      </c>
      <c r="HU44" t="e">
        <f>AND(#REF!,"AAAAAD30duQ=")</f>
        <v>#REF!</v>
      </c>
      <c r="HV44" t="e">
        <f>AND(#REF!,"AAAAAD30duU=")</f>
        <v>#REF!</v>
      </c>
      <c r="HW44" t="e">
        <f>AND(#REF!,"AAAAAD30duY=")</f>
        <v>#REF!</v>
      </c>
      <c r="HX44" t="e">
        <f>IF(#REF!,"AAAAAD30duc=",0)</f>
        <v>#REF!</v>
      </c>
      <c r="HY44" t="e">
        <f>AND(#REF!,"AAAAAD30dug=")</f>
        <v>#REF!</v>
      </c>
      <c r="HZ44" t="e">
        <f>AND(#REF!,"AAAAAD30duk=")</f>
        <v>#REF!</v>
      </c>
      <c r="IA44" t="e">
        <f>AND(#REF!,"AAAAAD30duo=")</f>
        <v>#REF!</v>
      </c>
      <c r="IB44" t="e">
        <f>AND(#REF!,"AAAAAD30dus=")</f>
        <v>#REF!</v>
      </c>
      <c r="IC44" t="e">
        <f>AND(#REF!,"AAAAAD30duw=")</f>
        <v>#REF!</v>
      </c>
      <c r="ID44" t="e">
        <f>AND(#REF!,"AAAAAD30du0=")</f>
        <v>#REF!</v>
      </c>
      <c r="IE44" t="e">
        <f>IF(#REF!,"AAAAAD30du4=",0)</f>
        <v>#REF!</v>
      </c>
      <c r="IF44" t="e">
        <f>AND(#REF!,"AAAAAD30du8=")</f>
        <v>#REF!</v>
      </c>
      <c r="IG44" t="e">
        <f>AND(#REF!,"AAAAAD30dvA=")</f>
        <v>#REF!</v>
      </c>
      <c r="IH44" t="e">
        <f>AND(#REF!,"AAAAAD30dvE=")</f>
        <v>#REF!</v>
      </c>
      <c r="II44" t="e">
        <f>AND(#REF!,"AAAAAD30dvI=")</f>
        <v>#REF!</v>
      </c>
      <c r="IJ44" t="e">
        <f>AND(#REF!,"AAAAAD30dvM=")</f>
        <v>#REF!</v>
      </c>
      <c r="IK44" t="e">
        <f>AND(#REF!,"AAAAAD30dvQ=")</f>
        <v>#REF!</v>
      </c>
      <c r="IL44" t="e">
        <f>IF(#REF!,"AAAAAD30dvU=",0)</f>
        <v>#REF!</v>
      </c>
      <c r="IM44" t="e">
        <f>AND(#REF!,"AAAAAD30dvY=")</f>
        <v>#REF!</v>
      </c>
      <c r="IN44" t="e">
        <f>AND(#REF!,"AAAAAD30dvc=")</f>
        <v>#REF!</v>
      </c>
      <c r="IO44" t="e">
        <f>AND(#REF!,"AAAAAD30dvg=")</f>
        <v>#REF!</v>
      </c>
      <c r="IP44" t="e">
        <f>AND(#REF!,"AAAAAD30dvk=")</f>
        <v>#REF!</v>
      </c>
      <c r="IQ44" t="e">
        <f>AND(#REF!,"AAAAAD30dvo=")</f>
        <v>#REF!</v>
      </c>
      <c r="IR44" t="e">
        <f>AND(#REF!,"AAAAAD30dvs=")</f>
        <v>#REF!</v>
      </c>
      <c r="IS44" t="e">
        <f>IF(#REF!,"AAAAAD30dvw=",0)</f>
        <v>#REF!</v>
      </c>
      <c r="IT44" t="e">
        <f>AND(#REF!,"AAAAAD30dv0=")</f>
        <v>#REF!</v>
      </c>
      <c r="IU44" t="e">
        <f>AND(#REF!,"AAAAAD30dv4=")</f>
        <v>#REF!</v>
      </c>
      <c r="IV44" t="e">
        <f>AND(#REF!,"AAAAAD30dv8=")</f>
        <v>#REF!</v>
      </c>
    </row>
    <row r="45" spans="1:256" x14ac:dyDescent="0.25">
      <c r="A45" t="e">
        <f>AND(#REF!,"AAAAAF3z7wA=")</f>
        <v>#REF!</v>
      </c>
      <c r="B45" t="e">
        <f>AND(#REF!,"AAAAAF3z7wE=")</f>
        <v>#REF!</v>
      </c>
      <c r="C45" t="e">
        <f>AND(#REF!,"AAAAAF3z7wI=")</f>
        <v>#REF!</v>
      </c>
      <c r="D45" t="e">
        <f>IF(#REF!,"AAAAAF3z7wM=",0)</f>
        <v>#REF!</v>
      </c>
      <c r="E45" t="e">
        <f>AND(#REF!,"AAAAAF3z7wQ=")</f>
        <v>#REF!</v>
      </c>
      <c r="F45" t="e">
        <f>AND(#REF!,"AAAAAF3z7wU=")</f>
        <v>#REF!</v>
      </c>
      <c r="G45" t="e">
        <f>AND(#REF!,"AAAAAF3z7wY=")</f>
        <v>#REF!</v>
      </c>
      <c r="H45" t="e">
        <f>AND(#REF!,"AAAAAF3z7wc=")</f>
        <v>#REF!</v>
      </c>
      <c r="I45" t="e">
        <f>AND(#REF!,"AAAAAF3z7wg=")</f>
        <v>#REF!</v>
      </c>
      <c r="J45" t="e">
        <f>AND(#REF!,"AAAAAF3z7wk=")</f>
        <v>#REF!</v>
      </c>
      <c r="K45" t="e">
        <f>IF(#REF!,"AAAAAF3z7wo=",0)</f>
        <v>#REF!</v>
      </c>
      <c r="L45" t="e">
        <f>AND(#REF!,"AAAAAF3z7ws=")</f>
        <v>#REF!</v>
      </c>
      <c r="M45" t="e">
        <f>AND(#REF!,"AAAAAF3z7ww=")</f>
        <v>#REF!</v>
      </c>
      <c r="N45" t="e">
        <f>AND(#REF!,"AAAAAF3z7w0=")</f>
        <v>#REF!</v>
      </c>
      <c r="O45" t="e">
        <f>AND(#REF!,"AAAAAF3z7w4=")</f>
        <v>#REF!</v>
      </c>
      <c r="P45" t="e">
        <f>AND(#REF!,"AAAAAF3z7w8=")</f>
        <v>#REF!</v>
      </c>
      <c r="Q45" t="e">
        <f>AND(#REF!,"AAAAAF3z7xA=")</f>
        <v>#REF!</v>
      </c>
      <c r="R45" t="e">
        <f>IF(#REF!,"AAAAAF3z7xE=",0)</f>
        <v>#REF!</v>
      </c>
      <c r="S45" t="e">
        <f>AND(#REF!,"AAAAAF3z7xI=")</f>
        <v>#REF!</v>
      </c>
      <c r="T45" t="e">
        <f>AND(#REF!,"AAAAAF3z7xM=")</f>
        <v>#REF!</v>
      </c>
      <c r="U45" t="e">
        <f>AND(#REF!,"AAAAAF3z7xQ=")</f>
        <v>#REF!</v>
      </c>
      <c r="V45" t="e">
        <f>AND(#REF!,"AAAAAF3z7xU=")</f>
        <v>#REF!</v>
      </c>
      <c r="W45" t="e">
        <f>AND(#REF!,"AAAAAF3z7xY=")</f>
        <v>#REF!</v>
      </c>
      <c r="X45" t="e">
        <f>AND(#REF!,"AAAAAF3z7xc=")</f>
        <v>#REF!</v>
      </c>
      <c r="Y45" t="e">
        <f>IF(#REF!,"AAAAAF3z7xg=",0)</f>
        <v>#REF!</v>
      </c>
      <c r="Z45" t="e">
        <f>AND(#REF!,"AAAAAF3z7xk=")</f>
        <v>#REF!</v>
      </c>
      <c r="AA45" t="e">
        <f>AND(#REF!,"AAAAAF3z7xo=")</f>
        <v>#REF!</v>
      </c>
      <c r="AB45" t="e">
        <f>AND(#REF!,"AAAAAF3z7xs=")</f>
        <v>#REF!</v>
      </c>
      <c r="AC45" t="e">
        <f>AND(#REF!,"AAAAAF3z7xw=")</f>
        <v>#REF!</v>
      </c>
      <c r="AD45" t="e">
        <f>AND(#REF!,"AAAAAF3z7x0=")</f>
        <v>#REF!</v>
      </c>
      <c r="AE45" t="e">
        <f>AND(#REF!,"AAAAAF3z7x4=")</f>
        <v>#REF!</v>
      </c>
      <c r="AF45" t="e">
        <f>IF(#REF!,"AAAAAF3z7x8=",0)</f>
        <v>#REF!</v>
      </c>
      <c r="AG45" t="e">
        <f>AND(#REF!,"AAAAAF3z7yA=")</f>
        <v>#REF!</v>
      </c>
      <c r="AH45" t="e">
        <f>AND(#REF!,"AAAAAF3z7yE=")</f>
        <v>#REF!</v>
      </c>
      <c r="AI45" t="e">
        <f>AND(#REF!,"AAAAAF3z7yI=")</f>
        <v>#REF!</v>
      </c>
      <c r="AJ45" t="e">
        <f>AND(#REF!,"AAAAAF3z7yM=")</f>
        <v>#REF!</v>
      </c>
      <c r="AK45" t="e">
        <f>AND(#REF!,"AAAAAF3z7yQ=")</f>
        <v>#REF!</v>
      </c>
      <c r="AL45" t="e">
        <f>AND(#REF!,"AAAAAF3z7yU=")</f>
        <v>#REF!</v>
      </c>
      <c r="AM45" t="e">
        <f>IF(#REF!,"AAAAAF3z7yY=",0)</f>
        <v>#REF!</v>
      </c>
      <c r="AN45" t="e">
        <f>AND(#REF!,"AAAAAF3z7yc=")</f>
        <v>#REF!</v>
      </c>
      <c r="AO45" t="e">
        <f>AND(#REF!,"AAAAAF3z7yg=")</f>
        <v>#REF!</v>
      </c>
      <c r="AP45" t="e">
        <f>AND(#REF!,"AAAAAF3z7yk=")</f>
        <v>#REF!</v>
      </c>
      <c r="AQ45" t="e">
        <f>AND(#REF!,"AAAAAF3z7yo=")</f>
        <v>#REF!</v>
      </c>
      <c r="AR45" t="e">
        <f>AND(#REF!,"AAAAAF3z7ys=")</f>
        <v>#REF!</v>
      </c>
      <c r="AS45" t="e">
        <f>AND(#REF!,"AAAAAF3z7yw=")</f>
        <v>#REF!</v>
      </c>
      <c r="AT45" t="e">
        <f>IF(#REF!,"AAAAAF3z7y0=",0)</f>
        <v>#REF!</v>
      </c>
      <c r="AU45" t="e">
        <f>AND(#REF!,"AAAAAF3z7y4=")</f>
        <v>#REF!</v>
      </c>
      <c r="AV45" t="e">
        <f>AND(#REF!,"AAAAAF3z7y8=")</f>
        <v>#REF!</v>
      </c>
      <c r="AW45" t="e">
        <f>AND(#REF!,"AAAAAF3z7zA=")</f>
        <v>#REF!</v>
      </c>
      <c r="AX45" t="e">
        <f>AND(#REF!,"AAAAAF3z7zE=")</f>
        <v>#REF!</v>
      </c>
      <c r="AY45" t="e">
        <f>AND(#REF!,"AAAAAF3z7zI=")</f>
        <v>#REF!</v>
      </c>
      <c r="AZ45" t="e">
        <f>AND(#REF!,"AAAAAF3z7zM=")</f>
        <v>#REF!</v>
      </c>
      <c r="BA45" t="e">
        <f>IF(#REF!,"AAAAAF3z7zQ=",0)</f>
        <v>#REF!</v>
      </c>
      <c r="BB45" t="e">
        <f>AND(#REF!,"AAAAAF3z7zU=")</f>
        <v>#REF!</v>
      </c>
      <c r="BC45" t="e">
        <f>AND(#REF!,"AAAAAF3z7zY=")</f>
        <v>#REF!</v>
      </c>
      <c r="BD45" t="e">
        <f>AND(#REF!,"AAAAAF3z7zc=")</f>
        <v>#REF!</v>
      </c>
      <c r="BE45" t="e">
        <f>AND(#REF!,"AAAAAF3z7zg=")</f>
        <v>#REF!</v>
      </c>
      <c r="BF45" t="e">
        <f>AND(#REF!,"AAAAAF3z7zk=")</f>
        <v>#REF!</v>
      </c>
      <c r="BG45" t="e">
        <f>AND(#REF!,"AAAAAF3z7zo=")</f>
        <v>#REF!</v>
      </c>
      <c r="BH45" t="e">
        <f>IF(#REF!,"AAAAAF3z7zs=",0)</f>
        <v>#REF!</v>
      </c>
      <c r="BI45" t="e">
        <f>AND(#REF!,"AAAAAF3z7zw=")</f>
        <v>#REF!</v>
      </c>
      <c r="BJ45" t="e">
        <f>AND(#REF!,"AAAAAF3z7z0=")</f>
        <v>#REF!</v>
      </c>
      <c r="BK45" t="e">
        <f>AND(#REF!,"AAAAAF3z7z4=")</f>
        <v>#REF!</v>
      </c>
      <c r="BL45" t="e">
        <f>AND(#REF!,"AAAAAF3z7z8=")</f>
        <v>#REF!</v>
      </c>
      <c r="BM45" t="e">
        <f>AND(#REF!,"AAAAAF3z70A=")</f>
        <v>#REF!</v>
      </c>
      <c r="BN45" t="e">
        <f>AND(#REF!,"AAAAAF3z70E=")</f>
        <v>#REF!</v>
      </c>
      <c r="BO45" t="e">
        <f>IF(#REF!,"AAAAAF3z70I=",0)</f>
        <v>#REF!</v>
      </c>
      <c r="BP45" t="e">
        <f>AND(#REF!,"AAAAAF3z70M=")</f>
        <v>#REF!</v>
      </c>
      <c r="BQ45" t="e">
        <f>AND(#REF!,"AAAAAF3z70Q=")</f>
        <v>#REF!</v>
      </c>
      <c r="BR45" t="e">
        <f>AND(#REF!,"AAAAAF3z70U=")</f>
        <v>#REF!</v>
      </c>
      <c r="BS45" t="e">
        <f>AND(#REF!,"AAAAAF3z70Y=")</f>
        <v>#REF!</v>
      </c>
      <c r="BT45" t="e">
        <f>AND(#REF!,"AAAAAF3z70c=")</f>
        <v>#REF!</v>
      </c>
      <c r="BU45" t="e">
        <f>AND(#REF!,"AAAAAF3z70g=")</f>
        <v>#REF!</v>
      </c>
      <c r="BV45" t="e">
        <f>IF(#REF!,"AAAAAF3z70k=",0)</f>
        <v>#REF!</v>
      </c>
      <c r="BW45" t="e">
        <f>AND(#REF!,"AAAAAF3z70o=")</f>
        <v>#REF!</v>
      </c>
      <c r="BX45" t="e">
        <f>AND(#REF!,"AAAAAF3z70s=")</f>
        <v>#REF!</v>
      </c>
      <c r="BY45" t="e">
        <f>AND(#REF!,"AAAAAF3z70w=")</f>
        <v>#REF!</v>
      </c>
      <c r="BZ45" t="e">
        <f>AND(#REF!,"AAAAAF3z700=")</f>
        <v>#REF!</v>
      </c>
      <c r="CA45" t="e">
        <f>AND(#REF!,"AAAAAF3z704=")</f>
        <v>#REF!</v>
      </c>
      <c r="CB45" t="e">
        <f>AND(#REF!,"AAAAAF3z708=")</f>
        <v>#REF!</v>
      </c>
      <c r="CC45" t="e">
        <f>IF(#REF!,"AAAAAF3z71A=",0)</f>
        <v>#REF!</v>
      </c>
      <c r="CD45" t="e">
        <f>AND(#REF!,"AAAAAF3z71E=")</f>
        <v>#REF!</v>
      </c>
      <c r="CE45" t="e">
        <f>AND(#REF!,"AAAAAF3z71I=")</f>
        <v>#REF!</v>
      </c>
      <c r="CF45" t="e">
        <f>AND(#REF!,"AAAAAF3z71M=")</f>
        <v>#REF!</v>
      </c>
      <c r="CG45" t="e">
        <f>AND(#REF!,"AAAAAF3z71Q=")</f>
        <v>#REF!</v>
      </c>
      <c r="CH45" t="e">
        <f>AND(#REF!,"AAAAAF3z71U=")</f>
        <v>#REF!</v>
      </c>
      <c r="CI45" t="e">
        <f>AND(#REF!,"AAAAAF3z71Y=")</f>
        <v>#REF!</v>
      </c>
      <c r="CJ45" t="e">
        <f>IF(#REF!,"AAAAAF3z71c=",0)</f>
        <v>#REF!</v>
      </c>
      <c r="CK45" t="e">
        <f>AND(#REF!,"AAAAAF3z71g=")</f>
        <v>#REF!</v>
      </c>
      <c r="CL45" t="e">
        <f>AND(#REF!,"AAAAAF3z71k=")</f>
        <v>#REF!</v>
      </c>
      <c r="CM45" t="e">
        <f>AND(#REF!,"AAAAAF3z71o=")</f>
        <v>#REF!</v>
      </c>
      <c r="CN45" t="e">
        <f>AND(#REF!,"AAAAAF3z71s=")</f>
        <v>#REF!</v>
      </c>
      <c r="CO45" t="e">
        <f>AND(#REF!,"AAAAAF3z71w=")</f>
        <v>#REF!</v>
      </c>
      <c r="CP45" t="e">
        <f>AND(#REF!,"AAAAAF3z710=")</f>
        <v>#REF!</v>
      </c>
      <c r="CQ45" t="e">
        <f>IF(#REF!,"AAAAAF3z714=",0)</f>
        <v>#REF!</v>
      </c>
      <c r="CR45" t="e">
        <f>AND(#REF!,"AAAAAF3z718=")</f>
        <v>#REF!</v>
      </c>
      <c r="CS45" t="e">
        <f>AND(#REF!,"AAAAAF3z72A=")</f>
        <v>#REF!</v>
      </c>
      <c r="CT45" t="e">
        <f>AND(#REF!,"AAAAAF3z72E=")</f>
        <v>#REF!</v>
      </c>
      <c r="CU45" t="e">
        <f>AND(#REF!,"AAAAAF3z72I=")</f>
        <v>#REF!</v>
      </c>
      <c r="CV45" t="e">
        <f>AND(#REF!,"AAAAAF3z72M=")</f>
        <v>#REF!</v>
      </c>
      <c r="CW45" t="e">
        <f>AND(#REF!,"AAAAAF3z72Q=")</f>
        <v>#REF!</v>
      </c>
      <c r="CX45" t="e">
        <f>IF(#REF!,"AAAAAF3z72U=",0)</f>
        <v>#REF!</v>
      </c>
      <c r="CY45" t="e">
        <f>AND(#REF!,"AAAAAF3z72Y=")</f>
        <v>#REF!</v>
      </c>
      <c r="CZ45" t="e">
        <f>AND(#REF!,"AAAAAF3z72c=")</f>
        <v>#REF!</v>
      </c>
      <c r="DA45" t="e">
        <f>AND(#REF!,"AAAAAF3z72g=")</f>
        <v>#REF!</v>
      </c>
      <c r="DB45" t="e">
        <f>AND(#REF!,"AAAAAF3z72k=")</f>
        <v>#REF!</v>
      </c>
      <c r="DC45" t="e">
        <f>AND(#REF!,"AAAAAF3z72o=")</f>
        <v>#REF!</v>
      </c>
      <c r="DD45" t="e">
        <f>AND(#REF!,"AAAAAF3z72s=")</f>
        <v>#REF!</v>
      </c>
      <c r="DE45" t="e">
        <f>IF(#REF!,"AAAAAF3z72w=",0)</f>
        <v>#REF!</v>
      </c>
      <c r="DF45" t="e">
        <f>AND(#REF!,"AAAAAF3z720=")</f>
        <v>#REF!</v>
      </c>
      <c r="DG45" t="e">
        <f>AND(#REF!,"AAAAAF3z724=")</f>
        <v>#REF!</v>
      </c>
      <c r="DH45" t="e">
        <f>AND(#REF!,"AAAAAF3z728=")</f>
        <v>#REF!</v>
      </c>
      <c r="DI45" t="e">
        <f>AND(#REF!,"AAAAAF3z73A=")</f>
        <v>#REF!</v>
      </c>
      <c r="DJ45" t="e">
        <f>AND(#REF!,"AAAAAF3z73E=")</f>
        <v>#REF!</v>
      </c>
      <c r="DK45" t="e">
        <f>AND(#REF!,"AAAAAF3z73I=")</f>
        <v>#REF!</v>
      </c>
      <c r="DL45" t="e">
        <f>IF(#REF!,"AAAAAF3z73M=",0)</f>
        <v>#REF!</v>
      </c>
      <c r="DM45" t="e">
        <f>AND(#REF!,"AAAAAF3z73Q=")</f>
        <v>#REF!</v>
      </c>
      <c r="DN45" t="e">
        <f>AND(#REF!,"AAAAAF3z73U=")</f>
        <v>#REF!</v>
      </c>
      <c r="DO45" t="e">
        <f>AND(#REF!,"AAAAAF3z73Y=")</f>
        <v>#REF!</v>
      </c>
      <c r="DP45" t="e">
        <f>AND(#REF!,"AAAAAF3z73c=")</f>
        <v>#REF!</v>
      </c>
      <c r="DQ45" t="e">
        <f>AND(#REF!,"AAAAAF3z73g=")</f>
        <v>#REF!</v>
      </c>
      <c r="DR45" t="e">
        <f>AND(#REF!,"AAAAAF3z73k=")</f>
        <v>#REF!</v>
      </c>
      <c r="DS45" t="e">
        <f>IF(#REF!,"AAAAAF3z73o=",0)</f>
        <v>#REF!</v>
      </c>
      <c r="DT45" t="e">
        <f>AND(#REF!,"AAAAAF3z73s=")</f>
        <v>#REF!</v>
      </c>
      <c r="DU45" t="e">
        <f>AND(#REF!,"AAAAAF3z73w=")</f>
        <v>#REF!</v>
      </c>
      <c r="DV45" t="e">
        <f>AND(#REF!,"AAAAAF3z730=")</f>
        <v>#REF!</v>
      </c>
      <c r="DW45" t="e">
        <f>AND(#REF!,"AAAAAF3z734=")</f>
        <v>#REF!</v>
      </c>
      <c r="DX45" t="e">
        <f>AND(#REF!,"AAAAAF3z738=")</f>
        <v>#REF!</v>
      </c>
      <c r="DY45" t="e">
        <f>AND(#REF!,"AAAAAF3z74A=")</f>
        <v>#REF!</v>
      </c>
      <c r="DZ45" t="e">
        <f>IF(#REF!,"AAAAAF3z74E=",0)</f>
        <v>#REF!</v>
      </c>
      <c r="EA45" t="e">
        <f>AND(#REF!,"AAAAAF3z74I=")</f>
        <v>#REF!</v>
      </c>
      <c r="EB45" t="e">
        <f>AND(#REF!,"AAAAAF3z74M=")</f>
        <v>#REF!</v>
      </c>
      <c r="EC45" t="e">
        <f>AND(#REF!,"AAAAAF3z74Q=")</f>
        <v>#REF!</v>
      </c>
      <c r="ED45" t="e">
        <f>AND(#REF!,"AAAAAF3z74U=")</f>
        <v>#REF!</v>
      </c>
      <c r="EE45" t="e">
        <f>AND(#REF!,"AAAAAF3z74Y=")</f>
        <v>#REF!</v>
      </c>
      <c r="EF45" t="e">
        <f>AND(#REF!,"AAAAAF3z74c=")</f>
        <v>#REF!</v>
      </c>
      <c r="EG45" t="e">
        <f>IF(#REF!,"AAAAAF3z74g=",0)</f>
        <v>#REF!</v>
      </c>
      <c r="EH45" t="e">
        <f>AND(#REF!,"AAAAAF3z74k=")</f>
        <v>#REF!</v>
      </c>
      <c r="EI45" t="e">
        <f>AND(#REF!,"AAAAAF3z74o=")</f>
        <v>#REF!</v>
      </c>
      <c r="EJ45" t="e">
        <f>AND(#REF!,"AAAAAF3z74s=")</f>
        <v>#REF!</v>
      </c>
      <c r="EK45" t="e">
        <f>AND(#REF!,"AAAAAF3z74w=")</f>
        <v>#REF!</v>
      </c>
      <c r="EL45" t="e">
        <f>AND(#REF!,"AAAAAF3z740=")</f>
        <v>#REF!</v>
      </c>
      <c r="EM45" t="e">
        <f>AND(#REF!,"AAAAAF3z744=")</f>
        <v>#REF!</v>
      </c>
      <c r="EN45" t="e">
        <f>IF(#REF!,"AAAAAF3z748=",0)</f>
        <v>#REF!</v>
      </c>
      <c r="EO45" t="e">
        <f>AND(#REF!,"AAAAAF3z75A=")</f>
        <v>#REF!</v>
      </c>
      <c r="EP45" t="e">
        <f>AND(#REF!,"AAAAAF3z75E=")</f>
        <v>#REF!</v>
      </c>
      <c r="EQ45" t="e">
        <f>AND(#REF!,"AAAAAF3z75I=")</f>
        <v>#REF!</v>
      </c>
      <c r="ER45" t="e">
        <f>AND(#REF!,"AAAAAF3z75M=")</f>
        <v>#REF!</v>
      </c>
      <c r="ES45" t="e">
        <f>AND(#REF!,"AAAAAF3z75Q=")</f>
        <v>#REF!</v>
      </c>
      <c r="ET45" t="e">
        <f>AND(#REF!,"AAAAAF3z75U=")</f>
        <v>#REF!</v>
      </c>
      <c r="EU45" t="e">
        <f>IF(#REF!,"AAAAAF3z75Y=",0)</f>
        <v>#REF!</v>
      </c>
      <c r="EV45" t="e">
        <f>AND(#REF!,"AAAAAF3z75c=")</f>
        <v>#REF!</v>
      </c>
      <c r="EW45" t="e">
        <f>AND(#REF!,"AAAAAF3z75g=")</f>
        <v>#REF!</v>
      </c>
      <c r="EX45" t="e">
        <f>AND(#REF!,"AAAAAF3z75k=")</f>
        <v>#REF!</v>
      </c>
      <c r="EY45" t="e">
        <f>AND(#REF!,"AAAAAF3z75o=")</f>
        <v>#REF!</v>
      </c>
      <c r="EZ45" t="e">
        <f>AND(#REF!,"AAAAAF3z75s=")</f>
        <v>#REF!</v>
      </c>
      <c r="FA45" t="e">
        <f>AND(#REF!,"AAAAAF3z75w=")</f>
        <v>#REF!</v>
      </c>
      <c r="FB45" t="e">
        <f>IF(#REF!,"AAAAAF3z750=",0)</f>
        <v>#REF!</v>
      </c>
      <c r="FC45" t="e">
        <f>AND(#REF!,"AAAAAF3z754=")</f>
        <v>#REF!</v>
      </c>
      <c r="FD45" t="e">
        <f>AND(#REF!,"AAAAAF3z758=")</f>
        <v>#REF!</v>
      </c>
      <c r="FE45" t="e">
        <f>AND(#REF!,"AAAAAF3z76A=")</f>
        <v>#REF!</v>
      </c>
      <c r="FF45" t="e">
        <f>AND(#REF!,"AAAAAF3z76E=")</f>
        <v>#REF!</v>
      </c>
      <c r="FG45" t="e">
        <f>AND(#REF!,"AAAAAF3z76I=")</f>
        <v>#REF!</v>
      </c>
      <c r="FH45" t="e">
        <f>AND(#REF!,"AAAAAF3z76M=")</f>
        <v>#REF!</v>
      </c>
      <c r="FI45" t="e">
        <f>IF(#REF!,"AAAAAF3z76Q=",0)</f>
        <v>#REF!</v>
      </c>
      <c r="FJ45" t="e">
        <f>AND(#REF!,"AAAAAF3z76U=")</f>
        <v>#REF!</v>
      </c>
      <c r="FK45" t="e">
        <f>AND(#REF!,"AAAAAF3z76Y=")</f>
        <v>#REF!</v>
      </c>
      <c r="FL45" t="e">
        <f>AND(#REF!,"AAAAAF3z76c=")</f>
        <v>#REF!</v>
      </c>
      <c r="FM45" t="e">
        <f>AND(#REF!,"AAAAAF3z76g=")</f>
        <v>#REF!</v>
      </c>
      <c r="FN45" t="e">
        <f>AND(#REF!,"AAAAAF3z76k=")</f>
        <v>#REF!</v>
      </c>
      <c r="FO45" t="e">
        <f>AND(#REF!,"AAAAAF3z76o=")</f>
        <v>#REF!</v>
      </c>
      <c r="FP45" t="e">
        <f>IF(#REF!,"AAAAAF3z76s=",0)</f>
        <v>#REF!</v>
      </c>
      <c r="FQ45" t="e">
        <f>AND(#REF!,"AAAAAF3z76w=")</f>
        <v>#REF!</v>
      </c>
      <c r="FR45" t="e">
        <f>AND(#REF!,"AAAAAF3z760=")</f>
        <v>#REF!</v>
      </c>
      <c r="FS45" t="e">
        <f>AND(#REF!,"AAAAAF3z764=")</f>
        <v>#REF!</v>
      </c>
      <c r="FT45" t="e">
        <f>AND(#REF!,"AAAAAF3z768=")</f>
        <v>#REF!</v>
      </c>
      <c r="FU45" t="e">
        <f>AND(#REF!,"AAAAAF3z77A=")</f>
        <v>#REF!</v>
      </c>
      <c r="FV45" t="e">
        <f>AND(#REF!,"AAAAAF3z77E=")</f>
        <v>#REF!</v>
      </c>
      <c r="FW45" t="e">
        <f>IF(#REF!,"AAAAAF3z77I=",0)</f>
        <v>#REF!</v>
      </c>
      <c r="FX45" t="e">
        <f>AND(#REF!,"AAAAAF3z77M=")</f>
        <v>#REF!</v>
      </c>
      <c r="FY45" t="e">
        <f>AND(#REF!,"AAAAAF3z77Q=")</f>
        <v>#REF!</v>
      </c>
      <c r="FZ45" t="e">
        <f>AND(#REF!,"AAAAAF3z77U=")</f>
        <v>#REF!</v>
      </c>
      <c r="GA45" t="e">
        <f>AND(#REF!,"AAAAAF3z77Y=")</f>
        <v>#REF!</v>
      </c>
      <c r="GB45" t="e">
        <f>AND(#REF!,"AAAAAF3z77c=")</f>
        <v>#REF!</v>
      </c>
      <c r="GC45" t="e">
        <f>AND(#REF!,"AAAAAF3z77g=")</f>
        <v>#REF!</v>
      </c>
      <c r="GD45" t="e">
        <f>IF(#REF!,"AAAAAF3z77k=",0)</f>
        <v>#REF!</v>
      </c>
      <c r="GE45" t="e">
        <f>AND(#REF!,"AAAAAF3z77o=")</f>
        <v>#REF!</v>
      </c>
      <c r="GF45" t="e">
        <f>AND(#REF!,"AAAAAF3z77s=")</f>
        <v>#REF!</v>
      </c>
      <c r="GG45" t="e">
        <f>AND(#REF!,"AAAAAF3z77w=")</f>
        <v>#REF!</v>
      </c>
      <c r="GH45" t="e">
        <f>AND(#REF!,"AAAAAF3z770=")</f>
        <v>#REF!</v>
      </c>
      <c r="GI45" t="e">
        <f>AND(#REF!,"AAAAAF3z774=")</f>
        <v>#REF!</v>
      </c>
      <c r="GJ45" t="e">
        <f>AND(#REF!,"AAAAAF3z778=")</f>
        <v>#REF!</v>
      </c>
      <c r="GK45" t="e">
        <f>IF(#REF!,"AAAAAF3z78A=",0)</f>
        <v>#REF!</v>
      </c>
      <c r="GL45" t="e">
        <f>AND(#REF!,"AAAAAF3z78E=")</f>
        <v>#REF!</v>
      </c>
      <c r="GM45" t="e">
        <f>AND(#REF!,"AAAAAF3z78I=")</f>
        <v>#REF!</v>
      </c>
      <c r="GN45" t="e">
        <f>AND(#REF!,"AAAAAF3z78M=")</f>
        <v>#REF!</v>
      </c>
      <c r="GO45" t="e">
        <f>AND(#REF!,"AAAAAF3z78Q=")</f>
        <v>#REF!</v>
      </c>
      <c r="GP45" t="e">
        <f>AND(#REF!,"AAAAAF3z78U=")</f>
        <v>#REF!</v>
      </c>
      <c r="GQ45" t="e">
        <f>AND(#REF!,"AAAAAF3z78Y=")</f>
        <v>#REF!</v>
      </c>
      <c r="GR45" t="e">
        <f>IF(#REF!,"AAAAAF3z78c=",0)</f>
        <v>#REF!</v>
      </c>
      <c r="GS45" t="e">
        <f>AND(#REF!,"AAAAAF3z78g=")</f>
        <v>#REF!</v>
      </c>
      <c r="GT45" t="e">
        <f>AND(#REF!,"AAAAAF3z78k=")</f>
        <v>#REF!</v>
      </c>
      <c r="GU45" t="e">
        <f>AND(#REF!,"AAAAAF3z78o=")</f>
        <v>#REF!</v>
      </c>
      <c r="GV45" t="e">
        <f>AND(#REF!,"AAAAAF3z78s=")</f>
        <v>#REF!</v>
      </c>
      <c r="GW45" t="e">
        <f>AND(#REF!,"AAAAAF3z78w=")</f>
        <v>#REF!</v>
      </c>
      <c r="GX45" t="e">
        <f>AND(#REF!,"AAAAAF3z780=")</f>
        <v>#REF!</v>
      </c>
      <c r="GY45" t="e">
        <f>IF(#REF!,"AAAAAF3z784=",0)</f>
        <v>#REF!</v>
      </c>
      <c r="GZ45" t="e">
        <f>AND(#REF!,"AAAAAF3z788=")</f>
        <v>#REF!</v>
      </c>
      <c r="HA45" t="e">
        <f>AND(#REF!,"AAAAAF3z79A=")</f>
        <v>#REF!</v>
      </c>
      <c r="HB45" t="e">
        <f>AND(#REF!,"AAAAAF3z79E=")</f>
        <v>#REF!</v>
      </c>
      <c r="HC45" t="e">
        <f>AND(#REF!,"AAAAAF3z79I=")</f>
        <v>#REF!</v>
      </c>
      <c r="HD45" t="e">
        <f>AND(#REF!,"AAAAAF3z79M=")</f>
        <v>#REF!</v>
      </c>
      <c r="HE45" t="e">
        <f>AND(#REF!,"AAAAAF3z79Q=")</f>
        <v>#REF!</v>
      </c>
      <c r="HF45" t="e">
        <f>IF(#REF!,"AAAAAF3z79U=",0)</f>
        <v>#REF!</v>
      </c>
      <c r="HG45" t="e">
        <f>AND(#REF!,"AAAAAF3z79Y=")</f>
        <v>#REF!</v>
      </c>
      <c r="HH45" t="e">
        <f>AND(#REF!,"AAAAAF3z79c=")</f>
        <v>#REF!</v>
      </c>
      <c r="HI45" t="e">
        <f>AND(#REF!,"AAAAAF3z79g=")</f>
        <v>#REF!</v>
      </c>
      <c r="HJ45" t="e">
        <f>AND(#REF!,"AAAAAF3z79k=")</f>
        <v>#REF!</v>
      </c>
      <c r="HK45" t="e">
        <f>AND(#REF!,"AAAAAF3z79o=")</f>
        <v>#REF!</v>
      </c>
      <c r="HL45" t="e">
        <f>AND(#REF!,"AAAAAF3z79s=")</f>
        <v>#REF!</v>
      </c>
      <c r="HM45" t="e">
        <f>IF(#REF!,"AAAAAF3z79w=",0)</f>
        <v>#REF!</v>
      </c>
      <c r="HN45" t="e">
        <f>AND(#REF!,"AAAAAF3z790=")</f>
        <v>#REF!</v>
      </c>
      <c r="HO45" t="e">
        <f>AND(#REF!,"AAAAAF3z794=")</f>
        <v>#REF!</v>
      </c>
      <c r="HP45" t="e">
        <f>AND(#REF!,"AAAAAF3z798=")</f>
        <v>#REF!</v>
      </c>
      <c r="HQ45" t="e">
        <f>AND(#REF!,"AAAAAF3z7+A=")</f>
        <v>#REF!</v>
      </c>
      <c r="HR45" t="e">
        <f>AND(#REF!,"AAAAAF3z7+E=")</f>
        <v>#REF!</v>
      </c>
      <c r="HS45" t="e">
        <f>AND(#REF!,"AAAAAF3z7+I=")</f>
        <v>#REF!</v>
      </c>
      <c r="HT45" t="e">
        <f>IF(#REF!,"AAAAAF3z7+M=",0)</f>
        <v>#REF!</v>
      </c>
      <c r="HU45" t="e">
        <f>AND(#REF!,"AAAAAF3z7+Q=")</f>
        <v>#REF!</v>
      </c>
      <c r="HV45" t="e">
        <f>AND(#REF!,"AAAAAF3z7+U=")</f>
        <v>#REF!</v>
      </c>
      <c r="HW45" t="e">
        <f>AND(#REF!,"AAAAAF3z7+Y=")</f>
        <v>#REF!</v>
      </c>
      <c r="HX45" t="e">
        <f>AND(#REF!,"AAAAAF3z7+c=")</f>
        <v>#REF!</v>
      </c>
      <c r="HY45" t="e">
        <f>AND(#REF!,"AAAAAF3z7+g=")</f>
        <v>#REF!</v>
      </c>
      <c r="HZ45" t="e">
        <f>AND(#REF!,"AAAAAF3z7+k=")</f>
        <v>#REF!</v>
      </c>
      <c r="IA45" t="e">
        <f>IF(#REF!,"AAAAAF3z7+o=",0)</f>
        <v>#REF!</v>
      </c>
      <c r="IB45" t="e">
        <f>AND(#REF!,"AAAAAF3z7+s=")</f>
        <v>#REF!</v>
      </c>
      <c r="IC45" t="e">
        <f>AND(#REF!,"AAAAAF3z7+w=")</f>
        <v>#REF!</v>
      </c>
      <c r="ID45" t="e">
        <f>AND(#REF!,"AAAAAF3z7+0=")</f>
        <v>#REF!</v>
      </c>
      <c r="IE45" t="e">
        <f>AND(#REF!,"AAAAAF3z7+4=")</f>
        <v>#REF!</v>
      </c>
      <c r="IF45" t="e">
        <f>AND(#REF!,"AAAAAF3z7+8=")</f>
        <v>#REF!</v>
      </c>
      <c r="IG45" t="e">
        <f>AND(#REF!,"AAAAAF3z7/A=")</f>
        <v>#REF!</v>
      </c>
      <c r="IH45" t="e">
        <f>IF(#REF!,"AAAAAF3z7/E=",0)</f>
        <v>#REF!</v>
      </c>
      <c r="II45" t="e">
        <f>AND(#REF!,"AAAAAF3z7/I=")</f>
        <v>#REF!</v>
      </c>
      <c r="IJ45" t="e">
        <f>AND(#REF!,"AAAAAF3z7/M=")</f>
        <v>#REF!</v>
      </c>
      <c r="IK45" t="e">
        <f>AND(#REF!,"AAAAAF3z7/Q=")</f>
        <v>#REF!</v>
      </c>
      <c r="IL45" t="e">
        <f>AND(#REF!,"AAAAAF3z7/U=")</f>
        <v>#REF!</v>
      </c>
      <c r="IM45" t="e">
        <f>AND(#REF!,"AAAAAF3z7/Y=")</f>
        <v>#REF!</v>
      </c>
      <c r="IN45" t="e">
        <f>AND(#REF!,"AAAAAF3z7/c=")</f>
        <v>#REF!</v>
      </c>
      <c r="IO45" t="e">
        <f>IF(#REF!,"AAAAAF3z7/g=",0)</f>
        <v>#REF!</v>
      </c>
      <c r="IP45" t="e">
        <f>AND(#REF!,"AAAAAF3z7/k=")</f>
        <v>#REF!</v>
      </c>
      <c r="IQ45" t="e">
        <f>AND(#REF!,"AAAAAF3z7/o=")</f>
        <v>#REF!</v>
      </c>
      <c r="IR45" t="e">
        <f>AND(#REF!,"AAAAAF3z7/s=")</f>
        <v>#REF!</v>
      </c>
      <c r="IS45" t="e">
        <f>AND(#REF!,"AAAAAF3z7/w=")</f>
        <v>#REF!</v>
      </c>
      <c r="IT45" t="e">
        <f>AND(#REF!,"AAAAAF3z7/0=")</f>
        <v>#REF!</v>
      </c>
      <c r="IU45" t="e">
        <f>AND(#REF!,"AAAAAF3z7/4=")</f>
        <v>#REF!</v>
      </c>
      <c r="IV45" t="e">
        <f>IF(#REF!,"AAAAAF3z7/8=",0)</f>
        <v>#REF!</v>
      </c>
    </row>
    <row r="46" spans="1:256" x14ac:dyDescent="0.25">
      <c r="A46" t="e">
        <f>AND(#REF!,"AAAAAG/9+wA=")</f>
        <v>#REF!</v>
      </c>
      <c r="B46" t="e">
        <f>AND(#REF!,"AAAAAG/9+wE=")</f>
        <v>#REF!</v>
      </c>
      <c r="C46" t="e">
        <f>AND(#REF!,"AAAAAG/9+wI=")</f>
        <v>#REF!</v>
      </c>
      <c r="D46" t="e">
        <f>AND(#REF!,"AAAAAG/9+wM=")</f>
        <v>#REF!</v>
      </c>
      <c r="E46" t="e">
        <f>AND(#REF!,"AAAAAG/9+wQ=")</f>
        <v>#REF!</v>
      </c>
      <c r="F46" t="e">
        <f>AND(#REF!,"AAAAAG/9+wU=")</f>
        <v>#REF!</v>
      </c>
      <c r="G46" t="e">
        <f>IF(#REF!,"AAAAAG/9+wY=",0)</f>
        <v>#REF!</v>
      </c>
      <c r="H46" t="e">
        <f>AND(#REF!,"AAAAAG/9+wc=")</f>
        <v>#REF!</v>
      </c>
      <c r="I46" t="e">
        <f>AND(#REF!,"AAAAAG/9+wg=")</f>
        <v>#REF!</v>
      </c>
      <c r="J46" t="e">
        <f>AND(#REF!,"AAAAAG/9+wk=")</f>
        <v>#REF!</v>
      </c>
      <c r="K46" t="e">
        <f>AND(#REF!,"AAAAAG/9+wo=")</f>
        <v>#REF!</v>
      </c>
      <c r="L46" t="e">
        <f>AND(#REF!,"AAAAAG/9+ws=")</f>
        <v>#REF!</v>
      </c>
      <c r="M46" t="e">
        <f>AND(#REF!,"AAAAAG/9+ww=")</f>
        <v>#REF!</v>
      </c>
      <c r="N46" t="e">
        <f>IF(#REF!,"AAAAAG/9+w0=",0)</f>
        <v>#REF!</v>
      </c>
      <c r="O46" t="e">
        <f>AND(#REF!,"AAAAAG/9+w4=")</f>
        <v>#REF!</v>
      </c>
      <c r="P46" t="e">
        <f>AND(#REF!,"AAAAAG/9+w8=")</f>
        <v>#REF!</v>
      </c>
      <c r="Q46" t="e">
        <f>AND(#REF!,"AAAAAG/9+xA=")</f>
        <v>#REF!</v>
      </c>
      <c r="R46" t="e">
        <f>AND(#REF!,"AAAAAG/9+xE=")</f>
        <v>#REF!</v>
      </c>
      <c r="S46" t="e">
        <f>AND(#REF!,"AAAAAG/9+xI=")</f>
        <v>#REF!</v>
      </c>
      <c r="T46" t="e">
        <f>AND(#REF!,"AAAAAG/9+xM=")</f>
        <v>#REF!</v>
      </c>
      <c r="U46" t="e">
        <f>IF(#REF!,"AAAAAG/9+xQ=",0)</f>
        <v>#REF!</v>
      </c>
      <c r="V46" t="e">
        <f>AND(#REF!,"AAAAAG/9+xU=")</f>
        <v>#REF!</v>
      </c>
      <c r="W46" t="e">
        <f>AND(#REF!,"AAAAAG/9+xY=")</f>
        <v>#REF!</v>
      </c>
      <c r="X46" t="e">
        <f>AND(#REF!,"AAAAAG/9+xc=")</f>
        <v>#REF!</v>
      </c>
      <c r="Y46" t="e">
        <f>AND(#REF!,"AAAAAG/9+xg=")</f>
        <v>#REF!</v>
      </c>
      <c r="Z46" t="e">
        <f>AND(#REF!,"AAAAAG/9+xk=")</f>
        <v>#REF!</v>
      </c>
      <c r="AA46" t="e">
        <f>AND(#REF!,"AAAAAG/9+xo=")</f>
        <v>#REF!</v>
      </c>
      <c r="AB46" t="e">
        <f>IF(#REF!,"AAAAAG/9+xs=",0)</f>
        <v>#REF!</v>
      </c>
      <c r="AC46" t="e">
        <f>AND(#REF!,"AAAAAG/9+xw=")</f>
        <v>#REF!</v>
      </c>
      <c r="AD46" t="e">
        <f>AND(#REF!,"AAAAAG/9+x0=")</f>
        <v>#REF!</v>
      </c>
      <c r="AE46" t="e">
        <f>AND(#REF!,"AAAAAG/9+x4=")</f>
        <v>#REF!</v>
      </c>
      <c r="AF46" t="e">
        <f>AND(#REF!,"AAAAAG/9+x8=")</f>
        <v>#REF!</v>
      </c>
      <c r="AG46" t="e">
        <f>AND(#REF!,"AAAAAG/9+yA=")</f>
        <v>#REF!</v>
      </c>
      <c r="AH46" t="e">
        <f>AND(#REF!,"AAAAAG/9+yE=")</f>
        <v>#REF!</v>
      </c>
      <c r="AI46" t="e">
        <f>IF(#REF!,"AAAAAG/9+yI=",0)</f>
        <v>#REF!</v>
      </c>
      <c r="AJ46" t="e">
        <f>AND(#REF!,"AAAAAG/9+yM=")</f>
        <v>#REF!</v>
      </c>
      <c r="AK46" t="e">
        <f>AND(#REF!,"AAAAAG/9+yQ=")</f>
        <v>#REF!</v>
      </c>
      <c r="AL46" t="e">
        <f>AND(#REF!,"AAAAAG/9+yU=")</f>
        <v>#REF!</v>
      </c>
      <c r="AM46" t="e">
        <f>AND(#REF!,"AAAAAG/9+yY=")</f>
        <v>#REF!</v>
      </c>
      <c r="AN46" t="e">
        <f>AND(#REF!,"AAAAAG/9+yc=")</f>
        <v>#REF!</v>
      </c>
      <c r="AO46" t="e">
        <f>AND(#REF!,"AAAAAG/9+yg=")</f>
        <v>#REF!</v>
      </c>
      <c r="AP46" t="e">
        <f>IF(#REF!,"AAAAAG/9+yk=",0)</f>
        <v>#REF!</v>
      </c>
      <c r="AQ46" t="e">
        <f>AND(#REF!,"AAAAAG/9+yo=")</f>
        <v>#REF!</v>
      </c>
      <c r="AR46" t="e">
        <f>AND(#REF!,"AAAAAG/9+ys=")</f>
        <v>#REF!</v>
      </c>
      <c r="AS46" t="e">
        <f>AND(#REF!,"AAAAAG/9+yw=")</f>
        <v>#REF!</v>
      </c>
      <c r="AT46" t="e">
        <f>AND(#REF!,"AAAAAG/9+y0=")</f>
        <v>#REF!</v>
      </c>
      <c r="AU46" t="e">
        <f>AND(#REF!,"AAAAAG/9+y4=")</f>
        <v>#REF!</v>
      </c>
      <c r="AV46" t="e">
        <f>AND(#REF!,"AAAAAG/9+y8=")</f>
        <v>#REF!</v>
      </c>
      <c r="AW46" t="e">
        <f>IF(#REF!,"AAAAAG/9+zA=",0)</f>
        <v>#REF!</v>
      </c>
      <c r="AX46" t="e">
        <f>AND(#REF!,"AAAAAG/9+zE=")</f>
        <v>#REF!</v>
      </c>
      <c r="AY46" t="e">
        <f>AND(#REF!,"AAAAAG/9+zI=")</f>
        <v>#REF!</v>
      </c>
      <c r="AZ46" t="e">
        <f>AND(#REF!,"AAAAAG/9+zM=")</f>
        <v>#REF!</v>
      </c>
      <c r="BA46" t="e">
        <f>AND(#REF!,"AAAAAG/9+zQ=")</f>
        <v>#REF!</v>
      </c>
      <c r="BB46" t="e">
        <f>AND(#REF!,"AAAAAG/9+zU=")</f>
        <v>#REF!</v>
      </c>
      <c r="BC46" t="e">
        <f>AND(#REF!,"AAAAAG/9+zY=")</f>
        <v>#REF!</v>
      </c>
      <c r="BD46" t="e">
        <f>IF(#REF!,"AAAAAG/9+zc=",0)</f>
        <v>#REF!</v>
      </c>
      <c r="BE46" t="e">
        <f>AND(#REF!,"AAAAAG/9+zg=")</f>
        <v>#REF!</v>
      </c>
      <c r="BF46" t="e">
        <f>AND(#REF!,"AAAAAG/9+zk=")</f>
        <v>#REF!</v>
      </c>
      <c r="BG46" t="e">
        <f>AND(#REF!,"AAAAAG/9+zo=")</f>
        <v>#REF!</v>
      </c>
      <c r="BH46" t="e">
        <f>AND(#REF!,"AAAAAG/9+zs=")</f>
        <v>#REF!</v>
      </c>
      <c r="BI46" t="e">
        <f>AND(#REF!,"AAAAAG/9+zw=")</f>
        <v>#REF!</v>
      </c>
      <c r="BJ46" t="e">
        <f>AND(#REF!,"AAAAAG/9+z0=")</f>
        <v>#REF!</v>
      </c>
      <c r="BK46" t="e">
        <f>IF(#REF!,"AAAAAG/9+z4=",0)</f>
        <v>#REF!</v>
      </c>
      <c r="BL46" t="e">
        <f>AND(#REF!,"AAAAAG/9+z8=")</f>
        <v>#REF!</v>
      </c>
      <c r="BM46" t="e">
        <f>AND(#REF!,"AAAAAG/9+0A=")</f>
        <v>#REF!</v>
      </c>
      <c r="BN46" t="e">
        <f>AND(#REF!,"AAAAAG/9+0E=")</f>
        <v>#REF!</v>
      </c>
      <c r="BO46" t="e">
        <f>AND(#REF!,"AAAAAG/9+0I=")</f>
        <v>#REF!</v>
      </c>
      <c r="BP46" t="e">
        <f>AND(#REF!,"AAAAAG/9+0M=")</f>
        <v>#REF!</v>
      </c>
      <c r="BQ46" t="e">
        <f>AND(#REF!,"AAAAAG/9+0Q=")</f>
        <v>#REF!</v>
      </c>
      <c r="BR46" t="e">
        <f>IF(#REF!,"AAAAAG/9+0U=",0)</f>
        <v>#REF!</v>
      </c>
      <c r="BS46" t="e">
        <f>AND(#REF!,"AAAAAG/9+0Y=")</f>
        <v>#REF!</v>
      </c>
      <c r="BT46" t="e">
        <f>AND(#REF!,"AAAAAG/9+0c=")</f>
        <v>#REF!</v>
      </c>
      <c r="BU46" t="e">
        <f>AND(#REF!,"AAAAAG/9+0g=")</f>
        <v>#REF!</v>
      </c>
      <c r="BV46" t="e">
        <f>AND(#REF!,"AAAAAG/9+0k=")</f>
        <v>#REF!</v>
      </c>
      <c r="BW46" t="e">
        <f>AND(#REF!,"AAAAAG/9+0o=")</f>
        <v>#REF!</v>
      </c>
      <c r="BX46" t="e">
        <f>AND(#REF!,"AAAAAG/9+0s=")</f>
        <v>#REF!</v>
      </c>
      <c r="BY46" t="e">
        <f>IF(#REF!,"AAAAAG/9+0w=",0)</f>
        <v>#REF!</v>
      </c>
      <c r="BZ46" t="e">
        <f>AND(#REF!,"AAAAAG/9+00=")</f>
        <v>#REF!</v>
      </c>
      <c r="CA46" t="e">
        <f>AND(#REF!,"AAAAAG/9+04=")</f>
        <v>#REF!</v>
      </c>
      <c r="CB46" t="e">
        <f>AND(#REF!,"AAAAAG/9+08=")</f>
        <v>#REF!</v>
      </c>
      <c r="CC46" t="e">
        <f>AND(#REF!,"AAAAAG/9+1A=")</f>
        <v>#REF!</v>
      </c>
      <c r="CD46" t="e">
        <f>AND(#REF!,"AAAAAG/9+1E=")</f>
        <v>#REF!</v>
      </c>
      <c r="CE46" t="e">
        <f>AND(#REF!,"AAAAAG/9+1I=")</f>
        <v>#REF!</v>
      </c>
      <c r="CF46" t="e">
        <f>IF(#REF!,"AAAAAG/9+1M=",0)</f>
        <v>#REF!</v>
      </c>
      <c r="CG46" t="e">
        <f>AND(#REF!,"AAAAAG/9+1Q=")</f>
        <v>#REF!</v>
      </c>
      <c r="CH46" t="e">
        <f>AND(#REF!,"AAAAAG/9+1U=")</f>
        <v>#REF!</v>
      </c>
      <c r="CI46" t="e">
        <f>AND(#REF!,"AAAAAG/9+1Y=")</f>
        <v>#REF!</v>
      </c>
      <c r="CJ46" t="e">
        <f>AND(#REF!,"AAAAAG/9+1c=")</f>
        <v>#REF!</v>
      </c>
      <c r="CK46" t="e">
        <f>AND(#REF!,"AAAAAG/9+1g=")</f>
        <v>#REF!</v>
      </c>
      <c r="CL46" t="e">
        <f>AND(#REF!,"AAAAAG/9+1k=")</f>
        <v>#REF!</v>
      </c>
      <c r="CM46" t="e">
        <f>IF(#REF!,"AAAAAG/9+1o=",0)</f>
        <v>#REF!</v>
      </c>
      <c r="CN46" t="e">
        <f>AND(#REF!,"AAAAAG/9+1s=")</f>
        <v>#REF!</v>
      </c>
      <c r="CO46" t="e">
        <f>AND(#REF!,"AAAAAG/9+1w=")</f>
        <v>#REF!</v>
      </c>
      <c r="CP46" t="e">
        <f>AND(#REF!,"AAAAAG/9+10=")</f>
        <v>#REF!</v>
      </c>
      <c r="CQ46" t="e">
        <f>AND(#REF!,"AAAAAG/9+14=")</f>
        <v>#REF!</v>
      </c>
      <c r="CR46" t="e">
        <f>AND(#REF!,"AAAAAG/9+18=")</f>
        <v>#REF!</v>
      </c>
      <c r="CS46" t="e">
        <f>AND(#REF!,"AAAAAG/9+2A=")</f>
        <v>#REF!</v>
      </c>
      <c r="CT46" t="e">
        <f>IF(#REF!,"AAAAAG/9+2E=",0)</f>
        <v>#REF!</v>
      </c>
      <c r="CU46" t="e">
        <f>AND(#REF!,"AAAAAG/9+2I=")</f>
        <v>#REF!</v>
      </c>
      <c r="CV46" t="e">
        <f>AND(#REF!,"AAAAAG/9+2M=")</f>
        <v>#REF!</v>
      </c>
      <c r="CW46" t="e">
        <f>AND(#REF!,"AAAAAG/9+2Q=")</f>
        <v>#REF!</v>
      </c>
      <c r="CX46" t="e">
        <f>AND(#REF!,"AAAAAG/9+2U=")</f>
        <v>#REF!</v>
      </c>
      <c r="CY46" t="e">
        <f>AND(#REF!,"AAAAAG/9+2Y=")</f>
        <v>#REF!</v>
      </c>
      <c r="CZ46" t="e">
        <f>AND(#REF!,"AAAAAG/9+2c=")</f>
        <v>#REF!</v>
      </c>
      <c r="DA46" t="e">
        <f>IF(#REF!,"AAAAAG/9+2g=",0)</f>
        <v>#REF!</v>
      </c>
      <c r="DB46" t="e">
        <f>AND(#REF!,"AAAAAG/9+2k=")</f>
        <v>#REF!</v>
      </c>
      <c r="DC46" t="e">
        <f>AND(#REF!,"AAAAAG/9+2o=")</f>
        <v>#REF!</v>
      </c>
      <c r="DD46" t="e">
        <f>AND(#REF!,"AAAAAG/9+2s=")</f>
        <v>#REF!</v>
      </c>
      <c r="DE46" t="e">
        <f>AND(#REF!,"AAAAAG/9+2w=")</f>
        <v>#REF!</v>
      </c>
      <c r="DF46" t="e">
        <f>AND(#REF!,"AAAAAG/9+20=")</f>
        <v>#REF!</v>
      </c>
      <c r="DG46" t="e">
        <f>AND(#REF!,"AAAAAG/9+24=")</f>
        <v>#REF!</v>
      </c>
      <c r="DH46" t="e">
        <f>IF(#REF!,"AAAAAG/9+28=",0)</f>
        <v>#REF!</v>
      </c>
      <c r="DI46" t="e">
        <f>AND(#REF!,"AAAAAG/9+3A=")</f>
        <v>#REF!</v>
      </c>
      <c r="DJ46" t="e">
        <f>AND(#REF!,"AAAAAG/9+3E=")</f>
        <v>#REF!</v>
      </c>
      <c r="DK46" t="e">
        <f>AND(#REF!,"AAAAAG/9+3I=")</f>
        <v>#REF!</v>
      </c>
      <c r="DL46" t="e">
        <f>AND(#REF!,"AAAAAG/9+3M=")</f>
        <v>#REF!</v>
      </c>
      <c r="DM46" t="e">
        <f>AND(#REF!,"AAAAAG/9+3Q=")</f>
        <v>#REF!</v>
      </c>
      <c r="DN46" t="e">
        <f>AND(#REF!,"AAAAAG/9+3U=")</f>
        <v>#REF!</v>
      </c>
      <c r="DO46" t="e">
        <f>IF(#REF!,"AAAAAG/9+3Y=",0)</f>
        <v>#REF!</v>
      </c>
      <c r="DP46" t="e">
        <f>AND(#REF!,"AAAAAG/9+3c=")</f>
        <v>#REF!</v>
      </c>
      <c r="DQ46" t="e">
        <f>AND(#REF!,"AAAAAG/9+3g=")</f>
        <v>#REF!</v>
      </c>
      <c r="DR46" t="e">
        <f>AND(#REF!,"AAAAAG/9+3k=")</f>
        <v>#REF!</v>
      </c>
      <c r="DS46" t="e">
        <f>AND(#REF!,"AAAAAG/9+3o=")</f>
        <v>#REF!</v>
      </c>
      <c r="DT46" t="e">
        <f>AND(#REF!,"AAAAAG/9+3s=")</f>
        <v>#REF!</v>
      </c>
      <c r="DU46" t="e">
        <f>AND(#REF!,"AAAAAG/9+3w=")</f>
        <v>#REF!</v>
      </c>
      <c r="DV46" t="e">
        <f>IF(#REF!,"AAAAAG/9+30=",0)</f>
        <v>#REF!</v>
      </c>
      <c r="DW46" t="e">
        <f>AND(#REF!,"AAAAAG/9+34=")</f>
        <v>#REF!</v>
      </c>
      <c r="DX46" t="e">
        <f>AND(#REF!,"AAAAAG/9+38=")</f>
        <v>#REF!</v>
      </c>
      <c r="DY46" t="e">
        <f>AND(#REF!,"AAAAAG/9+4A=")</f>
        <v>#REF!</v>
      </c>
      <c r="DZ46" t="e">
        <f>AND(#REF!,"AAAAAG/9+4E=")</f>
        <v>#REF!</v>
      </c>
      <c r="EA46" t="e">
        <f>AND(#REF!,"AAAAAG/9+4I=")</f>
        <v>#REF!</v>
      </c>
      <c r="EB46" t="e">
        <f>AND(#REF!,"AAAAAG/9+4M=")</f>
        <v>#REF!</v>
      </c>
      <c r="EC46" t="e">
        <f>IF(#REF!,"AAAAAG/9+4Q=",0)</f>
        <v>#REF!</v>
      </c>
      <c r="ED46" t="e">
        <f>AND(#REF!,"AAAAAG/9+4U=")</f>
        <v>#REF!</v>
      </c>
      <c r="EE46" t="e">
        <f>AND(#REF!,"AAAAAG/9+4Y=")</f>
        <v>#REF!</v>
      </c>
      <c r="EF46" t="e">
        <f>AND(#REF!,"AAAAAG/9+4c=")</f>
        <v>#REF!</v>
      </c>
      <c r="EG46" t="e">
        <f>AND(#REF!,"AAAAAG/9+4g=")</f>
        <v>#REF!</v>
      </c>
      <c r="EH46" t="e">
        <f>AND(#REF!,"AAAAAG/9+4k=")</f>
        <v>#REF!</v>
      </c>
      <c r="EI46" t="e">
        <f>AND(#REF!,"AAAAAG/9+4o=")</f>
        <v>#REF!</v>
      </c>
      <c r="EJ46" t="e">
        <f>IF(#REF!,"AAAAAG/9+4s=",0)</f>
        <v>#REF!</v>
      </c>
      <c r="EK46" t="e">
        <f>AND(#REF!,"AAAAAG/9+4w=")</f>
        <v>#REF!</v>
      </c>
      <c r="EL46" t="e">
        <f>AND(#REF!,"AAAAAG/9+40=")</f>
        <v>#REF!</v>
      </c>
      <c r="EM46" t="e">
        <f>AND(#REF!,"AAAAAG/9+44=")</f>
        <v>#REF!</v>
      </c>
      <c r="EN46" t="e">
        <f>AND(#REF!,"AAAAAG/9+48=")</f>
        <v>#REF!</v>
      </c>
      <c r="EO46" t="e">
        <f>AND(#REF!,"AAAAAG/9+5A=")</f>
        <v>#REF!</v>
      </c>
      <c r="EP46" t="e">
        <f>AND(#REF!,"AAAAAG/9+5E=")</f>
        <v>#REF!</v>
      </c>
      <c r="EQ46" t="e">
        <f>IF(#REF!,"AAAAAG/9+5I=",0)</f>
        <v>#REF!</v>
      </c>
      <c r="ER46" t="e">
        <f>AND(#REF!,"AAAAAG/9+5M=")</f>
        <v>#REF!</v>
      </c>
      <c r="ES46" t="e">
        <f>AND(#REF!,"AAAAAG/9+5Q=")</f>
        <v>#REF!</v>
      </c>
      <c r="ET46" t="e">
        <f>AND(#REF!,"AAAAAG/9+5U=")</f>
        <v>#REF!</v>
      </c>
      <c r="EU46" t="e">
        <f>AND(#REF!,"AAAAAG/9+5Y=")</f>
        <v>#REF!</v>
      </c>
      <c r="EV46" t="e">
        <f>AND(#REF!,"AAAAAG/9+5c=")</f>
        <v>#REF!</v>
      </c>
      <c r="EW46" t="e">
        <f>AND(#REF!,"AAAAAG/9+5g=")</f>
        <v>#REF!</v>
      </c>
      <c r="EX46" t="e">
        <f>IF(#REF!,"AAAAAG/9+5k=",0)</f>
        <v>#REF!</v>
      </c>
      <c r="EY46" t="e">
        <f>AND(#REF!,"AAAAAG/9+5o=")</f>
        <v>#REF!</v>
      </c>
      <c r="EZ46" t="e">
        <f>AND(#REF!,"AAAAAG/9+5s=")</f>
        <v>#REF!</v>
      </c>
      <c r="FA46" t="e">
        <f>AND(#REF!,"AAAAAG/9+5w=")</f>
        <v>#REF!</v>
      </c>
      <c r="FB46" t="e">
        <f>AND(#REF!,"AAAAAG/9+50=")</f>
        <v>#REF!</v>
      </c>
      <c r="FC46" t="e">
        <f>AND(#REF!,"AAAAAG/9+54=")</f>
        <v>#REF!</v>
      </c>
      <c r="FD46" t="e">
        <f>AND(#REF!,"AAAAAG/9+58=")</f>
        <v>#REF!</v>
      </c>
      <c r="FE46" t="e">
        <f>IF(#REF!,"AAAAAG/9+6A=",0)</f>
        <v>#REF!</v>
      </c>
      <c r="FF46" t="e">
        <f>AND(#REF!,"AAAAAG/9+6E=")</f>
        <v>#REF!</v>
      </c>
      <c r="FG46" t="e">
        <f>AND(#REF!,"AAAAAG/9+6I=")</f>
        <v>#REF!</v>
      </c>
      <c r="FH46" t="e">
        <f>AND(#REF!,"AAAAAG/9+6M=")</f>
        <v>#REF!</v>
      </c>
      <c r="FI46" t="e">
        <f>AND(#REF!,"AAAAAG/9+6Q=")</f>
        <v>#REF!</v>
      </c>
      <c r="FJ46" t="e">
        <f>AND(#REF!,"AAAAAG/9+6U=")</f>
        <v>#REF!</v>
      </c>
      <c r="FK46" t="e">
        <f>AND(#REF!,"AAAAAG/9+6Y=")</f>
        <v>#REF!</v>
      </c>
      <c r="FL46" t="e">
        <f>IF(#REF!,"AAAAAG/9+6c=",0)</f>
        <v>#REF!</v>
      </c>
      <c r="FM46" t="e">
        <f>AND(#REF!,"AAAAAG/9+6g=")</f>
        <v>#REF!</v>
      </c>
      <c r="FN46" t="e">
        <f>AND(#REF!,"AAAAAG/9+6k=")</f>
        <v>#REF!</v>
      </c>
      <c r="FO46" t="e">
        <f>AND(#REF!,"AAAAAG/9+6o=")</f>
        <v>#REF!</v>
      </c>
      <c r="FP46" t="e">
        <f>AND(#REF!,"AAAAAG/9+6s=")</f>
        <v>#REF!</v>
      </c>
      <c r="FQ46" t="e">
        <f>AND(#REF!,"AAAAAG/9+6w=")</f>
        <v>#REF!</v>
      </c>
      <c r="FR46" t="e">
        <f>AND(#REF!,"AAAAAG/9+60=")</f>
        <v>#REF!</v>
      </c>
      <c r="FS46" t="e">
        <f>IF(#REF!,"AAAAAG/9+64=",0)</f>
        <v>#REF!</v>
      </c>
      <c r="FT46" t="e">
        <f>AND(#REF!,"AAAAAG/9+68=")</f>
        <v>#REF!</v>
      </c>
      <c r="FU46" t="e">
        <f>AND(#REF!,"AAAAAG/9+7A=")</f>
        <v>#REF!</v>
      </c>
      <c r="FV46" t="e">
        <f>AND(#REF!,"AAAAAG/9+7E=")</f>
        <v>#REF!</v>
      </c>
      <c r="FW46" t="e">
        <f>AND(#REF!,"AAAAAG/9+7I=")</f>
        <v>#REF!</v>
      </c>
      <c r="FX46" t="e">
        <f>AND(#REF!,"AAAAAG/9+7M=")</f>
        <v>#REF!</v>
      </c>
      <c r="FY46" t="e">
        <f>AND(#REF!,"AAAAAG/9+7Q=")</f>
        <v>#REF!</v>
      </c>
      <c r="FZ46" t="e">
        <f>IF(#REF!,"AAAAAG/9+7U=",0)</f>
        <v>#REF!</v>
      </c>
      <c r="GA46" t="e">
        <f>AND(#REF!,"AAAAAG/9+7Y=")</f>
        <v>#REF!</v>
      </c>
      <c r="GB46" t="e">
        <f>AND(#REF!,"AAAAAG/9+7c=")</f>
        <v>#REF!</v>
      </c>
      <c r="GC46" t="e">
        <f>AND(#REF!,"AAAAAG/9+7g=")</f>
        <v>#REF!</v>
      </c>
      <c r="GD46" t="e">
        <f>AND(#REF!,"AAAAAG/9+7k=")</f>
        <v>#REF!</v>
      </c>
      <c r="GE46" t="e">
        <f>AND(#REF!,"AAAAAG/9+7o=")</f>
        <v>#REF!</v>
      </c>
      <c r="GF46" t="e">
        <f>AND(#REF!,"AAAAAG/9+7s=")</f>
        <v>#REF!</v>
      </c>
      <c r="GG46" t="e">
        <f>IF(#REF!,"AAAAAG/9+7w=",0)</f>
        <v>#REF!</v>
      </c>
      <c r="GH46" t="e">
        <f>AND(#REF!,"AAAAAG/9+70=")</f>
        <v>#REF!</v>
      </c>
      <c r="GI46" t="e">
        <f>AND(#REF!,"AAAAAG/9+74=")</f>
        <v>#REF!</v>
      </c>
      <c r="GJ46" t="e">
        <f>AND(#REF!,"AAAAAG/9+78=")</f>
        <v>#REF!</v>
      </c>
      <c r="GK46" t="e">
        <f>AND(#REF!,"AAAAAG/9+8A=")</f>
        <v>#REF!</v>
      </c>
      <c r="GL46" t="e">
        <f>AND(#REF!,"AAAAAG/9+8E=")</f>
        <v>#REF!</v>
      </c>
      <c r="GM46" t="e">
        <f>AND(#REF!,"AAAAAG/9+8I=")</f>
        <v>#REF!</v>
      </c>
      <c r="GN46" t="e">
        <f>IF(#REF!,"AAAAAG/9+8M=",0)</f>
        <v>#REF!</v>
      </c>
      <c r="GO46" t="e">
        <f>AND(#REF!,"AAAAAG/9+8Q=")</f>
        <v>#REF!</v>
      </c>
      <c r="GP46" t="e">
        <f>AND(#REF!,"AAAAAG/9+8U=")</f>
        <v>#REF!</v>
      </c>
      <c r="GQ46" t="e">
        <f>AND(#REF!,"AAAAAG/9+8Y=")</f>
        <v>#REF!</v>
      </c>
      <c r="GR46" t="e">
        <f>AND(#REF!,"AAAAAG/9+8c=")</f>
        <v>#REF!</v>
      </c>
      <c r="GS46" t="e">
        <f>AND(#REF!,"AAAAAG/9+8g=")</f>
        <v>#REF!</v>
      </c>
      <c r="GT46" t="e">
        <f>AND(#REF!,"AAAAAG/9+8k=")</f>
        <v>#REF!</v>
      </c>
      <c r="GU46" t="e">
        <f>IF(#REF!,"AAAAAG/9+8o=",0)</f>
        <v>#REF!</v>
      </c>
      <c r="GV46" t="e">
        <f>AND(#REF!,"AAAAAG/9+8s=")</f>
        <v>#REF!</v>
      </c>
      <c r="GW46" t="e">
        <f>AND(#REF!,"AAAAAG/9+8w=")</f>
        <v>#REF!</v>
      </c>
      <c r="GX46" t="e">
        <f>AND(#REF!,"AAAAAG/9+80=")</f>
        <v>#REF!</v>
      </c>
      <c r="GY46" t="e">
        <f>AND(#REF!,"AAAAAG/9+84=")</f>
        <v>#REF!</v>
      </c>
      <c r="GZ46" t="e">
        <f>AND(#REF!,"AAAAAG/9+88=")</f>
        <v>#REF!</v>
      </c>
      <c r="HA46" t="e">
        <f>AND(#REF!,"AAAAAG/9+9A=")</f>
        <v>#REF!</v>
      </c>
      <c r="HB46" t="e">
        <f>IF(#REF!,"AAAAAG/9+9E=",0)</f>
        <v>#REF!</v>
      </c>
      <c r="HC46" t="e">
        <f>AND(#REF!,"AAAAAG/9+9I=")</f>
        <v>#REF!</v>
      </c>
      <c r="HD46" t="e">
        <f>AND(#REF!,"AAAAAG/9+9M=")</f>
        <v>#REF!</v>
      </c>
      <c r="HE46" t="e">
        <f>AND(#REF!,"AAAAAG/9+9Q=")</f>
        <v>#REF!</v>
      </c>
      <c r="HF46" t="e">
        <f>AND(#REF!,"AAAAAG/9+9U=")</f>
        <v>#REF!</v>
      </c>
      <c r="HG46" t="e">
        <f>AND(#REF!,"AAAAAG/9+9Y=")</f>
        <v>#REF!</v>
      </c>
      <c r="HH46" t="e">
        <f>AND(#REF!,"AAAAAG/9+9c=")</f>
        <v>#REF!</v>
      </c>
      <c r="HI46" t="e">
        <f>IF(#REF!,"AAAAAG/9+9g=",0)</f>
        <v>#REF!</v>
      </c>
      <c r="HJ46" t="e">
        <f>AND(#REF!,"AAAAAG/9+9k=")</f>
        <v>#REF!</v>
      </c>
      <c r="HK46" t="e">
        <f>AND(#REF!,"AAAAAG/9+9o=")</f>
        <v>#REF!</v>
      </c>
      <c r="HL46" t="e">
        <f>AND(#REF!,"AAAAAG/9+9s=")</f>
        <v>#REF!</v>
      </c>
      <c r="HM46" t="e">
        <f>AND(#REF!,"AAAAAG/9+9w=")</f>
        <v>#REF!</v>
      </c>
      <c r="HN46" t="e">
        <f>AND(#REF!,"AAAAAG/9+90=")</f>
        <v>#REF!</v>
      </c>
      <c r="HO46" t="e">
        <f>AND(#REF!,"AAAAAG/9+94=")</f>
        <v>#REF!</v>
      </c>
      <c r="HP46" t="e">
        <f>IF(#REF!,"AAAAAG/9+98=",0)</f>
        <v>#REF!</v>
      </c>
      <c r="HQ46" t="e">
        <f>AND(#REF!,"AAAAAG/9++A=")</f>
        <v>#REF!</v>
      </c>
      <c r="HR46" t="e">
        <f>AND(#REF!,"AAAAAG/9++E=")</f>
        <v>#REF!</v>
      </c>
      <c r="HS46" t="e">
        <f>AND(#REF!,"AAAAAG/9++I=")</f>
        <v>#REF!</v>
      </c>
      <c r="HT46" t="e">
        <f>AND(#REF!,"AAAAAG/9++M=")</f>
        <v>#REF!</v>
      </c>
      <c r="HU46" t="e">
        <f>AND(#REF!,"AAAAAG/9++Q=")</f>
        <v>#REF!</v>
      </c>
      <c r="HV46" t="e">
        <f>AND(#REF!,"AAAAAG/9++U=")</f>
        <v>#REF!</v>
      </c>
      <c r="HW46" t="e">
        <f>IF(#REF!,"AAAAAG/9++Y=",0)</f>
        <v>#REF!</v>
      </c>
      <c r="HX46" t="e">
        <f>AND(#REF!,"AAAAAG/9++c=")</f>
        <v>#REF!</v>
      </c>
      <c r="HY46" t="e">
        <f>AND(#REF!,"AAAAAG/9++g=")</f>
        <v>#REF!</v>
      </c>
      <c r="HZ46" t="e">
        <f>AND(#REF!,"AAAAAG/9++k=")</f>
        <v>#REF!</v>
      </c>
      <c r="IA46" t="e">
        <f>AND(#REF!,"AAAAAG/9++o=")</f>
        <v>#REF!</v>
      </c>
      <c r="IB46" t="e">
        <f>AND(#REF!,"AAAAAG/9++s=")</f>
        <v>#REF!</v>
      </c>
      <c r="IC46" t="e">
        <f>AND(#REF!,"AAAAAG/9++w=")</f>
        <v>#REF!</v>
      </c>
      <c r="ID46" t="e">
        <f>IF(#REF!,"AAAAAG/9++0=",0)</f>
        <v>#REF!</v>
      </c>
      <c r="IE46" t="e">
        <f>AND(#REF!,"AAAAAG/9++4=")</f>
        <v>#REF!</v>
      </c>
      <c r="IF46" t="e">
        <f>AND(#REF!,"AAAAAG/9++8=")</f>
        <v>#REF!</v>
      </c>
      <c r="IG46" t="e">
        <f>AND(#REF!,"AAAAAG/9+/A=")</f>
        <v>#REF!</v>
      </c>
      <c r="IH46" t="e">
        <f>AND(#REF!,"AAAAAG/9+/E=")</f>
        <v>#REF!</v>
      </c>
      <c r="II46" t="e">
        <f>AND(#REF!,"AAAAAG/9+/I=")</f>
        <v>#REF!</v>
      </c>
      <c r="IJ46" t="e">
        <f>AND(#REF!,"AAAAAG/9+/M=")</f>
        <v>#REF!</v>
      </c>
      <c r="IK46" t="e">
        <f>IF(#REF!,"AAAAAG/9+/Q=",0)</f>
        <v>#REF!</v>
      </c>
      <c r="IL46" t="e">
        <f>AND(#REF!,"AAAAAG/9+/U=")</f>
        <v>#REF!</v>
      </c>
      <c r="IM46" t="e">
        <f>AND(#REF!,"AAAAAG/9+/Y=")</f>
        <v>#REF!</v>
      </c>
      <c r="IN46" t="e">
        <f>AND(#REF!,"AAAAAG/9+/c=")</f>
        <v>#REF!</v>
      </c>
      <c r="IO46" t="e">
        <f>AND(#REF!,"AAAAAG/9+/g=")</f>
        <v>#REF!</v>
      </c>
      <c r="IP46" t="e">
        <f>AND(#REF!,"AAAAAG/9+/k=")</f>
        <v>#REF!</v>
      </c>
      <c r="IQ46" t="e">
        <f>AND(#REF!,"AAAAAG/9+/o=")</f>
        <v>#REF!</v>
      </c>
      <c r="IR46" t="e">
        <f>IF(#REF!,"AAAAAG/9+/s=",0)</f>
        <v>#REF!</v>
      </c>
      <c r="IS46" t="e">
        <f>AND(#REF!,"AAAAAG/9+/w=")</f>
        <v>#REF!</v>
      </c>
      <c r="IT46" t="e">
        <f>AND(#REF!,"AAAAAG/9+/0=")</f>
        <v>#REF!</v>
      </c>
      <c r="IU46" t="e">
        <f>AND(#REF!,"AAAAAG/9+/4=")</f>
        <v>#REF!</v>
      </c>
      <c r="IV46" t="e">
        <f>AND(#REF!,"AAAAAG/9+/8=")</f>
        <v>#REF!</v>
      </c>
    </row>
    <row r="47" spans="1:256" x14ac:dyDescent="0.25">
      <c r="A47" t="e">
        <f>AND(#REF!,"AAAAAHw/vgA=")</f>
        <v>#REF!</v>
      </c>
      <c r="B47" t="e">
        <f>AND(#REF!,"AAAAAHw/vgE=")</f>
        <v>#REF!</v>
      </c>
      <c r="C47" t="e">
        <f>IF(#REF!,"AAAAAHw/vgI=",0)</f>
        <v>#REF!</v>
      </c>
      <c r="D47" t="e">
        <f>AND(#REF!,"AAAAAHw/vgM=")</f>
        <v>#REF!</v>
      </c>
      <c r="E47" t="e">
        <f>AND(#REF!,"AAAAAHw/vgQ=")</f>
        <v>#REF!</v>
      </c>
      <c r="F47" t="e">
        <f>AND(#REF!,"AAAAAHw/vgU=")</f>
        <v>#REF!</v>
      </c>
      <c r="G47" t="e">
        <f>AND(#REF!,"AAAAAHw/vgY=")</f>
        <v>#REF!</v>
      </c>
      <c r="H47" t="e">
        <f>AND(#REF!,"AAAAAHw/vgc=")</f>
        <v>#REF!</v>
      </c>
      <c r="I47" t="e">
        <f>AND(#REF!,"AAAAAHw/vgg=")</f>
        <v>#REF!</v>
      </c>
      <c r="J47" t="e">
        <f>IF(#REF!,"AAAAAHw/vgk=",0)</f>
        <v>#REF!</v>
      </c>
      <c r="K47" t="e">
        <f>AND(#REF!,"AAAAAHw/vgo=")</f>
        <v>#REF!</v>
      </c>
      <c r="L47" t="e">
        <f>AND(#REF!,"AAAAAHw/vgs=")</f>
        <v>#REF!</v>
      </c>
      <c r="M47" t="e">
        <f>AND(#REF!,"AAAAAHw/vgw=")</f>
        <v>#REF!</v>
      </c>
      <c r="N47" t="e">
        <f>AND(#REF!,"AAAAAHw/vg0=")</f>
        <v>#REF!</v>
      </c>
      <c r="O47" t="e">
        <f>AND(#REF!,"AAAAAHw/vg4=")</f>
        <v>#REF!</v>
      </c>
      <c r="P47" t="e">
        <f>AND(#REF!,"AAAAAHw/vg8=")</f>
        <v>#REF!</v>
      </c>
      <c r="Q47" t="e">
        <f>IF(#REF!,"AAAAAHw/vhA=",0)</f>
        <v>#REF!</v>
      </c>
      <c r="R47" t="e">
        <f>AND(#REF!,"AAAAAHw/vhE=")</f>
        <v>#REF!</v>
      </c>
      <c r="S47" t="e">
        <f>AND(#REF!,"AAAAAHw/vhI=")</f>
        <v>#REF!</v>
      </c>
      <c r="T47" t="e">
        <f>AND(#REF!,"AAAAAHw/vhM=")</f>
        <v>#REF!</v>
      </c>
      <c r="U47" t="e">
        <f>AND(#REF!,"AAAAAHw/vhQ=")</f>
        <v>#REF!</v>
      </c>
      <c r="V47" t="e">
        <f>AND(#REF!,"AAAAAHw/vhU=")</f>
        <v>#REF!</v>
      </c>
      <c r="W47" t="e">
        <f>AND(#REF!,"AAAAAHw/vhY=")</f>
        <v>#REF!</v>
      </c>
      <c r="X47" t="e">
        <f>IF(#REF!,"AAAAAHw/vhc=",0)</f>
        <v>#REF!</v>
      </c>
      <c r="Y47" t="e">
        <f>AND(#REF!,"AAAAAHw/vhg=")</f>
        <v>#REF!</v>
      </c>
      <c r="Z47" t="e">
        <f>AND(#REF!,"AAAAAHw/vhk=")</f>
        <v>#REF!</v>
      </c>
      <c r="AA47" t="e">
        <f>AND(#REF!,"AAAAAHw/vho=")</f>
        <v>#REF!</v>
      </c>
      <c r="AB47" t="e">
        <f>AND(#REF!,"AAAAAHw/vhs=")</f>
        <v>#REF!</v>
      </c>
      <c r="AC47" t="e">
        <f>AND(#REF!,"AAAAAHw/vhw=")</f>
        <v>#REF!</v>
      </c>
      <c r="AD47" t="e">
        <f>AND(#REF!,"AAAAAHw/vh0=")</f>
        <v>#REF!</v>
      </c>
      <c r="AE47" t="e">
        <f>IF(#REF!,"AAAAAHw/vh4=",0)</f>
        <v>#REF!</v>
      </c>
      <c r="AF47" t="e">
        <f>AND(#REF!,"AAAAAHw/vh8=")</f>
        <v>#REF!</v>
      </c>
      <c r="AG47" t="e">
        <f>AND(#REF!,"AAAAAHw/viA=")</f>
        <v>#REF!</v>
      </c>
      <c r="AH47" t="e">
        <f>AND(#REF!,"AAAAAHw/viE=")</f>
        <v>#REF!</v>
      </c>
      <c r="AI47" t="e">
        <f>AND(#REF!,"AAAAAHw/viI=")</f>
        <v>#REF!</v>
      </c>
      <c r="AJ47" t="e">
        <f>AND(#REF!,"AAAAAHw/viM=")</f>
        <v>#REF!</v>
      </c>
      <c r="AK47" t="e">
        <f>AND(#REF!,"AAAAAHw/viQ=")</f>
        <v>#REF!</v>
      </c>
      <c r="AL47" t="e">
        <f>IF(#REF!,"AAAAAHw/viU=",0)</f>
        <v>#REF!</v>
      </c>
      <c r="AM47" t="e">
        <f>AND(#REF!,"AAAAAHw/viY=")</f>
        <v>#REF!</v>
      </c>
      <c r="AN47" t="e">
        <f>AND(#REF!,"AAAAAHw/vic=")</f>
        <v>#REF!</v>
      </c>
      <c r="AO47" t="e">
        <f>AND(#REF!,"AAAAAHw/vig=")</f>
        <v>#REF!</v>
      </c>
      <c r="AP47" t="e">
        <f>AND(#REF!,"AAAAAHw/vik=")</f>
        <v>#REF!</v>
      </c>
      <c r="AQ47" t="e">
        <f>AND(#REF!,"AAAAAHw/vio=")</f>
        <v>#REF!</v>
      </c>
      <c r="AR47" t="e">
        <f>AND(#REF!,"AAAAAHw/vis=")</f>
        <v>#REF!</v>
      </c>
      <c r="AS47" t="e">
        <f>IF(#REF!,"AAAAAHw/viw=",0)</f>
        <v>#REF!</v>
      </c>
      <c r="AT47" t="e">
        <f>AND(#REF!,"AAAAAHw/vi0=")</f>
        <v>#REF!</v>
      </c>
      <c r="AU47" t="e">
        <f>AND(#REF!,"AAAAAHw/vi4=")</f>
        <v>#REF!</v>
      </c>
      <c r="AV47" t="e">
        <f>AND(#REF!,"AAAAAHw/vi8=")</f>
        <v>#REF!</v>
      </c>
      <c r="AW47" t="e">
        <f>AND(#REF!,"AAAAAHw/vjA=")</f>
        <v>#REF!</v>
      </c>
      <c r="AX47" t="e">
        <f>AND(#REF!,"AAAAAHw/vjE=")</f>
        <v>#REF!</v>
      </c>
      <c r="AY47" t="e">
        <f>AND(#REF!,"AAAAAHw/vjI=")</f>
        <v>#REF!</v>
      </c>
      <c r="AZ47" t="e">
        <f>IF(#REF!,"AAAAAHw/vjM=",0)</f>
        <v>#REF!</v>
      </c>
      <c r="BA47" t="e">
        <f>AND(#REF!,"AAAAAHw/vjQ=")</f>
        <v>#REF!</v>
      </c>
      <c r="BB47" t="e">
        <f>AND(#REF!,"AAAAAHw/vjU=")</f>
        <v>#REF!</v>
      </c>
      <c r="BC47" t="e">
        <f>AND(#REF!,"AAAAAHw/vjY=")</f>
        <v>#REF!</v>
      </c>
      <c r="BD47" t="e">
        <f>AND(#REF!,"AAAAAHw/vjc=")</f>
        <v>#REF!</v>
      </c>
      <c r="BE47" t="e">
        <f>AND(#REF!,"AAAAAHw/vjg=")</f>
        <v>#REF!</v>
      </c>
      <c r="BF47" t="e">
        <f>AND(#REF!,"AAAAAHw/vjk=")</f>
        <v>#REF!</v>
      </c>
      <c r="BG47" t="e">
        <f>IF(#REF!,"AAAAAHw/vjo=",0)</f>
        <v>#REF!</v>
      </c>
      <c r="BH47" t="e">
        <f>AND(#REF!,"AAAAAHw/vjs=")</f>
        <v>#REF!</v>
      </c>
      <c r="BI47" t="e">
        <f>AND(#REF!,"AAAAAHw/vjw=")</f>
        <v>#REF!</v>
      </c>
      <c r="BJ47" t="e">
        <f>AND(#REF!,"AAAAAHw/vj0=")</f>
        <v>#REF!</v>
      </c>
      <c r="BK47" t="e">
        <f>AND(#REF!,"AAAAAHw/vj4=")</f>
        <v>#REF!</v>
      </c>
      <c r="BL47" t="e">
        <f>AND(#REF!,"AAAAAHw/vj8=")</f>
        <v>#REF!</v>
      </c>
      <c r="BM47" t="e">
        <f>AND(#REF!,"AAAAAHw/vkA=")</f>
        <v>#REF!</v>
      </c>
      <c r="BN47" t="e">
        <f>IF(#REF!,"AAAAAHw/vkE=",0)</f>
        <v>#REF!</v>
      </c>
      <c r="BO47" t="e">
        <f>AND(#REF!,"AAAAAHw/vkI=")</f>
        <v>#REF!</v>
      </c>
      <c r="BP47" t="e">
        <f>AND(#REF!,"AAAAAHw/vkM=")</f>
        <v>#REF!</v>
      </c>
      <c r="BQ47" t="e">
        <f>AND(#REF!,"AAAAAHw/vkQ=")</f>
        <v>#REF!</v>
      </c>
      <c r="BR47" t="e">
        <f>AND(#REF!,"AAAAAHw/vkU=")</f>
        <v>#REF!</v>
      </c>
      <c r="BS47" t="e">
        <f>AND(#REF!,"AAAAAHw/vkY=")</f>
        <v>#REF!</v>
      </c>
      <c r="BT47" t="e">
        <f>AND(#REF!,"AAAAAHw/vkc=")</f>
        <v>#REF!</v>
      </c>
      <c r="BU47" t="e">
        <f>IF(#REF!,"AAAAAHw/vkg=",0)</f>
        <v>#REF!</v>
      </c>
      <c r="BV47" t="e">
        <f>AND(#REF!,"AAAAAHw/vkk=")</f>
        <v>#REF!</v>
      </c>
      <c r="BW47" t="e">
        <f>AND(#REF!,"AAAAAHw/vko=")</f>
        <v>#REF!</v>
      </c>
      <c r="BX47" t="e">
        <f>AND(#REF!,"AAAAAHw/vks=")</f>
        <v>#REF!</v>
      </c>
      <c r="BY47" t="e">
        <f>AND(#REF!,"AAAAAHw/vkw=")</f>
        <v>#REF!</v>
      </c>
      <c r="BZ47" t="e">
        <f>AND(#REF!,"AAAAAHw/vk0=")</f>
        <v>#REF!</v>
      </c>
      <c r="CA47" t="e">
        <f>AND(#REF!,"AAAAAHw/vk4=")</f>
        <v>#REF!</v>
      </c>
      <c r="CB47" t="e">
        <f>IF(#REF!,"AAAAAHw/vk8=",0)</f>
        <v>#REF!</v>
      </c>
      <c r="CC47" t="e">
        <f>AND(#REF!,"AAAAAHw/vlA=")</f>
        <v>#REF!</v>
      </c>
      <c r="CD47" t="e">
        <f>AND(#REF!,"AAAAAHw/vlE=")</f>
        <v>#REF!</v>
      </c>
      <c r="CE47" t="e">
        <f>AND(#REF!,"AAAAAHw/vlI=")</f>
        <v>#REF!</v>
      </c>
      <c r="CF47" t="e">
        <f>AND(#REF!,"AAAAAHw/vlM=")</f>
        <v>#REF!</v>
      </c>
      <c r="CG47" t="e">
        <f>AND(#REF!,"AAAAAHw/vlQ=")</f>
        <v>#REF!</v>
      </c>
      <c r="CH47" t="e">
        <f>AND(#REF!,"AAAAAHw/vlU=")</f>
        <v>#REF!</v>
      </c>
      <c r="CI47" t="e">
        <f>IF(#REF!,"AAAAAHw/vlY=",0)</f>
        <v>#REF!</v>
      </c>
      <c r="CJ47" t="e">
        <f>AND(#REF!,"AAAAAHw/vlc=")</f>
        <v>#REF!</v>
      </c>
      <c r="CK47" t="e">
        <f>AND(#REF!,"AAAAAHw/vlg=")</f>
        <v>#REF!</v>
      </c>
      <c r="CL47" t="e">
        <f>AND(#REF!,"AAAAAHw/vlk=")</f>
        <v>#REF!</v>
      </c>
      <c r="CM47" t="e">
        <f>AND(#REF!,"AAAAAHw/vlo=")</f>
        <v>#REF!</v>
      </c>
      <c r="CN47" t="e">
        <f>AND(#REF!,"AAAAAHw/vls=")</f>
        <v>#REF!</v>
      </c>
      <c r="CO47" t="e">
        <f>AND(#REF!,"AAAAAHw/vlw=")</f>
        <v>#REF!</v>
      </c>
      <c r="CP47" t="e">
        <f>IF(#REF!,"AAAAAHw/vl0=",0)</f>
        <v>#REF!</v>
      </c>
      <c r="CQ47" t="e">
        <f>AND(#REF!,"AAAAAHw/vl4=")</f>
        <v>#REF!</v>
      </c>
      <c r="CR47" t="e">
        <f>AND(#REF!,"AAAAAHw/vl8=")</f>
        <v>#REF!</v>
      </c>
      <c r="CS47" t="e">
        <f>AND(#REF!,"AAAAAHw/vmA=")</f>
        <v>#REF!</v>
      </c>
      <c r="CT47" t="e">
        <f>AND(#REF!,"AAAAAHw/vmE=")</f>
        <v>#REF!</v>
      </c>
      <c r="CU47" t="e">
        <f>AND(#REF!,"AAAAAHw/vmI=")</f>
        <v>#REF!</v>
      </c>
      <c r="CV47" t="e">
        <f>AND(#REF!,"AAAAAHw/vmM=")</f>
        <v>#REF!</v>
      </c>
      <c r="CW47" t="e">
        <f>IF(#REF!,"AAAAAHw/vmQ=",0)</f>
        <v>#REF!</v>
      </c>
      <c r="CX47" t="e">
        <f>AND(#REF!,"AAAAAHw/vmU=")</f>
        <v>#REF!</v>
      </c>
      <c r="CY47" t="e">
        <f>AND(#REF!,"AAAAAHw/vmY=")</f>
        <v>#REF!</v>
      </c>
      <c r="CZ47" t="e">
        <f>AND(#REF!,"AAAAAHw/vmc=")</f>
        <v>#REF!</v>
      </c>
      <c r="DA47" t="e">
        <f>AND(#REF!,"AAAAAHw/vmg=")</f>
        <v>#REF!</v>
      </c>
      <c r="DB47" t="e">
        <f>AND(#REF!,"AAAAAHw/vmk=")</f>
        <v>#REF!</v>
      </c>
      <c r="DC47" t="e">
        <f>AND(#REF!,"AAAAAHw/vmo=")</f>
        <v>#REF!</v>
      </c>
      <c r="DD47" t="e">
        <f>IF(#REF!,"AAAAAHw/vms=",0)</f>
        <v>#REF!</v>
      </c>
      <c r="DE47" t="e">
        <f>AND(#REF!,"AAAAAHw/vmw=")</f>
        <v>#REF!</v>
      </c>
      <c r="DF47" t="e">
        <f>AND(#REF!,"AAAAAHw/vm0=")</f>
        <v>#REF!</v>
      </c>
      <c r="DG47" t="e">
        <f>AND(#REF!,"AAAAAHw/vm4=")</f>
        <v>#REF!</v>
      </c>
      <c r="DH47" t="e">
        <f>AND(#REF!,"AAAAAHw/vm8=")</f>
        <v>#REF!</v>
      </c>
      <c r="DI47" t="e">
        <f>AND(#REF!,"AAAAAHw/vnA=")</f>
        <v>#REF!</v>
      </c>
      <c r="DJ47" t="e">
        <f>AND(#REF!,"AAAAAHw/vnE=")</f>
        <v>#REF!</v>
      </c>
      <c r="DK47" t="e">
        <f>IF(#REF!,"AAAAAHw/vnI=",0)</f>
        <v>#REF!</v>
      </c>
      <c r="DL47" t="e">
        <f>AND(#REF!,"AAAAAHw/vnM=")</f>
        <v>#REF!</v>
      </c>
      <c r="DM47" t="e">
        <f>AND(#REF!,"AAAAAHw/vnQ=")</f>
        <v>#REF!</v>
      </c>
      <c r="DN47" t="e">
        <f>AND(#REF!,"AAAAAHw/vnU=")</f>
        <v>#REF!</v>
      </c>
      <c r="DO47" t="e">
        <f>AND(#REF!,"AAAAAHw/vnY=")</f>
        <v>#REF!</v>
      </c>
      <c r="DP47" t="e">
        <f>AND(#REF!,"AAAAAHw/vnc=")</f>
        <v>#REF!</v>
      </c>
      <c r="DQ47" t="e">
        <f>AND(#REF!,"AAAAAHw/vng=")</f>
        <v>#REF!</v>
      </c>
      <c r="DR47" t="e">
        <f>IF(#REF!,"AAAAAHw/vnk=",0)</f>
        <v>#REF!</v>
      </c>
      <c r="DS47" t="e">
        <f>AND(#REF!,"AAAAAHw/vno=")</f>
        <v>#REF!</v>
      </c>
      <c r="DT47" t="e">
        <f>AND(#REF!,"AAAAAHw/vns=")</f>
        <v>#REF!</v>
      </c>
      <c r="DU47" t="e">
        <f>AND(#REF!,"AAAAAHw/vnw=")</f>
        <v>#REF!</v>
      </c>
      <c r="DV47" t="e">
        <f>AND(#REF!,"AAAAAHw/vn0=")</f>
        <v>#REF!</v>
      </c>
      <c r="DW47" t="e">
        <f>AND(#REF!,"AAAAAHw/vn4=")</f>
        <v>#REF!</v>
      </c>
      <c r="DX47" t="e">
        <f>AND(#REF!,"AAAAAHw/vn8=")</f>
        <v>#REF!</v>
      </c>
      <c r="DY47" t="e">
        <f>IF(#REF!,"AAAAAHw/voA=",0)</f>
        <v>#REF!</v>
      </c>
      <c r="DZ47" t="e">
        <f>AND(#REF!,"AAAAAHw/voE=")</f>
        <v>#REF!</v>
      </c>
      <c r="EA47" t="e">
        <f>AND(#REF!,"AAAAAHw/voI=")</f>
        <v>#REF!</v>
      </c>
      <c r="EB47" t="e">
        <f>AND(#REF!,"AAAAAHw/voM=")</f>
        <v>#REF!</v>
      </c>
      <c r="EC47" t="e">
        <f>AND(#REF!,"AAAAAHw/voQ=")</f>
        <v>#REF!</v>
      </c>
      <c r="ED47" t="e">
        <f>AND(#REF!,"AAAAAHw/voU=")</f>
        <v>#REF!</v>
      </c>
      <c r="EE47" t="e">
        <f>AND(#REF!,"AAAAAHw/voY=")</f>
        <v>#REF!</v>
      </c>
      <c r="EF47" t="e">
        <f>IF(#REF!,"AAAAAHw/voc=",0)</f>
        <v>#REF!</v>
      </c>
      <c r="EG47" t="e">
        <f>AND(#REF!,"AAAAAHw/vog=")</f>
        <v>#REF!</v>
      </c>
      <c r="EH47" t="e">
        <f>AND(#REF!,"AAAAAHw/vok=")</f>
        <v>#REF!</v>
      </c>
      <c r="EI47" t="e">
        <f>AND(#REF!,"AAAAAHw/voo=")</f>
        <v>#REF!</v>
      </c>
      <c r="EJ47" t="e">
        <f>AND(#REF!,"AAAAAHw/vos=")</f>
        <v>#REF!</v>
      </c>
      <c r="EK47" t="e">
        <f>AND(#REF!,"AAAAAHw/vow=")</f>
        <v>#REF!</v>
      </c>
      <c r="EL47" t="e">
        <f>AND(#REF!,"AAAAAHw/vo0=")</f>
        <v>#REF!</v>
      </c>
      <c r="EM47" t="e">
        <f>IF(#REF!,"AAAAAHw/vo4=",0)</f>
        <v>#REF!</v>
      </c>
      <c r="EN47" t="e">
        <f>AND(#REF!,"AAAAAHw/vo8=")</f>
        <v>#REF!</v>
      </c>
      <c r="EO47" t="e">
        <f>AND(#REF!,"AAAAAHw/vpA=")</f>
        <v>#REF!</v>
      </c>
      <c r="EP47" t="e">
        <f>AND(#REF!,"AAAAAHw/vpE=")</f>
        <v>#REF!</v>
      </c>
      <c r="EQ47" t="e">
        <f>AND(#REF!,"AAAAAHw/vpI=")</f>
        <v>#REF!</v>
      </c>
      <c r="ER47" t="e">
        <f>AND(#REF!,"AAAAAHw/vpM=")</f>
        <v>#REF!</v>
      </c>
      <c r="ES47" t="e">
        <f>AND(#REF!,"AAAAAHw/vpQ=")</f>
        <v>#REF!</v>
      </c>
      <c r="ET47" t="e">
        <f>IF(#REF!,"AAAAAHw/vpU=",0)</f>
        <v>#REF!</v>
      </c>
      <c r="EU47" t="e">
        <f>AND(#REF!,"AAAAAHw/vpY=")</f>
        <v>#REF!</v>
      </c>
      <c r="EV47" t="e">
        <f>AND(#REF!,"AAAAAHw/vpc=")</f>
        <v>#REF!</v>
      </c>
      <c r="EW47" t="e">
        <f>AND(#REF!,"AAAAAHw/vpg=")</f>
        <v>#REF!</v>
      </c>
      <c r="EX47" t="e">
        <f>AND(#REF!,"AAAAAHw/vpk=")</f>
        <v>#REF!</v>
      </c>
      <c r="EY47" t="e">
        <f>AND(#REF!,"AAAAAHw/vpo=")</f>
        <v>#REF!</v>
      </c>
      <c r="EZ47" t="e">
        <f>AND(#REF!,"AAAAAHw/vps=")</f>
        <v>#REF!</v>
      </c>
      <c r="FA47" t="e">
        <f>IF(#REF!,"AAAAAHw/vpw=",0)</f>
        <v>#REF!</v>
      </c>
      <c r="FB47" t="e">
        <f>AND(#REF!,"AAAAAHw/vp0=")</f>
        <v>#REF!</v>
      </c>
      <c r="FC47" t="e">
        <f>AND(#REF!,"AAAAAHw/vp4=")</f>
        <v>#REF!</v>
      </c>
      <c r="FD47" t="e">
        <f>AND(#REF!,"AAAAAHw/vp8=")</f>
        <v>#REF!</v>
      </c>
      <c r="FE47" t="e">
        <f>AND(#REF!,"AAAAAHw/vqA=")</f>
        <v>#REF!</v>
      </c>
      <c r="FF47" t="e">
        <f>AND(#REF!,"AAAAAHw/vqE=")</f>
        <v>#REF!</v>
      </c>
      <c r="FG47" t="e">
        <f>AND(#REF!,"AAAAAHw/vqI=")</f>
        <v>#REF!</v>
      </c>
      <c r="FH47" t="e">
        <f>IF(#REF!,"AAAAAHw/vqM=",0)</f>
        <v>#REF!</v>
      </c>
      <c r="FI47" t="e">
        <f>AND(#REF!,"AAAAAHw/vqQ=")</f>
        <v>#REF!</v>
      </c>
      <c r="FJ47" t="e">
        <f>AND(#REF!,"AAAAAHw/vqU=")</f>
        <v>#REF!</v>
      </c>
      <c r="FK47" t="e">
        <f>AND(#REF!,"AAAAAHw/vqY=")</f>
        <v>#REF!</v>
      </c>
      <c r="FL47" t="e">
        <f>AND(#REF!,"AAAAAHw/vqc=")</f>
        <v>#REF!</v>
      </c>
      <c r="FM47" t="e">
        <f>AND(#REF!,"AAAAAHw/vqg=")</f>
        <v>#REF!</v>
      </c>
      <c r="FN47" t="e">
        <f>AND(#REF!,"AAAAAHw/vqk=")</f>
        <v>#REF!</v>
      </c>
      <c r="FO47" t="e">
        <f>IF(#REF!,"AAAAAHw/vqo=",0)</f>
        <v>#REF!</v>
      </c>
      <c r="FP47" t="e">
        <f>AND(#REF!,"AAAAAHw/vqs=")</f>
        <v>#REF!</v>
      </c>
      <c r="FQ47" t="e">
        <f>AND(#REF!,"AAAAAHw/vqw=")</f>
        <v>#REF!</v>
      </c>
      <c r="FR47" t="e">
        <f>AND(#REF!,"AAAAAHw/vq0=")</f>
        <v>#REF!</v>
      </c>
      <c r="FS47" t="e">
        <f>AND(#REF!,"AAAAAHw/vq4=")</f>
        <v>#REF!</v>
      </c>
      <c r="FT47" t="e">
        <f>AND(#REF!,"AAAAAHw/vq8=")</f>
        <v>#REF!</v>
      </c>
      <c r="FU47" t="e">
        <f>AND(#REF!,"AAAAAHw/vrA=")</f>
        <v>#REF!</v>
      </c>
      <c r="FV47" t="e">
        <f>IF(#REF!,"AAAAAHw/vrE=",0)</f>
        <v>#REF!</v>
      </c>
      <c r="FW47" t="e">
        <f>AND(#REF!,"AAAAAHw/vrI=")</f>
        <v>#REF!</v>
      </c>
      <c r="FX47" t="e">
        <f>AND(#REF!,"AAAAAHw/vrM=")</f>
        <v>#REF!</v>
      </c>
      <c r="FY47" t="e">
        <f>AND(#REF!,"AAAAAHw/vrQ=")</f>
        <v>#REF!</v>
      </c>
      <c r="FZ47" t="e">
        <f>AND(#REF!,"AAAAAHw/vrU=")</f>
        <v>#REF!</v>
      </c>
      <c r="GA47" t="e">
        <f>AND(#REF!,"AAAAAHw/vrY=")</f>
        <v>#REF!</v>
      </c>
      <c r="GB47" t="e">
        <f>AND(#REF!,"AAAAAHw/vrc=")</f>
        <v>#REF!</v>
      </c>
      <c r="GC47" t="e">
        <f>IF(#REF!,"AAAAAHw/vrg=",0)</f>
        <v>#REF!</v>
      </c>
      <c r="GD47" t="e">
        <f>AND(#REF!,"AAAAAHw/vrk=")</f>
        <v>#REF!</v>
      </c>
      <c r="GE47" t="e">
        <f>AND(#REF!,"AAAAAHw/vro=")</f>
        <v>#REF!</v>
      </c>
      <c r="GF47" t="e">
        <f>AND(#REF!,"AAAAAHw/vrs=")</f>
        <v>#REF!</v>
      </c>
      <c r="GG47" t="e">
        <f>AND(#REF!,"AAAAAHw/vrw=")</f>
        <v>#REF!</v>
      </c>
      <c r="GH47" t="e">
        <f>AND(#REF!,"AAAAAHw/vr0=")</f>
        <v>#REF!</v>
      </c>
      <c r="GI47" t="e">
        <f>AND(#REF!,"AAAAAHw/vr4=")</f>
        <v>#REF!</v>
      </c>
      <c r="GJ47" t="e">
        <f>IF(#REF!,"AAAAAHw/vr8=",0)</f>
        <v>#REF!</v>
      </c>
      <c r="GK47" t="e">
        <f>AND(#REF!,"AAAAAHw/vsA=")</f>
        <v>#REF!</v>
      </c>
      <c r="GL47" t="e">
        <f>AND(#REF!,"AAAAAHw/vsE=")</f>
        <v>#REF!</v>
      </c>
      <c r="GM47" t="e">
        <f>AND(#REF!,"AAAAAHw/vsI=")</f>
        <v>#REF!</v>
      </c>
      <c r="GN47" t="e">
        <f>AND(#REF!,"AAAAAHw/vsM=")</f>
        <v>#REF!</v>
      </c>
      <c r="GO47" t="e">
        <f>AND(#REF!,"AAAAAHw/vsQ=")</f>
        <v>#REF!</v>
      </c>
      <c r="GP47" t="e">
        <f>AND(#REF!,"AAAAAHw/vsU=")</f>
        <v>#REF!</v>
      </c>
      <c r="GQ47" t="e">
        <f>IF(#REF!,"AAAAAHw/vsY=",0)</f>
        <v>#REF!</v>
      </c>
      <c r="GR47" t="e">
        <f>AND(#REF!,"AAAAAHw/vsc=")</f>
        <v>#REF!</v>
      </c>
      <c r="GS47" t="e">
        <f>AND(#REF!,"AAAAAHw/vsg=")</f>
        <v>#REF!</v>
      </c>
      <c r="GT47" t="e">
        <f>AND(#REF!,"AAAAAHw/vsk=")</f>
        <v>#REF!</v>
      </c>
      <c r="GU47" t="e">
        <f>AND(#REF!,"AAAAAHw/vso=")</f>
        <v>#REF!</v>
      </c>
      <c r="GV47" t="e">
        <f>AND(#REF!,"AAAAAHw/vss=")</f>
        <v>#REF!</v>
      </c>
      <c r="GW47" t="e">
        <f>AND(#REF!,"AAAAAHw/vsw=")</f>
        <v>#REF!</v>
      </c>
      <c r="GX47" t="e">
        <f>IF(#REF!,"AAAAAHw/vs0=",0)</f>
        <v>#REF!</v>
      </c>
      <c r="GY47" t="e">
        <f>AND(#REF!,"AAAAAHw/vs4=")</f>
        <v>#REF!</v>
      </c>
      <c r="GZ47" t="e">
        <f>AND(#REF!,"AAAAAHw/vs8=")</f>
        <v>#REF!</v>
      </c>
      <c r="HA47" t="e">
        <f>AND(#REF!,"AAAAAHw/vtA=")</f>
        <v>#REF!</v>
      </c>
      <c r="HB47" t="e">
        <f>AND(#REF!,"AAAAAHw/vtE=")</f>
        <v>#REF!</v>
      </c>
      <c r="HC47" t="e">
        <f>AND(#REF!,"AAAAAHw/vtI=")</f>
        <v>#REF!</v>
      </c>
      <c r="HD47" t="e">
        <f>AND(#REF!,"AAAAAHw/vtM=")</f>
        <v>#REF!</v>
      </c>
      <c r="HE47" t="e">
        <f>IF(#REF!,"AAAAAHw/vtQ=",0)</f>
        <v>#REF!</v>
      </c>
      <c r="HF47" t="e">
        <f>AND(#REF!,"AAAAAHw/vtU=")</f>
        <v>#REF!</v>
      </c>
      <c r="HG47" t="e">
        <f>AND(#REF!,"AAAAAHw/vtY=")</f>
        <v>#REF!</v>
      </c>
      <c r="HH47" t="e">
        <f>AND(#REF!,"AAAAAHw/vtc=")</f>
        <v>#REF!</v>
      </c>
      <c r="HI47" t="e">
        <f>AND(#REF!,"AAAAAHw/vtg=")</f>
        <v>#REF!</v>
      </c>
      <c r="HJ47" t="e">
        <f>AND(#REF!,"AAAAAHw/vtk=")</f>
        <v>#REF!</v>
      </c>
      <c r="HK47" t="e">
        <f>AND(#REF!,"AAAAAHw/vto=")</f>
        <v>#REF!</v>
      </c>
      <c r="HL47" t="e">
        <f>IF(#REF!,"AAAAAHw/vts=",0)</f>
        <v>#REF!</v>
      </c>
      <c r="HM47" t="e">
        <f>AND(#REF!,"AAAAAHw/vtw=")</f>
        <v>#REF!</v>
      </c>
      <c r="HN47" t="e">
        <f>AND(#REF!,"AAAAAHw/vt0=")</f>
        <v>#REF!</v>
      </c>
      <c r="HO47" t="e">
        <f>AND(#REF!,"AAAAAHw/vt4=")</f>
        <v>#REF!</v>
      </c>
      <c r="HP47" t="e">
        <f>AND(#REF!,"AAAAAHw/vt8=")</f>
        <v>#REF!</v>
      </c>
      <c r="HQ47" t="e">
        <f>AND(#REF!,"AAAAAHw/vuA=")</f>
        <v>#REF!</v>
      </c>
      <c r="HR47" t="e">
        <f>AND(#REF!,"AAAAAHw/vuE=")</f>
        <v>#REF!</v>
      </c>
      <c r="HS47" t="e">
        <f>IF(#REF!,"AAAAAHw/vuI=",0)</f>
        <v>#REF!</v>
      </c>
      <c r="HT47" t="e">
        <f>AND(#REF!,"AAAAAHw/vuM=")</f>
        <v>#REF!</v>
      </c>
      <c r="HU47" t="e">
        <f>AND(#REF!,"AAAAAHw/vuQ=")</f>
        <v>#REF!</v>
      </c>
      <c r="HV47" t="e">
        <f>AND(#REF!,"AAAAAHw/vuU=")</f>
        <v>#REF!</v>
      </c>
      <c r="HW47" t="e">
        <f>AND(#REF!,"AAAAAHw/vuY=")</f>
        <v>#REF!</v>
      </c>
      <c r="HX47" t="e">
        <f>AND(#REF!,"AAAAAHw/vuc=")</f>
        <v>#REF!</v>
      </c>
      <c r="HY47" t="e">
        <f>AND(#REF!,"AAAAAHw/vug=")</f>
        <v>#REF!</v>
      </c>
      <c r="HZ47" t="e">
        <f>IF(#REF!,"AAAAAHw/vuk=",0)</f>
        <v>#REF!</v>
      </c>
      <c r="IA47" t="e">
        <f>AND(#REF!,"AAAAAHw/vuo=")</f>
        <v>#REF!</v>
      </c>
      <c r="IB47" t="e">
        <f>AND(#REF!,"AAAAAHw/vus=")</f>
        <v>#REF!</v>
      </c>
      <c r="IC47" t="e">
        <f>AND(#REF!,"AAAAAHw/vuw=")</f>
        <v>#REF!</v>
      </c>
      <c r="ID47" t="e">
        <f>AND(#REF!,"AAAAAHw/vu0=")</f>
        <v>#REF!</v>
      </c>
      <c r="IE47" t="e">
        <f>AND(#REF!,"AAAAAHw/vu4=")</f>
        <v>#REF!</v>
      </c>
      <c r="IF47" t="e">
        <f>AND(#REF!,"AAAAAHw/vu8=")</f>
        <v>#REF!</v>
      </c>
      <c r="IG47" t="e">
        <f>IF(#REF!,"AAAAAHw/vvA=",0)</f>
        <v>#REF!</v>
      </c>
      <c r="IH47" t="e">
        <f>AND(#REF!,"AAAAAHw/vvE=")</f>
        <v>#REF!</v>
      </c>
      <c r="II47" t="e">
        <f>AND(#REF!,"AAAAAHw/vvI=")</f>
        <v>#REF!</v>
      </c>
      <c r="IJ47" t="e">
        <f>AND(#REF!,"AAAAAHw/vvM=")</f>
        <v>#REF!</v>
      </c>
      <c r="IK47" t="e">
        <f>AND(#REF!,"AAAAAHw/vvQ=")</f>
        <v>#REF!</v>
      </c>
      <c r="IL47" t="e">
        <f>AND(#REF!,"AAAAAHw/vvU=")</f>
        <v>#REF!</v>
      </c>
      <c r="IM47" t="e">
        <f>AND(#REF!,"AAAAAHw/vvY=")</f>
        <v>#REF!</v>
      </c>
      <c r="IN47" t="e">
        <f>IF(#REF!,"AAAAAHw/vvc=",0)</f>
        <v>#REF!</v>
      </c>
      <c r="IO47" t="e">
        <f>AND(#REF!,"AAAAAHw/vvg=")</f>
        <v>#REF!</v>
      </c>
      <c r="IP47" t="e">
        <f>AND(#REF!,"AAAAAHw/vvk=")</f>
        <v>#REF!</v>
      </c>
      <c r="IQ47" t="e">
        <f>AND(#REF!,"AAAAAHw/vvo=")</f>
        <v>#REF!</v>
      </c>
      <c r="IR47" t="e">
        <f>AND(#REF!,"AAAAAHw/vvs=")</f>
        <v>#REF!</v>
      </c>
      <c r="IS47" t="e">
        <f>AND(#REF!,"AAAAAHw/vvw=")</f>
        <v>#REF!</v>
      </c>
      <c r="IT47" t="e">
        <f>AND(#REF!,"AAAAAHw/vv0=")</f>
        <v>#REF!</v>
      </c>
      <c r="IU47" t="e">
        <f>IF(#REF!,"AAAAAHw/vv4=",0)</f>
        <v>#REF!</v>
      </c>
      <c r="IV47" t="e">
        <f>AND(#REF!,"AAAAAHw/vv8=")</f>
        <v>#REF!</v>
      </c>
    </row>
    <row r="48" spans="1:256" x14ac:dyDescent="0.25">
      <c r="A48" t="e">
        <f>AND(#REF!,"AAAAAH3n7wA=")</f>
        <v>#REF!</v>
      </c>
      <c r="B48" t="e">
        <f>AND(#REF!,"AAAAAH3n7wE=")</f>
        <v>#REF!</v>
      </c>
      <c r="C48" t="e">
        <f>AND(#REF!,"AAAAAH3n7wI=")</f>
        <v>#REF!</v>
      </c>
      <c r="D48" t="e">
        <f>AND(#REF!,"AAAAAH3n7wM=")</f>
        <v>#REF!</v>
      </c>
      <c r="E48" t="e">
        <f>AND(#REF!,"AAAAAH3n7wQ=")</f>
        <v>#REF!</v>
      </c>
      <c r="F48" t="e">
        <f>IF(#REF!,"AAAAAH3n7wU=",0)</f>
        <v>#REF!</v>
      </c>
      <c r="G48" t="e">
        <f>AND(#REF!,"AAAAAH3n7wY=")</f>
        <v>#REF!</v>
      </c>
      <c r="H48" t="e">
        <f>AND(#REF!,"AAAAAH3n7wc=")</f>
        <v>#REF!</v>
      </c>
      <c r="I48" t="e">
        <f>AND(#REF!,"AAAAAH3n7wg=")</f>
        <v>#REF!</v>
      </c>
      <c r="J48" t="e">
        <f>AND(#REF!,"AAAAAH3n7wk=")</f>
        <v>#REF!</v>
      </c>
      <c r="K48" t="e">
        <f>AND(#REF!,"AAAAAH3n7wo=")</f>
        <v>#REF!</v>
      </c>
      <c r="L48" t="e">
        <f>AND(#REF!,"AAAAAH3n7ws=")</f>
        <v>#REF!</v>
      </c>
      <c r="M48" t="e">
        <f>IF(#REF!,"AAAAAH3n7ww=",0)</f>
        <v>#REF!</v>
      </c>
      <c r="N48" t="e">
        <f>AND(#REF!,"AAAAAH3n7w0=")</f>
        <v>#REF!</v>
      </c>
      <c r="O48" t="e">
        <f>AND(#REF!,"AAAAAH3n7w4=")</f>
        <v>#REF!</v>
      </c>
      <c r="P48" t="e">
        <f>AND(#REF!,"AAAAAH3n7w8=")</f>
        <v>#REF!</v>
      </c>
      <c r="Q48" t="e">
        <f>AND(#REF!,"AAAAAH3n7xA=")</f>
        <v>#REF!</v>
      </c>
      <c r="R48" t="e">
        <f>AND(#REF!,"AAAAAH3n7xE=")</f>
        <v>#REF!</v>
      </c>
      <c r="S48" t="e">
        <f>AND(#REF!,"AAAAAH3n7xI=")</f>
        <v>#REF!</v>
      </c>
      <c r="T48" t="e">
        <f>IF(#REF!,"AAAAAH3n7xM=",0)</f>
        <v>#REF!</v>
      </c>
      <c r="U48" t="e">
        <f>AND(#REF!,"AAAAAH3n7xQ=")</f>
        <v>#REF!</v>
      </c>
      <c r="V48" t="e">
        <f>AND(#REF!,"AAAAAH3n7xU=")</f>
        <v>#REF!</v>
      </c>
      <c r="W48" t="e">
        <f>AND(#REF!,"AAAAAH3n7xY=")</f>
        <v>#REF!</v>
      </c>
      <c r="X48" t="e">
        <f>AND(#REF!,"AAAAAH3n7xc=")</f>
        <v>#REF!</v>
      </c>
      <c r="Y48" t="e">
        <f>AND(#REF!,"AAAAAH3n7xg=")</f>
        <v>#REF!</v>
      </c>
      <c r="Z48" t="e">
        <f>AND(#REF!,"AAAAAH3n7xk=")</f>
        <v>#REF!</v>
      </c>
      <c r="AA48" t="e">
        <f>IF(#REF!,"AAAAAH3n7xo=",0)</f>
        <v>#REF!</v>
      </c>
      <c r="AB48" t="e">
        <f>AND(#REF!,"AAAAAH3n7xs=")</f>
        <v>#REF!</v>
      </c>
      <c r="AC48" t="e">
        <f>AND(#REF!,"AAAAAH3n7xw=")</f>
        <v>#REF!</v>
      </c>
      <c r="AD48" t="e">
        <f>AND(#REF!,"AAAAAH3n7x0=")</f>
        <v>#REF!</v>
      </c>
      <c r="AE48" t="e">
        <f>AND(#REF!,"AAAAAH3n7x4=")</f>
        <v>#REF!</v>
      </c>
      <c r="AF48" t="e">
        <f>AND(#REF!,"AAAAAH3n7x8=")</f>
        <v>#REF!</v>
      </c>
      <c r="AG48" t="e">
        <f>AND(#REF!,"AAAAAH3n7yA=")</f>
        <v>#REF!</v>
      </c>
      <c r="AH48" t="e">
        <f>IF(#REF!,"AAAAAH3n7yE=",0)</f>
        <v>#REF!</v>
      </c>
      <c r="AI48" t="e">
        <f>AND(#REF!,"AAAAAH3n7yI=")</f>
        <v>#REF!</v>
      </c>
      <c r="AJ48" t="e">
        <f>AND(#REF!,"AAAAAH3n7yM=")</f>
        <v>#REF!</v>
      </c>
      <c r="AK48" t="e">
        <f>AND(#REF!,"AAAAAH3n7yQ=")</f>
        <v>#REF!</v>
      </c>
      <c r="AL48" t="e">
        <f>AND(#REF!,"AAAAAH3n7yU=")</f>
        <v>#REF!</v>
      </c>
      <c r="AM48" t="e">
        <f>AND(#REF!,"AAAAAH3n7yY=")</f>
        <v>#REF!</v>
      </c>
      <c r="AN48" t="e">
        <f>AND(#REF!,"AAAAAH3n7yc=")</f>
        <v>#REF!</v>
      </c>
      <c r="AO48" t="e">
        <f>IF(#REF!,"AAAAAH3n7yg=",0)</f>
        <v>#REF!</v>
      </c>
      <c r="AP48" t="e">
        <f>AND(#REF!,"AAAAAH3n7yk=")</f>
        <v>#REF!</v>
      </c>
      <c r="AQ48" t="e">
        <f>AND(#REF!,"AAAAAH3n7yo=")</f>
        <v>#REF!</v>
      </c>
      <c r="AR48" t="e">
        <f>AND(#REF!,"AAAAAH3n7ys=")</f>
        <v>#REF!</v>
      </c>
      <c r="AS48" t="e">
        <f>AND(#REF!,"AAAAAH3n7yw=")</f>
        <v>#REF!</v>
      </c>
      <c r="AT48" t="e">
        <f>AND(#REF!,"AAAAAH3n7y0=")</f>
        <v>#REF!</v>
      </c>
      <c r="AU48" t="e">
        <f>AND(#REF!,"AAAAAH3n7y4=")</f>
        <v>#REF!</v>
      </c>
      <c r="AV48" t="e">
        <f>IF(#REF!,"AAAAAH3n7y8=",0)</f>
        <v>#REF!</v>
      </c>
      <c r="AW48" t="e">
        <f>AND(#REF!,"AAAAAH3n7zA=")</f>
        <v>#REF!</v>
      </c>
      <c r="AX48" t="e">
        <f>AND(#REF!,"AAAAAH3n7zE=")</f>
        <v>#REF!</v>
      </c>
      <c r="AY48" t="e">
        <f>AND(#REF!,"AAAAAH3n7zI=")</f>
        <v>#REF!</v>
      </c>
      <c r="AZ48" t="e">
        <f>AND(#REF!,"AAAAAH3n7zM=")</f>
        <v>#REF!</v>
      </c>
      <c r="BA48" t="e">
        <f>AND(#REF!,"AAAAAH3n7zQ=")</f>
        <v>#REF!</v>
      </c>
      <c r="BB48" t="e">
        <f>AND(#REF!,"AAAAAH3n7zU=")</f>
        <v>#REF!</v>
      </c>
      <c r="BC48" t="e">
        <f>IF(#REF!,"AAAAAH3n7zY=",0)</f>
        <v>#REF!</v>
      </c>
      <c r="BD48" t="e">
        <f>AND(#REF!,"AAAAAH3n7zc=")</f>
        <v>#REF!</v>
      </c>
      <c r="BE48" t="e">
        <f>AND(#REF!,"AAAAAH3n7zg=")</f>
        <v>#REF!</v>
      </c>
      <c r="BF48" t="e">
        <f>AND(#REF!,"AAAAAH3n7zk=")</f>
        <v>#REF!</v>
      </c>
      <c r="BG48" t="e">
        <f>AND(#REF!,"AAAAAH3n7zo=")</f>
        <v>#REF!</v>
      </c>
      <c r="BH48" t="e">
        <f>AND(#REF!,"AAAAAH3n7zs=")</f>
        <v>#REF!</v>
      </c>
      <c r="BI48" t="e">
        <f>AND(#REF!,"AAAAAH3n7zw=")</f>
        <v>#REF!</v>
      </c>
      <c r="BJ48" t="e">
        <f>IF(#REF!,"AAAAAH3n7z0=",0)</f>
        <v>#REF!</v>
      </c>
      <c r="BK48" t="e">
        <f>AND(#REF!,"AAAAAH3n7z4=")</f>
        <v>#REF!</v>
      </c>
      <c r="BL48" t="e">
        <f>AND(#REF!,"AAAAAH3n7z8=")</f>
        <v>#REF!</v>
      </c>
      <c r="BM48" t="e">
        <f>AND(#REF!,"AAAAAH3n70A=")</f>
        <v>#REF!</v>
      </c>
      <c r="BN48" t="e">
        <f>AND(#REF!,"AAAAAH3n70E=")</f>
        <v>#REF!</v>
      </c>
      <c r="BO48" t="e">
        <f>AND(#REF!,"AAAAAH3n70I=")</f>
        <v>#REF!</v>
      </c>
      <c r="BP48" t="e">
        <f>AND(#REF!,"AAAAAH3n70M=")</f>
        <v>#REF!</v>
      </c>
      <c r="BQ48" t="e">
        <f>IF(#REF!,"AAAAAH3n70Q=",0)</f>
        <v>#REF!</v>
      </c>
      <c r="BR48" t="e">
        <f>AND(#REF!,"AAAAAH3n70U=")</f>
        <v>#REF!</v>
      </c>
      <c r="BS48" t="e">
        <f>AND(#REF!,"AAAAAH3n70Y=")</f>
        <v>#REF!</v>
      </c>
      <c r="BT48" t="e">
        <f>AND(#REF!,"AAAAAH3n70c=")</f>
        <v>#REF!</v>
      </c>
      <c r="BU48" t="e">
        <f>AND(#REF!,"AAAAAH3n70g=")</f>
        <v>#REF!</v>
      </c>
      <c r="BV48" t="e">
        <f>AND(#REF!,"AAAAAH3n70k=")</f>
        <v>#REF!</v>
      </c>
      <c r="BW48" t="e">
        <f>AND(#REF!,"AAAAAH3n70o=")</f>
        <v>#REF!</v>
      </c>
      <c r="BX48" t="e">
        <f>IF(#REF!,"AAAAAH3n70s=",0)</f>
        <v>#REF!</v>
      </c>
      <c r="BY48" t="e">
        <f>AND(#REF!,"AAAAAH3n70w=")</f>
        <v>#REF!</v>
      </c>
      <c r="BZ48" t="e">
        <f>AND(#REF!,"AAAAAH3n700=")</f>
        <v>#REF!</v>
      </c>
      <c r="CA48" t="e">
        <f>AND(#REF!,"AAAAAH3n704=")</f>
        <v>#REF!</v>
      </c>
      <c r="CB48" t="e">
        <f>AND(#REF!,"AAAAAH3n708=")</f>
        <v>#REF!</v>
      </c>
      <c r="CC48" t="e">
        <f>AND(#REF!,"AAAAAH3n71A=")</f>
        <v>#REF!</v>
      </c>
      <c r="CD48" t="e">
        <f>AND(#REF!,"AAAAAH3n71E=")</f>
        <v>#REF!</v>
      </c>
      <c r="CE48" t="e">
        <f>IF(#REF!,"AAAAAH3n71I=",0)</f>
        <v>#REF!</v>
      </c>
      <c r="CF48" t="e">
        <f>AND(#REF!,"AAAAAH3n71M=")</f>
        <v>#REF!</v>
      </c>
      <c r="CG48" t="e">
        <f>AND(#REF!,"AAAAAH3n71Q=")</f>
        <v>#REF!</v>
      </c>
      <c r="CH48" t="e">
        <f>AND(#REF!,"AAAAAH3n71U=")</f>
        <v>#REF!</v>
      </c>
      <c r="CI48" t="e">
        <f>AND(#REF!,"AAAAAH3n71Y=")</f>
        <v>#REF!</v>
      </c>
      <c r="CJ48" t="e">
        <f>AND(#REF!,"AAAAAH3n71c=")</f>
        <v>#REF!</v>
      </c>
      <c r="CK48" t="e">
        <f>AND(#REF!,"AAAAAH3n71g=")</f>
        <v>#REF!</v>
      </c>
      <c r="CL48" t="e">
        <f>IF(#REF!,"AAAAAH3n71k=",0)</f>
        <v>#REF!</v>
      </c>
      <c r="CM48" t="e">
        <f>AND(#REF!,"AAAAAH3n71o=")</f>
        <v>#REF!</v>
      </c>
      <c r="CN48" t="e">
        <f>AND(#REF!,"AAAAAH3n71s=")</f>
        <v>#REF!</v>
      </c>
      <c r="CO48" t="e">
        <f>AND(#REF!,"AAAAAH3n71w=")</f>
        <v>#REF!</v>
      </c>
      <c r="CP48" t="e">
        <f>AND(#REF!,"AAAAAH3n710=")</f>
        <v>#REF!</v>
      </c>
      <c r="CQ48" t="e">
        <f>AND(#REF!,"AAAAAH3n714=")</f>
        <v>#REF!</v>
      </c>
      <c r="CR48" t="e">
        <f>AND(#REF!,"AAAAAH3n718=")</f>
        <v>#REF!</v>
      </c>
      <c r="CS48" t="e">
        <f>IF(#REF!,"AAAAAH3n72A=",0)</f>
        <v>#REF!</v>
      </c>
      <c r="CT48" t="e">
        <f>AND(#REF!,"AAAAAH3n72E=")</f>
        <v>#REF!</v>
      </c>
      <c r="CU48" t="e">
        <f>AND(#REF!,"AAAAAH3n72I=")</f>
        <v>#REF!</v>
      </c>
      <c r="CV48" t="e">
        <f>AND(#REF!,"AAAAAH3n72M=")</f>
        <v>#REF!</v>
      </c>
      <c r="CW48" t="e">
        <f>AND(#REF!,"AAAAAH3n72Q=")</f>
        <v>#REF!</v>
      </c>
      <c r="CX48" t="e">
        <f>AND(#REF!,"AAAAAH3n72U=")</f>
        <v>#REF!</v>
      </c>
      <c r="CY48" t="e">
        <f>AND(#REF!,"AAAAAH3n72Y=")</f>
        <v>#REF!</v>
      </c>
      <c r="CZ48" t="e">
        <f>IF(#REF!,"AAAAAH3n72c=",0)</f>
        <v>#REF!</v>
      </c>
      <c r="DA48" t="e">
        <f>AND(#REF!,"AAAAAH3n72g=")</f>
        <v>#REF!</v>
      </c>
      <c r="DB48" t="e">
        <f>AND(#REF!,"AAAAAH3n72k=")</f>
        <v>#REF!</v>
      </c>
      <c r="DC48" t="e">
        <f>AND(#REF!,"AAAAAH3n72o=")</f>
        <v>#REF!</v>
      </c>
      <c r="DD48" t="e">
        <f>AND(#REF!,"AAAAAH3n72s=")</f>
        <v>#REF!</v>
      </c>
      <c r="DE48" t="e">
        <f>AND(#REF!,"AAAAAH3n72w=")</f>
        <v>#REF!</v>
      </c>
      <c r="DF48" t="e">
        <f>AND(#REF!,"AAAAAH3n720=")</f>
        <v>#REF!</v>
      </c>
      <c r="DG48" t="e">
        <f>IF(#REF!,"AAAAAH3n724=",0)</f>
        <v>#REF!</v>
      </c>
      <c r="DH48" t="e">
        <f>AND(#REF!,"AAAAAH3n728=")</f>
        <v>#REF!</v>
      </c>
      <c r="DI48" t="e">
        <f>AND(#REF!,"AAAAAH3n73A=")</f>
        <v>#REF!</v>
      </c>
      <c r="DJ48" t="e">
        <f>AND(#REF!,"AAAAAH3n73E=")</f>
        <v>#REF!</v>
      </c>
      <c r="DK48" t="e">
        <f>AND(#REF!,"AAAAAH3n73I=")</f>
        <v>#REF!</v>
      </c>
      <c r="DL48" t="e">
        <f>AND(#REF!,"AAAAAH3n73M=")</f>
        <v>#REF!</v>
      </c>
      <c r="DM48" t="e">
        <f>AND(#REF!,"AAAAAH3n73Q=")</f>
        <v>#REF!</v>
      </c>
      <c r="DN48" t="e">
        <f>IF(#REF!,"AAAAAH3n73U=",0)</f>
        <v>#REF!</v>
      </c>
      <c r="DO48" t="e">
        <f>AND(#REF!,"AAAAAH3n73Y=")</f>
        <v>#REF!</v>
      </c>
      <c r="DP48" t="e">
        <f>AND(#REF!,"AAAAAH3n73c=")</f>
        <v>#REF!</v>
      </c>
      <c r="DQ48" t="e">
        <f>AND(#REF!,"AAAAAH3n73g=")</f>
        <v>#REF!</v>
      </c>
      <c r="DR48" t="e">
        <f>AND(#REF!,"AAAAAH3n73k=")</f>
        <v>#REF!</v>
      </c>
      <c r="DS48" t="e">
        <f>AND(#REF!,"AAAAAH3n73o=")</f>
        <v>#REF!</v>
      </c>
      <c r="DT48" t="e">
        <f>AND(#REF!,"AAAAAH3n73s=")</f>
        <v>#REF!</v>
      </c>
      <c r="DU48" t="e">
        <f>IF(#REF!,"AAAAAH3n73w=",0)</f>
        <v>#REF!</v>
      </c>
      <c r="DV48" t="e">
        <f>AND(#REF!,"AAAAAH3n730=")</f>
        <v>#REF!</v>
      </c>
      <c r="DW48" t="e">
        <f>AND(#REF!,"AAAAAH3n734=")</f>
        <v>#REF!</v>
      </c>
      <c r="DX48" t="e">
        <f>AND(#REF!,"AAAAAH3n738=")</f>
        <v>#REF!</v>
      </c>
      <c r="DY48" t="e">
        <f>AND(#REF!,"AAAAAH3n74A=")</f>
        <v>#REF!</v>
      </c>
      <c r="DZ48" t="e">
        <f>AND(#REF!,"AAAAAH3n74E=")</f>
        <v>#REF!</v>
      </c>
      <c r="EA48" t="e">
        <f>AND(#REF!,"AAAAAH3n74I=")</f>
        <v>#REF!</v>
      </c>
      <c r="EB48" t="e">
        <f>IF(#REF!,"AAAAAH3n74M=",0)</f>
        <v>#REF!</v>
      </c>
      <c r="EC48" t="e">
        <f>AND(#REF!,"AAAAAH3n74Q=")</f>
        <v>#REF!</v>
      </c>
      <c r="ED48" t="e">
        <f>AND(#REF!,"AAAAAH3n74U=")</f>
        <v>#REF!</v>
      </c>
      <c r="EE48" t="e">
        <f>AND(#REF!,"AAAAAH3n74Y=")</f>
        <v>#REF!</v>
      </c>
      <c r="EF48" t="e">
        <f>AND(#REF!,"AAAAAH3n74c=")</f>
        <v>#REF!</v>
      </c>
      <c r="EG48" t="e">
        <f>AND(#REF!,"AAAAAH3n74g=")</f>
        <v>#REF!</v>
      </c>
      <c r="EH48" t="e">
        <f>AND(#REF!,"AAAAAH3n74k=")</f>
        <v>#REF!</v>
      </c>
      <c r="EI48" t="e">
        <f>IF(#REF!,"AAAAAH3n74o=",0)</f>
        <v>#REF!</v>
      </c>
      <c r="EJ48" t="e">
        <f>AND(#REF!,"AAAAAH3n74s=")</f>
        <v>#REF!</v>
      </c>
      <c r="EK48" t="e">
        <f>AND(#REF!,"AAAAAH3n74w=")</f>
        <v>#REF!</v>
      </c>
      <c r="EL48" t="e">
        <f>AND(#REF!,"AAAAAH3n740=")</f>
        <v>#REF!</v>
      </c>
      <c r="EM48" t="e">
        <f>AND(#REF!,"AAAAAH3n744=")</f>
        <v>#REF!</v>
      </c>
      <c r="EN48" t="e">
        <f>AND(#REF!,"AAAAAH3n748=")</f>
        <v>#REF!</v>
      </c>
      <c r="EO48" t="e">
        <f>AND(#REF!,"AAAAAH3n75A=")</f>
        <v>#REF!</v>
      </c>
      <c r="EP48" t="e">
        <f>IF(#REF!,"AAAAAH3n75E=",0)</f>
        <v>#REF!</v>
      </c>
      <c r="EQ48" t="e">
        <f>AND(#REF!,"AAAAAH3n75I=")</f>
        <v>#REF!</v>
      </c>
      <c r="ER48" t="e">
        <f>AND(#REF!,"AAAAAH3n75M=")</f>
        <v>#REF!</v>
      </c>
      <c r="ES48" t="e">
        <f>AND(#REF!,"AAAAAH3n75Q=")</f>
        <v>#REF!</v>
      </c>
      <c r="ET48" t="e">
        <f>AND(#REF!,"AAAAAH3n75U=")</f>
        <v>#REF!</v>
      </c>
      <c r="EU48" t="e">
        <f>AND(#REF!,"AAAAAH3n75Y=")</f>
        <v>#REF!</v>
      </c>
      <c r="EV48" t="e">
        <f>AND(#REF!,"AAAAAH3n75c=")</f>
        <v>#REF!</v>
      </c>
      <c r="EW48" t="e">
        <f>IF(#REF!,"AAAAAH3n75g=",0)</f>
        <v>#REF!</v>
      </c>
      <c r="EX48" t="e">
        <f>AND(#REF!,"AAAAAH3n75k=")</f>
        <v>#REF!</v>
      </c>
      <c r="EY48" t="e">
        <f>AND(#REF!,"AAAAAH3n75o=")</f>
        <v>#REF!</v>
      </c>
      <c r="EZ48" t="e">
        <f>AND(#REF!,"AAAAAH3n75s=")</f>
        <v>#REF!</v>
      </c>
      <c r="FA48" t="e">
        <f>AND(#REF!,"AAAAAH3n75w=")</f>
        <v>#REF!</v>
      </c>
      <c r="FB48" t="e">
        <f>AND(#REF!,"AAAAAH3n750=")</f>
        <v>#REF!</v>
      </c>
      <c r="FC48" t="e">
        <f>AND(#REF!,"AAAAAH3n754=")</f>
        <v>#REF!</v>
      </c>
      <c r="FD48" t="e">
        <f>IF(#REF!,"AAAAAH3n758=",0)</f>
        <v>#REF!</v>
      </c>
      <c r="FE48" t="e">
        <f>AND(#REF!,"AAAAAH3n76A=")</f>
        <v>#REF!</v>
      </c>
      <c r="FF48" t="e">
        <f>AND(#REF!,"AAAAAH3n76E=")</f>
        <v>#REF!</v>
      </c>
      <c r="FG48" t="e">
        <f>AND(#REF!,"AAAAAH3n76I=")</f>
        <v>#REF!</v>
      </c>
      <c r="FH48" t="e">
        <f>AND(#REF!,"AAAAAH3n76M=")</f>
        <v>#REF!</v>
      </c>
      <c r="FI48" t="e">
        <f>AND(#REF!,"AAAAAH3n76Q=")</f>
        <v>#REF!</v>
      </c>
      <c r="FJ48" t="e">
        <f>AND(#REF!,"AAAAAH3n76U=")</f>
        <v>#REF!</v>
      </c>
      <c r="FK48" t="e">
        <f>IF(#REF!,"AAAAAH3n76Y=",0)</f>
        <v>#REF!</v>
      </c>
      <c r="FL48" t="e">
        <f>AND(#REF!,"AAAAAH3n76c=")</f>
        <v>#REF!</v>
      </c>
      <c r="FM48" t="e">
        <f>AND(#REF!,"AAAAAH3n76g=")</f>
        <v>#REF!</v>
      </c>
      <c r="FN48" t="e">
        <f>AND(#REF!,"AAAAAH3n76k=")</f>
        <v>#REF!</v>
      </c>
      <c r="FO48" t="e">
        <f>AND(#REF!,"AAAAAH3n76o=")</f>
        <v>#REF!</v>
      </c>
      <c r="FP48" t="e">
        <f>AND(#REF!,"AAAAAH3n76s=")</f>
        <v>#REF!</v>
      </c>
      <c r="FQ48" t="e">
        <f>AND(#REF!,"AAAAAH3n76w=")</f>
        <v>#REF!</v>
      </c>
      <c r="FR48" t="e">
        <f>IF(#REF!,"AAAAAH3n760=",0)</f>
        <v>#REF!</v>
      </c>
      <c r="FS48" t="e">
        <f>AND(#REF!,"AAAAAH3n764=")</f>
        <v>#REF!</v>
      </c>
      <c r="FT48" t="e">
        <f>AND(#REF!,"AAAAAH3n768=")</f>
        <v>#REF!</v>
      </c>
      <c r="FU48" t="e">
        <f>AND(#REF!,"AAAAAH3n77A=")</f>
        <v>#REF!</v>
      </c>
      <c r="FV48" t="e">
        <f>AND(#REF!,"AAAAAH3n77E=")</f>
        <v>#REF!</v>
      </c>
      <c r="FW48" t="e">
        <f>AND(#REF!,"AAAAAH3n77I=")</f>
        <v>#REF!</v>
      </c>
      <c r="FX48" t="e">
        <f>AND(#REF!,"AAAAAH3n77M=")</f>
        <v>#REF!</v>
      </c>
      <c r="FY48" t="e">
        <f>IF(#REF!,"AAAAAH3n77Q=",0)</f>
        <v>#REF!</v>
      </c>
      <c r="FZ48" t="e">
        <f>AND(#REF!,"AAAAAH3n77U=")</f>
        <v>#REF!</v>
      </c>
      <c r="GA48" t="e">
        <f>AND(#REF!,"AAAAAH3n77Y=")</f>
        <v>#REF!</v>
      </c>
      <c r="GB48" t="e">
        <f>AND(#REF!,"AAAAAH3n77c=")</f>
        <v>#REF!</v>
      </c>
      <c r="GC48" t="e">
        <f>AND(#REF!,"AAAAAH3n77g=")</f>
        <v>#REF!</v>
      </c>
      <c r="GD48" t="e">
        <f>AND(#REF!,"AAAAAH3n77k=")</f>
        <v>#REF!</v>
      </c>
      <c r="GE48" t="e">
        <f>AND(#REF!,"AAAAAH3n77o=")</f>
        <v>#REF!</v>
      </c>
      <c r="GF48" t="e">
        <f>IF(#REF!,"AAAAAH3n77s=",0)</f>
        <v>#REF!</v>
      </c>
      <c r="GG48" t="e">
        <f>AND(#REF!,"AAAAAH3n77w=")</f>
        <v>#REF!</v>
      </c>
      <c r="GH48" t="e">
        <f>AND(#REF!,"AAAAAH3n770=")</f>
        <v>#REF!</v>
      </c>
      <c r="GI48" t="e">
        <f>AND(#REF!,"AAAAAH3n774=")</f>
        <v>#REF!</v>
      </c>
      <c r="GJ48" t="e">
        <f>AND(#REF!,"AAAAAH3n778=")</f>
        <v>#REF!</v>
      </c>
      <c r="GK48" t="e">
        <f>AND(#REF!,"AAAAAH3n78A=")</f>
        <v>#REF!</v>
      </c>
      <c r="GL48" t="e">
        <f>AND(#REF!,"AAAAAH3n78E=")</f>
        <v>#REF!</v>
      </c>
      <c r="GM48" t="e">
        <f>IF(#REF!,"AAAAAH3n78I=",0)</f>
        <v>#REF!</v>
      </c>
      <c r="GN48" t="e">
        <f>AND(#REF!,"AAAAAH3n78M=")</f>
        <v>#REF!</v>
      </c>
      <c r="GO48" t="e">
        <f>AND(#REF!,"AAAAAH3n78Q=")</f>
        <v>#REF!</v>
      </c>
      <c r="GP48" t="e">
        <f>AND(#REF!,"AAAAAH3n78U=")</f>
        <v>#REF!</v>
      </c>
      <c r="GQ48" t="e">
        <f>AND(#REF!,"AAAAAH3n78Y=")</f>
        <v>#REF!</v>
      </c>
      <c r="GR48" t="e">
        <f>AND(#REF!,"AAAAAH3n78c=")</f>
        <v>#REF!</v>
      </c>
      <c r="GS48" t="e">
        <f>AND(#REF!,"AAAAAH3n78g=")</f>
        <v>#REF!</v>
      </c>
      <c r="GT48" t="e">
        <f>IF(#REF!,"AAAAAH3n78k=",0)</f>
        <v>#REF!</v>
      </c>
      <c r="GU48" t="e">
        <f>AND(#REF!,"AAAAAH3n78o=")</f>
        <v>#REF!</v>
      </c>
      <c r="GV48" t="e">
        <f>AND(#REF!,"AAAAAH3n78s=")</f>
        <v>#REF!</v>
      </c>
      <c r="GW48" t="e">
        <f>AND(#REF!,"AAAAAH3n78w=")</f>
        <v>#REF!</v>
      </c>
      <c r="GX48" t="e">
        <f>AND(#REF!,"AAAAAH3n780=")</f>
        <v>#REF!</v>
      </c>
      <c r="GY48" t="e">
        <f>AND(#REF!,"AAAAAH3n784=")</f>
        <v>#REF!</v>
      </c>
      <c r="GZ48" t="e">
        <f>AND(#REF!,"AAAAAH3n788=")</f>
        <v>#REF!</v>
      </c>
      <c r="HA48" t="e">
        <f>IF(#REF!,"AAAAAH3n79A=",0)</f>
        <v>#REF!</v>
      </c>
      <c r="HB48" t="e">
        <f>AND(#REF!,"AAAAAH3n79E=")</f>
        <v>#REF!</v>
      </c>
      <c r="HC48" t="e">
        <f>AND(#REF!,"AAAAAH3n79I=")</f>
        <v>#REF!</v>
      </c>
      <c r="HD48" t="e">
        <f>AND(#REF!,"AAAAAH3n79M=")</f>
        <v>#REF!</v>
      </c>
      <c r="HE48" t="e">
        <f>AND(#REF!,"AAAAAH3n79Q=")</f>
        <v>#REF!</v>
      </c>
      <c r="HF48" t="e">
        <f>AND(#REF!,"AAAAAH3n79U=")</f>
        <v>#REF!</v>
      </c>
      <c r="HG48" t="e">
        <f>AND(#REF!,"AAAAAH3n79Y=")</f>
        <v>#REF!</v>
      </c>
      <c r="HH48" t="e">
        <f>IF(#REF!,"AAAAAH3n79c=",0)</f>
        <v>#REF!</v>
      </c>
      <c r="HI48" t="e">
        <f>AND(#REF!,"AAAAAH3n79g=")</f>
        <v>#REF!</v>
      </c>
      <c r="HJ48" t="e">
        <f>AND(#REF!,"AAAAAH3n79k=")</f>
        <v>#REF!</v>
      </c>
      <c r="HK48" t="e">
        <f>AND(#REF!,"AAAAAH3n79o=")</f>
        <v>#REF!</v>
      </c>
      <c r="HL48" t="e">
        <f>AND(#REF!,"AAAAAH3n79s=")</f>
        <v>#REF!</v>
      </c>
      <c r="HM48" t="e">
        <f>AND(#REF!,"AAAAAH3n79w=")</f>
        <v>#REF!</v>
      </c>
      <c r="HN48" t="e">
        <f>AND(#REF!,"AAAAAH3n790=")</f>
        <v>#REF!</v>
      </c>
      <c r="HO48" t="e">
        <f>IF(#REF!,"AAAAAH3n794=",0)</f>
        <v>#REF!</v>
      </c>
      <c r="HP48" t="e">
        <f>AND(#REF!,"AAAAAH3n798=")</f>
        <v>#REF!</v>
      </c>
      <c r="HQ48" t="e">
        <f>AND(#REF!,"AAAAAH3n7+A=")</f>
        <v>#REF!</v>
      </c>
      <c r="HR48" t="e">
        <f>AND(#REF!,"AAAAAH3n7+E=")</f>
        <v>#REF!</v>
      </c>
      <c r="HS48" t="e">
        <f>AND(#REF!,"AAAAAH3n7+I=")</f>
        <v>#REF!</v>
      </c>
      <c r="HT48" t="e">
        <f>AND(#REF!,"AAAAAH3n7+M=")</f>
        <v>#REF!</v>
      </c>
      <c r="HU48" t="e">
        <f>AND(#REF!,"AAAAAH3n7+Q=")</f>
        <v>#REF!</v>
      </c>
      <c r="HV48" t="e">
        <f>IF(#REF!,"AAAAAH3n7+U=",0)</f>
        <v>#REF!</v>
      </c>
      <c r="HW48" t="e">
        <f>AND(#REF!,"AAAAAH3n7+Y=")</f>
        <v>#REF!</v>
      </c>
      <c r="HX48" t="e">
        <f>AND(#REF!,"AAAAAH3n7+c=")</f>
        <v>#REF!</v>
      </c>
      <c r="HY48" t="e">
        <f>AND(#REF!,"AAAAAH3n7+g=")</f>
        <v>#REF!</v>
      </c>
      <c r="HZ48" t="e">
        <f>AND(#REF!,"AAAAAH3n7+k=")</f>
        <v>#REF!</v>
      </c>
      <c r="IA48" t="e">
        <f>AND(#REF!,"AAAAAH3n7+o=")</f>
        <v>#REF!</v>
      </c>
      <c r="IB48" t="e">
        <f>AND(#REF!,"AAAAAH3n7+s=")</f>
        <v>#REF!</v>
      </c>
      <c r="IC48" t="e">
        <f>IF(#REF!,"AAAAAH3n7+w=",0)</f>
        <v>#REF!</v>
      </c>
      <c r="ID48" t="e">
        <f>AND(#REF!,"AAAAAH3n7+0=")</f>
        <v>#REF!</v>
      </c>
      <c r="IE48" t="e">
        <f>AND(#REF!,"AAAAAH3n7+4=")</f>
        <v>#REF!</v>
      </c>
      <c r="IF48" t="e">
        <f>AND(#REF!,"AAAAAH3n7+8=")</f>
        <v>#REF!</v>
      </c>
      <c r="IG48" t="e">
        <f>AND(#REF!,"AAAAAH3n7/A=")</f>
        <v>#REF!</v>
      </c>
      <c r="IH48" t="e">
        <f>AND(#REF!,"AAAAAH3n7/E=")</f>
        <v>#REF!</v>
      </c>
      <c r="II48" t="e">
        <f>AND(#REF!,"AAAAAH3n7/I=")</f>
        <v>#REF!</v>
      </c>
      <c r="IJ48" t="e">
        <f>IF(#REF!,"AAAAAH3n7/M=",0)</f>
        <v>#REF!</v>
      </c>
      <c r="IK48" t="e">
        <f>AND(#REF!,"AAAAAH3n7/Q=")</f>
        <v>#REF!</v>
      </c>
      <c r="IL48" t="e">
        <f>AND(#REF!,"AAAAAH3n7/U=")</f>
        <v>#REF!</v>
      </c>
      <c r="IM48" t="e">
        <f>AND(#REF!,"AAAAAH3n7/Y=")</f>
        <v>#REF!</v>
      </c>
      <c r="IN48" t="e">
        <f>AND(#REF!,"AAAAAH3n7/c=")</f>
        <v>#REF!</v>
      </c>
      <c r="IO48" t="e">
        <f>AND(#REF!,"AAAAAH3n7/g=")</f>
        <v>#REF!</v>
      </c>
      <c r="IP48" t="e">
        <f>AND(#REF!,"AAAAAH3n7/k=")</f>
        <v>#REF!</v>
      </c>
      <c r="IQ48" t="e">
        <f>IF(#REF!,"AAAAAH3n7/o=",0)</f>
        <v>#REF!</v>
      </c>
      <c r="IR48" t="e">
        <f>AND(#REF!,"AAAAAH3n7/s=")</f>
        <v>#REF!</v>
      </c>
      <c r="IS48" t="e">
        <f>AND(#REF!,"AAAAAH3n7/w=")</f>
        <v>#REF!</v>
      </c>
      <c r="IT48" t="e">
        <f>AND(#REF!,"AAAAAH3n7/0=")</f>
        <v>#REF!</v>
      </c>
      <c r="IU48" t="e">
        <f>AND(#REF!,"AAAAAH3n7/4=")</f>
        <v>#REF!</v>
      </c>
      <c r="IV48" t="e">
        <f>AND(#REF!,"AAAAAH3n7/8=")</f>
        <v>#REF!</v>
      </c>
    </row>
    <row r="49" spans="1:256" x14ac:dyDescent="0.25">
      <c r="A49" t="e">
        <f>AND(#REF!,"AAAAAH1/3wA=")</f>
        <v>#REF!</v>
      </c>
      <c r="B49" t="e">
        <f>IF(#REF!,"AAAAAH1/3wE=",0)</f>
        <v>#REF!</v>
      </c>
      <c r="C49" t="e">
        <f>AND(#REF!,"AAAAAH1/3wI=")</f>
        <v>#REF!</v>
      </c>
      <c r="D49" t="e">
        <f>AND(#REF!,"AAAAAH1/3wM=")</f>
        <v>#REF!</v>
      </c>
      <c r="E49" t="e">
        <f>AND(#REF!,"AAAAAH1/3wQ=")</f>
        <v>#REF!</v>
      </c>
      <c r="F49" t="e">
        <f>AND(#REF!,"AAAAAH1/3wU=")</f>
        <v>#REF!</v>
      </c>
      <c r="G49" t="e">
        <f>AND(#REF!,"AAAAAH1/3wY=")</f>
        <v>#REF!</v>
      </c>
      <c r="H49" t="e">
        <f>AND(#REF!,"AAAAAH1/3wc=")</f>
        <v>#REF!</v>
      </c>
      <c r="I49" t="e">
        <f>IF(#REF!,"AAAAAH1/3wg=",0)</f>
        <v>#REF!</v>
      </c>
      <c r="J49" t="e">
        <f>AND(#REF!,"AAAAAH1/3wk=")</f>
        <v>#REF!</v>
      </c>
      <c r="K49" t="e">
        <f>AND(#REF!,"AAAAAH1/3wo=")</f>
        <v>#REF!</v>
      </c>
      <c r="L49" t="e">
        <f>AND(#REF!,"AAAAAH1/3ws=")</f>
        <v>#REF!</v>
      </c>
      <c r="M49" t="e">
        <f>AND(#REF!,"AAAAAH1/3ww=")</f>
        <v>#REF!</v>
      </c>
      <c r="N49" t="e">
        <f>AND(#REF!,"AAAAAH1/3w0=")</f>
        <v>#REF!</v>
      </c>
      <c r="O49" t="e">
        <f>AND(#REF!,"AAAAAH1/3w4=")</f>
        <v>#REF!</v>
      </c>
      <c r="P49" t="e">
        <f>IF(#REF!,"AAAAAH1/3w8=",0)</f>
        <v>#REF!</v>
      </c>
      <c r="Q49" t="e">
        <f>AND(#REF!,"AAAAAH1/3xA=")</f>
        <v>#REF!</v>
      </c>
      <c r="R49" t="e">
        <f>AND(#REF!,"AAAAAH1/3xE=")</f>
        <v>#REF!</v>
      </c>
      <c r="S49" t="e">
        <f>AND(#REF!,"AAAAAH1/3xI=")</f>
        <v>#REF!</v>
      </c>
      <c r="T49" t="e">
        <f>AND(#REF!,"AAAAAH1/3xM=")</f>
        <v>#REF!</v>
      </c>
      <c r="U49" t="e">
        <f>AND(#REF!,"AAAAAH1/3xQ=")</f>
        <v>#REF!</v>
      </c>
      <c r="V49" t="e">
        <f>AND(#REF!,"AAAAAH1/3xU=")</f>
        <v>#REF!</v>
      </c>
      <c r="W49" t="e">
        <f>IF(#REF!,"AAAAAH1/3xY=",0)</f>
        <v>#REF!</v>
      </c>
      <c r="X49" t="e">
        <f>AND(#REF!,"AAAAAH1/3xc=")</f>
        <v>#REF!</v>
      </c>
      <c r="Y49" t="e">
        <f>AND(#REF!,"AAAAAH1/3xg=")</f>
        <v>#REF!</v>
      </c>
      <c r="Z49" t="e">
        <f>AND(#REF!,"AAAAAH1/3xk=")</f>
        <v>#REF!</v>
      </c>
      <c r="AA49" t="e">
        <f>AND(#REF!,"AAAAAH1/3xo=")</f>
        <v>#REF!</v>
      </c>
      <c r="AB49" t="e">
        <f>AND(#REF!,"AAAAAH1/3xs=")</f>
        <v>#REF!</v>
      </c>
      <c r="AC49" t="e">
        <f>AND(#REF!,"AAAAAH1/3xw=")</f>
        <v>#REF!</v>
      </c>
      <c r="AD49" t="e">
        <f>IF(#REF!,"AAAAAH1/3x0=",0)</f>
        <v>#REF!</v>
      </c>
      <c r="AE49" t="e">
        <f>AND(#REF!,"AAAAAH1/3x4=")</f>
        <v>#REF!</v>
      </c>
      <c r="AF49" t="e">
        <f>AND(#REF!,"AAAAAH1/3x8=")</f>
        <v>#REF!</v>
      </c>
      <c r="AG49" t="e">
        <f>AND(#REF!,"AAAAAH1/3yA=")</f>
        <v>#REF!</v>
      </c>
      <c r="AH49" t="e">
        <f>AND(#REF!,"AAAAAH1/3yE=")</f>
        <v>#REF!</v>
      </c>
      <c r="AI49" t="e">
        <f>AND(#REF!,"AAAAAH1/3yI=")</f>
        <v>#REF!</v>
      </c>
      <c r="AJ49" t="e">
        <f>AND(#REF!,"AAAAAH1/3yM=")</f>
        <v>#REF!</v>
      </c>
      <c r="AK49" t="e">
        <f>IF(#REF!,"AAAAAH1/3yQ=",0)</f>
        <v>#REF!</v>
      </c>
      <c r="AL49" t="e">
        <f>AND(#REF!,"AAAAAH1/3yU=")</f>
        <v>#REF!</v>
      </c>
      <c r="AM49" t="e">
        <f>AND(#REF!,"AAAAAH1/3yY=")</f>
        <v>#REF!</v>
      </c>
      <c r="AN49" t="e">
        <f>AND(#REF!,"AAAAAH1/3yc=")</f>
        <v>#REF!</v>
      </c>
      <c r="AO49" t="e">
        <f>AND(#REF!,"AAAAAH1/3yg=")</f>
        <v>#REF!</v>
      </c>
      <c r="AP49" t="e">
        <f>AND(#REF!,"AAAAAH1/3yk=")</f>
        <v>#REF!</v>
      </c>
      <c r="AQ49" t="e">
        <f>AND(#REF!,"AAAAAH1/3yo=")</f>
        <v>#REF!</v>
      </c>
      <c r="AR49" t="e">
        <f>IF(#REF!,"AAAAAH1/3ys=",0)</f>
        <v>#REF!</v>
      </c>
      <c r="AS49" t="e">
        <f>AND(#REF!,"AAAAAH1/3yw=")</f>
        <v>#REF!</v>
      </c>
      <c r="AT49" t="e">
        <f>AND(#REF!,"AAAAAH1/3y0=")</f>
        <v>#REF!</v>
      </c>
      <c r="AU49" t="e">
        <f>AND(#REF!,"AAAAAH1/3y4=")</f>
        <v>#REF!</v>
      </c>
      <c r="AV49" t="e">
        <f>AND(#REF!,"AAAAAH1/3y8=")</f>
        <v>#REF!</v>
      </c>
      <c r="AW49" t="e">
        <f>AND(#REF!,"AAAAAH1/3zA=")</f>
        <v>#REF!</v>
      </c>
      <c r="AX49" t="e">
        <f>AND(#REF!,"AAAAAH1/3zE=")</f>
        <v>#REF!</v>
      </c>
      <c r="AY49" t="e">
        <f>IF(#REF!,"AAAAAH1/3zI=",0)</f>
        <v>#REF!</v>
      </c>
      <c r="AZ49" t="e">
        <f>AND(#REF!,"AAAAAH1/3zM=")</f>
        <v>#REF!</v>
      </c>
      <c r="BA49" t="e">
        <f>AND(#REF!,"AAAAAH1/3zQ=")</f>
        <v>#REF!</v>
      </c>
      <c r="BB49" t="e">
        <f>AND(#REF!,"AAAAAH1/3zU=")</f>
        <v>#REF!</v>
      </c>
      <c r="BC49" t="e">
        <f>AND(#REF!,"AAAAAH1/3zY=")</f>
        <v>#REF!</v>
      </c>
      <c r="BD49" t="e">
        <f>AND(#REF!,"AAAAAH1/3zc=")</f>
        <v>#REF!</v>
      </c>
      <c r="BE49" t="e">
        <f>AND(#REF!,"AAAAAH1/3zg=")</f>
        <v>#REF!</v>
      </c>
      <c r="BF49" t="e">
        <f>IF(#REF!,"AAAAAH1/3zk=",0)</f>
        <v>#REF!</v>
      </c>
      <c r="BG49" t="e">
        <f>AND(#REF!,"AAAAAH1/3zo=")</f>
        <v>#REF!</v>
      </c>
      <c r="BH49" t="e">
        <f>AND(#REF!,"AAAAAH1/3zs=")</f>
        <v>#REF!</v>
      </c>
      <c r="BI49" t="e">
        <f>AND(#REF!,"AAAAAH1/3zw=")</f>
        <v>#REF!</v>
      </c>
      <c r="BJ49" t="e">
        <f>AND(#REF!,"AAAAAH1/3z0=")</f>
        <v>#REF!</v>
      </c>
      <c r="BK49" t="e">
        <f>AND(#REF!,"AAAAAH1/3z4=")</f>
        <v>#REF!</v>
      </c>
      <c r="BL49" t="e">
        <f>AND(#REF!,"AAAAAH1/3z8=")</f>
        <v>#REF!</v>
      </c>
      <c r="BM49" t="e">
        <f>IF(#REF!,"AAAAAH1/30A=",0)</f>
        <v>#REF!</v>
      </c>
      <c r="BN49" t="e">
        <f>AND(#REF!,"AAAAAH1/30E=")</f>
        <v>#REF!</v>
      </c>
      <c r="BO49" t="e">
        <f>AND(#REF!,"AAAAAH1/30I=")</f>
        <v>#REF!</v>
      </c>
      <c r="BP49" t="e">
        <f>AND(#REF!,"AAAAAH1/30M=")</f>
        <v>#REF!</v>
      </c>
      <c r="BQ49" t="e">
        <f>AND(#REF!,"AAAAAH1/30Q=")</f>
        <v>#REF!</v>
      </c>
      <c r="BR49" t="e">
        <f>AND(#REF!,"AAAAAH1/30U=")</f>
        <v>#REF!</v>
      </c>
      <c r="BS49" t="e">
        <f>AND(#REF!,"AAAAAH1/30Y=")</f>
        <v>#REF!</v>
      </c>
      <c r="BT49" t="e">
        <f>IF(#REF!,"AAAAAH1/30c=",0)</f>
        <v>#REF!</v>
      </c>
      <c r="BU49" t="e">
        <f>AND(#REF!,"AAAAAH1/30g=")</f>
        <v>#REF!</v>
      </c>
      <c r="BV49" t="e">
        <f>AND(#REF!,"AAAAAH1/30k=")</f>
        <v>#REF!</v>
      </c>
      <c r="BW49" t="e">
        <f>AND(#REF!,"AAAAAH1/30o=")</f>
        <v>#REF!</v>
      </c>
      <c r="BX49" t="e">
        <f>AND(#REF!,"AAAAAH1/30s=")</f>
        <v>#REF!</v>
      </c>
      <c r="BY49" t="e">
        <f>AND(#REF!,"AAAAAH1/30w=")</f>
        <v>#REF!</v>
      </c>
      <c r="BZ49" t="e">
        <f>AND(#REF!,"AAAAAH1/300=")</f>
        <v>#REF!</v>
      </c>
      <c r="CA49" t="e">
        <f>IF(#REF!,"AAAAAH1/304=",0)</f>
        <v>#REF!</v>
      </c>
      <c r="CB49" t="e">
        <f>AND(#REF!,"AAAAAH1/308=")</f>
        <v>#REF!</v>
      </c>
      <c r="CC49" t="e">
        <f>AND(#REF!,"AAAAAH1/31A=")</f>
        <v>#REF!</v>
      </c>
      <c r="CD49" t="e">
        <f>AND(#REF!,"AAAAAH1/31E=")</f>
        <v>#REF!</v>
      </c>
      <c r="CE49" t="e">
        <f>AND(#REF!,"AAAAAH1/31I=")</f>
        <v>#REF!</v>
      </c>
      <c r="CF49" t="e">
        <f>AND(#REF!,"AAAAAH1/31M=")</f>
        <v>#REF!</v>
      </c>
      <c r="CG49" t="e">
        <f>AND(#REF!,"AAAAAH1/31Q=")</f>
        <v>#REF!</v>
      </c>
      <c r="CH49" t="e">
        <f>IF(#REF!,"AAAAAH1/31U=",0)</f>
        <v>#REF!</v>
      </c>
      <c r="CI49" t="e">
        <f>AND(#REF!,"AAAAAH1/31Y=")</f>
        <v>#REF!</v>
      </c>
      <c r="CJ49" t="e">
        <f>AND(#REF!,"AAAAAH1/31c=")</f>
        <v>#REF!</v>
      </c>
      <c r="CK49" t="e">
        <f>AND(#REF!,"AAAAAH1/31g=")</f>
        <v>#REF!</v>
      </c>
      <c r="CL49" t="e">
        <f>AND(#REF!,"AAAAAH1/31k=")</f>
        <v>#REF!</v>
      </c>
      <c r="CM49" t="e">
        <f>AND(#REF!,"AAAAAH1/31o=")</f>
        <v>#REF!</v>
      </c>
      <c r="CN49" t="e">
        <f>AND(#REF!,"AAAAAH1/31s=")</f>
        <v>#REF!</v>
      </c>
      <c r="CO49" t="e">
        <f>IF(#REF!,"AAAAAH1/31w=",0)</f>
        <v>#REF!</v>
      </c>
      <c r="CP49" t="e">
        <f>AND(#REF!,"AAAAAH1/310=")</f>
        <v>#REF!</v>
      </c>
      <c r="CQ49" t="e">
        <f>AND(#REF!,"AAAAAH1/314=")</f>
        <v>#REF!</v>
      </c>
      <c r="CR49" t="e">
        <f>AND(#REF!,"AAAAAH1/318=")</f>
        <v>#REF!</v>
      </c>
      <c r="CS49" t="e">
        <f>AND(#REF!,"AAAAAH1/32A=")</f>
        <v>#REF!</v>
      </c>
      <c r="CT49" t="e">
        <f>AND(#REF!,"AAAAAH1/32E=")</f>
        <v>#REF!</v>
      </c>
      <c r="CU49" t="e">
        <f>AND(#REF!,"AAAAAH1/32I=")</f>
        <v>#REF!</v>
      </c>
      <c r="CV49" t="e">
        <f>IF(#REF!,"AAAAAH1/32M=",0)</f>
        <v>#REF!</v>
      </c>
      <c r="CW49" t="e">
        <f>AND(#REF!,"AAAAAH1/32Q=")</f>
        <v>#REF!</v>
      </c>
      <c r="CX49" t="e">
        <f>AND(#REF!,"AAAAAH1/32U=")</f>
        <v>#REF!</v>
      </c>
      <c r="CY49" t="e">
        <f>AND(#REF!,"AAAAAH1/32Y=")</f>
        <v>#REF!</v>
      </c>
      <c r="CZ49" t="e">
        <f>AND(#REF!,"AAAAAH1/32c=")</f>
        <v>#REF!</v>
      </c>
      <c r="DA49" t="e">
        <f>AND(#REF!,"AAAAAH1/32g=")</f>
        <v>#REF!</v>
      </c>
      <c r="DB49" t="e">
        <f>AND(#REF!,"AAAAAH1/32k=")</f>
        <v>#REF!</v>
      </c>
      <c r="DC49" t="e">
        <f>IF(#REF!,"AAAAAH1/32o=",0)</f>
        <v>#REF!</v>
      </c>
      <c r="DD49" t="e">
        <f>AND(#REF!,"AAAAAH1/32s=")</f>
        <v>#REF!</v>
      </c>
      <c r="DE49" t="e">
        <f>AND(#REF!,"AAAAAH1/32w=")</f>
        <v>#REF!</v>
      </c>
      <c r="DF49" t="e">
        <f>AND(#REF!,"AAAAAH1/320=")</f>
        <v>#REF!</v>
      </c>
      <c r="DG49" t="e">
        <f>AND(#REF!,"AAAAAH1/324=")</f>
        <v>#REF!</v>
      </c>
      <c r="DH49" t="e">
        <f>AND(#REF!,"AAAAAH1/328=")</f>
        <v>#REF!</v>
      </c>
      <c r="DI49" t="e">
        <f>AND(#REF!,"AAAAAH1/33A=")</f>
        <v>#REF!</v>
      </c>
      <c r="DJ49" t="e">
        <f>IF(#REF!,"AAAAAH1/33E=",0)</f>
        <v>#REF!</v>
      </c>
      <c r="DK49" t="e">
        <f>AND(#REF!,"AAAAAH1/33I=")</f>
        <v>#REF!</v>
      </c>
      <c r="DL49" t="e">
        <f>AND(#REF!,"AAAAAH1/33M=")</f>
        <v>#REF!</v>
      </c>
      <c r="DM49" t="e">
        <f>AND(#REF!,"AAAAAH1/33Q=")</f>
        <v>#REF!</v>
      </c>
      <c r="DN49" t="e">
        <f>AND(#REF!,"AAAAAH1/33U=")</f>
        <v>#REF!</v>
      </c>
      <c r="DO49" t="e">
        <f>AND(#REF!,"AAAAAH1/33Y=")</f>
        <v>#REF!</v>
      </c>
      <c r="DP49" t="e">
        <f>AND(#REF!,"AAAAAH1/33c=")</f>
        <v>#REF!</v>
      </c>
      <c r="DQ49" t="e">
        <f>IF(#REF!,"AAAAAH1/33g=",0)</f>
        <v>#REF!</v>
      </c>
      <c r="DR49" t="e">
        <f>AND(#REF!,"AAAAAH1/33k=")</f>
        <v>#REF!</v>
      </c>
      <c r="DS49" t="e">
        <f>AND(#REF!,"AAAAAH1/33o=")</f>
        <v>#REF!</v>
      </c>
      <c r="DT49" t="e">
        <f>AND(#REF!,"AAAAAH1/33s=")</f>
        <v>#REF!</v>
      </c>
      <c r="DU49" t="e">
        <f>AND(#REF!,"AAAAAH1/33w=")</f>
        <v>#REF!</v>
      </c>
      <c r="DV49" t="e">
        <f>AND(#REF!,"AAAAAH1/330=")</f>
        <v>#REF!</v>
      </c>
      <c r="DW49" t="e">
        <f>AND(#REF!,"AAAAAH1/334=")</f>
        <v>#REF!</v>
      </c>
      <c r="DX49" t="e">
        <f>IF(#REF!,"AAAAAH1/338=",0)</f>
        <v>#REF!</v>
      </c>
      <c r="DY49" t="e">
        <f>AND(#REF!,"AAAAAH1/34A=")</f>
        <v>#REF!</v>
      </c>
      <c r="DZ49" t="e">
        <f>AND(#REF!,"AAAAAH1/34E=")</f>
        <v>#REF!</v>
      </c>
      <c r="EA49" t="e">
        <f>AND(#REF!,"AAAAAH1/34I=")</f>
        <v>#REF!</v>
      </c>
      <c r="EB49" t="e">
        <f>AND(#REF!,"AAAAAH1/34M=")</f>
        <v>#REF!</v>
      </c>
      <c r="EC49" t="e">
        <f>AND(#REF!,"AAAAAH1/34Q=")</f>
        <v>#REF!</v>
      </c>
      <c r="ED49" t="e">
        <f>AND(#REF!,"AAAAAH1/34U=")</f>
        <v>#REF!</v>
      </c>
      <c r="EE49" t="e">
        <f>IF(#REF!,"AAAAAH1/34Y=",0)</f>
        <v>#REF!</v>
      </c>
      <c r="EF49" t="e">
        <f>AND(#REF!,"AAAAAH1/34c=")</f>
        <v>#REF!</v>
      </c>
      <c r="EG49" t="e">
        <f>AND(#REF!,"AAAAAH1/34g=")</f>
        <v>#REF!</v>
      </c>
      <c r="EH49" t="e">
        <f>AND(#REF!,"AAAAAH1/34k=")</f>
        <v>#REF!</v>
      </c>
      <c r="EI49" t="e">
        <f>AND(#REF!,"AAAAAH1/34o=")</f>
        <v>#REF!</v>
      </c>
      <c r="EJ49" t="e">
        <f>AND(#REF!,"AAAAAH1/34s=")</f>
        <v>#REF!</v>
      </c>
      <c r="EK49" t="e">
        <f>AND(#REF!,"AAAAAH1/34w=")</f>
        <v>#REF!</v>
      </c>
      <c r="EL49" t="e">
        <f>IF(#REF!,"AAAAAH1/340=",0)</f>
        <v>#REF!</v>
      </c>
      <c r="EM49" t="e">
        <f>AND(#REF!,"AAAAAH1/344=")</f>
        <v>#REF!</v>
      </c>
      <c r="EN49" t="e">
        <f>AND(#REF!,"AAAAAH1/348=")</f>
        <v>#REF!</v>
      </c>
      <c r="EO49" t="e">
        <f>AND(#REF!,"AAAAAH1/35A=")</f>
        <v>#REF!</v>
      </c>
      <c r="EP49" t="e">
        <f>AND(#REF!,"AAAAAH1/35E=")</f>
        <v>#REF!</v>
      </c>
      <c r="EQ49" t="e">
        <f>AND(#REF!,"AAAAAH1/35I=")</f>
        <v>#REF!</v>
      </c>
      <c r="ER49" t="e">
        <f>AND(#REF!,"AAAAAH1/35M=")</f>
        <v>#REF!</v>
      </c>
      <c r="ES49" t="e">
        <f>IF(#REF!,"AAAAAH1/35Q=",0)</f>
        <v>#REF!</v>
      </c>
      <c r="ET49" t="e">
        <f>AND(#REF!,"AAAAAH1/35U=")</f>
        <v>#REF!</v>
      </c>
      <c r="EU49" t="e">
        <f>AND(#REF!,"AAAAAH1/35Y=")</f>
        <v>#REF!</v>
      </c>
      <c r="EV49" t="e">
        <f>AND(#REF!,"AAAAAH1/35c=")</f>
        <v>#REF!</v>
      </c>
      <c r="EW49" t="e">
        <f>AND(#REF!,"AAAAAH1/35g=")</f>
        <v>#REF!</v>
      </c>
      <c r="EX49" t="e">
        <f>AND(#REF!,"AAAAAH1/35k=")</f>
        <v>#REF!</v>
      </c>
      <c r="EY49" t="e">
        <f>AND(#REF!,"AAAAAH1/35o=")</f>
        <v>#REF!</v>
      </c>
      <c r="EZ49" t="e">
        <f>IF(#REF!,"AAAAAH1/35s=",0)</f>
        <v>#REF!</v>
      </c>
      <c r="FA49" t="e">
        <f>AND(#REF!,"AAAAAH1/35w=")</f>
        <v>#REF!</v>
      </c>
      <c r="FB49" t="e">
        <f>AND(#REF!,"AAAAAH1/350=")</f>
        <v>#REF!</v>
      </c>
      <c r="FC49" t="e">
        <f>AND(#REF!,"AAAAAH1/354=")</f>
        <v>#REF!</v>
      </c>
      <c r="FD49" t="e">
        <f>AND(#REF!,"AAAAAH1/358=")</f>
        <v>#REF!</v>
      </c>
      <c r="FE49" t="e">
        <f>AND(#REF!,"AAAAAH1/36A=")</f>
        <v>#REF!</v>
      </c>
      <c r="FF49" t="e">
        <f>AND(#REF!,"AAAAAH1/36E=")</f>
        <v>#REF!</v>
      </c>
      <c r="FG49" t="e">
        <f>IF(#REF!,"AAAAAH1/36I=",0)</f>
        <v>#REF!</v>
      </c>
      <c r="FH49" t="e">
        <f>AND(#REF!,"AAAAAH1/36M=")</f>
        <v>#REF!</v>
      </c>
      <c r="FI49" t="e">
        <f>AND(#REF!,"AAAAAH1/36Q=")</f>
        <v>#REF!</v>
      </c>
      <c r="FJ49" t="e">
        <f>AND(#REF!,"AAAAAH1/36U=")</f>
        <v>#REF!</v>
      </c>
      <c r="FK49" t="e">
        <f>AND(#REF!,"AAAAAH1/36Y=")</f>
        <v>#REF!</v>
      </c>
      <c r="FL49" t="e">
        <f>AND(#REF!,"AAAAAH1/36c=")</f>
        <v>#REF!</v>
      </c>
      <c r="FM49" t="e">
        <f>AND(#REF!,"AAAAAH1/36g=")</f>
        <v>#REF!</v>
      </c>
      <c r="FN49" t="e">
        <f>IF(#REF!,"AAAAAH1/36k=",0)</f>
        <v>#REF!</v>
      </c>
      <c r="FO49" t="e">
        <f>AND(#REF!,"AAAAAH1/36o=")</f>
        <v>#REF!</v>
      </c>
      <c r="FP49" t="e">
        <f>AND(#REF!,"AAAAAH1/36s=")</f>
        <v>#REF!</v>
      </c>
      <c r="FQ49" t="e">
        <f>AND(#REF!,"AAAAAH1/36w=")</f>
        <v>#REF!</v>
      </c>
      <c r="FR49" t="e">
        <f>AND(#REF!,"AAAAAH1/360=")</f>
        <v>#REF!</v>
      </c>
      <c r="FS49" t="e">
        <f>AND(#REF!,"AAAAAH1/364=")</f>
        <v>#REF!</v>
      </c>
      <c r="FT49" t="e">
        <f>AND(#REF!,"AAAAAH1/368=")</f>
        <v>#REF!</v>
      </c>
      <c r="FU49" t="e">
        <f>IF(#REF!,"AAAAAH1/37A=",0)</f>
        <v>#REF!</v>
      </c>
      <c r="FV49" t="e">
        <f>AND(#REF!,"AAAAAH1/37E=")</f>
        <v>#REF!</v>
      </c>
      <c r="FW49" t="e">
        <f>AND(#REF!,"AAAAAH1/37I=")</f>
        <v>#REF!</v>
      </c>
      <c r="FX49" t="e">
        <f>AND(#REF!,"AAAAAH1/37M=")</f>
        <v>#REF!</v>
      </c>
      <c r="FY49" t="e">
        <f>AND(#REF!,"AAAAAH1/37Q=")</f>
        <v>#REF!</v>
      </c>
      <c r="FZ49" t="e">
        <f>AND(#REF!,"AAAAAH1/37U=")</f>
        <v>#REF!</v>
      </c>
      <c r="GA49" t="e">
        <f>AND(#REF!,"AAAAAH1/37Y=")</f>
        <v>#REF!</v>
      </c>
      <c r="GB49" t="e">
        <f>IF(#REF!,"AAAAAH1/37c=",0)</f>
        <v>#REF!</v>
      </c>
      <c r="GC49" t="e">
        <f>AND(#REF!,"AAAAAH1/37g=")</f>
        <v>#REF!</v>
      </c>
      <c r="GD49" t="e">
        <f>AND(#REF!,"AAAAAH1/37k=")</f>
        <v>#REF!</v>
      </c>
      <c r="GE49" t="e">
        <f>AND(#REF!,"AAAAAH1/37o=")</f>
        <v>#REF!</v>
      </c>
      <c r="GF49" t="e">
        <f>AND(#REF!,"AAAAAH1/37s=")</f>
        <v>#REF!</v>
      </c>
      <c r="GG49" t="e">
        <f>AND(#REF!,"AAAAAH1/37w=")</f>
        <v>#REF!</v>
      </c>
      <c r="GH49" t="e">
        <f>AND(#REF!,"AAAAAH1/370=")</f>
        <v>#REF!</v>
      </c>
      <c r="GI49" t="e">
        <f>IF(#REF!,"AAAAAH1/374=",0)</f>
        <v>#REF!</v>
      </c>
      <c r="GJ49" t="e">
        <f>AND(#REF!,"AAAAAH1/378=")</f>
        <v>#REF!</v>
      </c>
      <c r="GK49" t="e">
        <f>AND(#REF!,"AAAAAH1/38A=")</f>
        <v>#REF!</v>
      </c>
      <c r="GL49" t="e">
        <f>AND(#REF!,"AAAAAH1/38E=")</f>
        <v>#REF!</v>
      </c>
      <c r="GM49" t="e">
        <f>AND(#REF!,"AAAAAH1/38I=")</f>
        <v>#REF!</v>
      </c>
      <c r="GN49" t="e">
        <f>AND(#REF!,"AAAAAH1/38M=")</f>
        <v>#REF!</v>
      </c>
      <c r="GO49" t="e">
        <f>AND(#REF!,"AAAAAH1/38Q=")</f>
        <v>#REF!</v>
      </c>
      <c r="GP49" t="e">
        <f>IF(#REF!,"AAAAAH1/38U=",0)</f>
        <v>#REF!</v>
      </c>
      <c r="GQ49" t="e">
        <f>AND(#REF!,"AAAAAH1/38Y=")</f>
        <v>#REF!</v>
      </c>
      <c r="GR49" t="e">
        <f>AND(#REF!,"AAAAAH1/38c=")</f>
        <v>#REF!</v>
      </c>
      <c r="GS49" t="e">
        <f>AND(#REF!,"AAAAAH1/38g=")</f>
        <v>#REF!</v>
      </c>
      <c r="GT49" t="e">
        <f>AND(#REF!,"AAAAAH1/38k=")</f>
        <v>#REF!</v>
      </c>
      <c r="GU49" t="e">
        <f>AND(#REF!,"AAAAAH1/38o=")</f>
        <v>#REF!</v>
      </c>
      <c r="GV49" t="e">
        <f>AND(#REF!,"AAAAAH1/38s=")</f>
        <v>#REF!</v>
      </c>
      <c r="GW49" t="e">
        <f>IF(#REF!,"AAAAAH1/38w=",0)</f>
        <v>#REF!</v>
      </c>
      <c r="GX49" t="e">
        <f>AND(#REF!,"AAAAAH1/380=")</f>
        <v>#REF!</v>
      </c>
      <c r="GY49" t="e">
        <f>AND(#REF!,"AAAAAH1/384=")</f>
        <v>#REF!</v>
      </c>
      <c r="GZ49" t="e">
        <f>AND(#REF!,"AAAAAH1/388=")</f>
        <v>#REF!</v>
      </c>
      <c r="HA49" t="e">
        <f>AND(#REF!,"AAAAAH1/39A=")</f>
        <v>#REF!</v>
      </c>
      <c r="HB49" t="e">
        <f>AND(#REF!,"AAAAAH1/39E=")</f>
        <v>#REF!</v>
      </c>
      <c r="HC49" t="e">
        <f>AND(#REF!,"AAAAAH1/39I=")</f>
        <v>#REF!</v>
      </c>
      <c r="HD49" t="e">
        <f>IF(#REF!,"AAAAAH1/39M=",0)</f>
        <v>#REF!</v>
      </c>
      <c r="HE49" t="e">
        <f>AND(#REF!,"AAAAAH1/39Q=")</f>
        <v>#REF!</v>
      </c>
      <c r="HF49" t="e">
        <f>AND(#REF!,"AAAAAH1/39U=")</f>
        <v>#REF!</v>
      </c>
      <c r="HG49" t="e">
        <f>AND(#REF!,"AAAAAH1/39Y=")</f>
        <v>#REF!</v>
      </c>
      <c r="HH49" t="e">
        <f>AND(#REF!,"AAAAAH1/39c=")</f>
        <v>#REF!</v>
      </c>
      <c r="HI49" t="e">
        <f>AND(#REF!,"AAAAAH1/39g=")</f>
        <v>#REF!</v>
      </c>
      <c r="HJ49" t="e">
        <f>AND(#REF!,"AAAAAH1/39k=")</f>
        <v>#REF!</v>
      </c>
      <c r="HK49" t="e">
        <f>IF(#REF!,"AAAAAH1/39o=",0)</f>
        <v>#REF!</v>
      </c>
      <c r="HL49" t="e">
        <f>AND(#REF!,"AAAAAH1/39s=")</f>
        <v>#REF!</v>
      </c>
      <c r="HM49" t="e">
        <f>AND(#REF!,"AAAAAH1/39w=")</f>
        <v>#REF!</v>
      </c>
      <c r="HN49" t="e">
        <f>AND(#REF!,"AAAAAH1/390=")</f>
        <v>#REF!</v>
      </c>
      <c r="HO49" t="e">
        <f>AND(#REF!,"AAAAAH1/394=")</f>
        <v>#REF!</v>
      </c>
      <c r="HP49" t="e">
        <f>AND(#REF!,"AAAAAH1/398=")</f>
        <v>#REF!</v>
      </c>
      <c r="HQ49" t="e">
        <f>AND(#REF!,"AAAAAH1/3+A=")</f>
        <v>#REF!</v>
      </c>
      <c r="HR49" t="e">
        <f>IF(#REF!,"AAAAAH1/3+E=",0)</f>
        <v>#REF!</v>
      </c>
      <c r="HS49" t="e">
        <f>AND(#REF!,"AAAAAH1/3+I=")</f>
        <v>#REF!</v>
      </c>
      <c r="HT49" t="e">
        <f>AND(#REF!,"AAAAAH1/3+M=")</f>
        <v>#REF!</v>
      </c>
      <c r="HU49" t="e">
        <f>AND(#REF!,"AAAAAH1/3+Q=")</f>
        <v>#REF!</v>
      </c>
      <c r="HV49" t="e">
        <f>AND(#REF!,"AAAAAH1/3+U=")</f>
        <v>#REF!</v>
      </c>
      <c r="HW49" t="e">
        <f>AND(#REF!,"AAAAAH1/3+Y=")</f>
        <v>#REF!</v>
      </c>
      <c r="HX49" t="e">
        <f>AND(#REF!,"AAAAAH1/3+c=")</f>
        <v>#REF!</v>
      </c>
      <c r="HY49" t="e">
        <f>IF(#REF!,"AAAAAH1/3+g=",0)</f>
        <v>#REF!</v>
      </c>
      <c r="HZ49" t="e">
        <f>AND(#REF!,"AAAAAH1/3+k=")</f>
        <v>#REF!</v>
      </c>
      <c r="IA49" t="e">
        <f>AND(#REF!,"AAAAAH1/3+o=")</f>
        <v>#REF!</v>
      </c>
      <c r="IB49" t="e">
        <f>AND(#REF!,"AAAAAH1/3+s=")</f>
        <v>#REF!</v>
      </c>
      <c r="IC49" t="e">
        <f>AND(#REF!,"AAAAAH1/3+w=")</f>
        <v>#REF!</v>
      </c>
      <c r="ID49" t="e">
        <f>AND(#REF!,"AAAAAH1/3+0=")</f>
        <v>#REF!</v>
      </c>
      <c r="IE49" t="e">
        <f>AND(#REF!,"AAAAAH1/3+4=")</f>
        <v>#REF!</v>
      </c>
      <c r="IF49" t="e">
        <f>IF(#REF!,"AAAAAH1/3+8=",0)</f>
        <v>#REF!</v>
      </c>
      <c r="IG49" t="e">
        <f>AND(#REF!,"AAAAAH1/3/A=")</f>
        <v>#REF!</v>
      </c>
      <c r="IH49" t="e">
        <f>AND(#REF!,"AAAAAH1/3/E=")</f>
        <v>#REF!</v>
      </c>
      <c r="II49" t="e">
        <f>AND(#REF!,"AAAAAH1/3/I=")</f>
        <v>#REF!</v>
      </c>
      <c r="IJ49" t="e">
        <f>AND(#REF!,"AAAAAH1/3/M=")</f>
        <v>#REF!</v>
      </c>
      <c r="IK49" t="e">
        <f>AND(#REF!,"AAAAAH1/3/Q=")</f>
        <v>#REF!</v>
      </c>
      <c r="IL49" t="e">
        <f>AND(#REF!,"AAAAAH1/3/U=")</f>
        <v>#REF!</v>
      </c>
      <c r="IM49" t="e">
        <f>IF(#REF!,"AAAAAH1/3/Y=",0)</f>
        <v>#REF!</v>
      </c>
      <c r="IN49" t="e">
        <f>AND(#REF!,"AAAAAH1/3/c=")</f>
        <v>#REF!</v>
      </c>
      <c r="IO49" t="e">
        <f>AND(#REF!,"AAAAAH1/3/g=")</f>
        <v>#REF!</v>
      </c>
      <c r="IP49" t="e">
        <f>AND(#REF!,"AAAAAH1/3/k=")</f>
        <v>#REF!</v>
      </c>
      <c r="IQ49" t="e">
        <f>AND(#REF!,"AAAAAH1/3/o=")</f>
        <v>#REF!</v>
      </c>
      <c r="IR49" t="e">
        <f>AND(#REF!,"AAAAAH1/3/s=")</f>
        <v>#REF!</v>
      </c>
      <c r="IS49" t="e">
        <f>AND(#REF!,"AAAAAH1/3/w=")</f>
        <v>#REF!</v>
      </c>
      <c r="IT49" t="e">
        <f>IF(#REF!,"AAAAAH1/3/0=",0)</f>
        <v>#REF!</v>
      </c>
      <c r="IU49" t="e">
        <f>AND(#REF!,"AAAAAH1/3/4=")</f>
        <v>#REF!</v>
      </c>
      <c r="IV49" t="e">
        <f>AND(#REF!,"AAAAAH1/3/8=")</f>
        <v>#REF!</v>
      </c>
    </row>
    <row r="50" spans="1:256" x14ac:dyDescent="0.25">
      <c r="A50" t="e">
        <f>AND(#REF!,"AAAAACvf+QA=")</f>
        <v>#REF!</v>
      </c>
      <c r="B50" t="e">
        <f>AND(#REF!,"AAAAACvf+QE=")</f>
        <v>#REF!</v>
      </c>
      <c r="C50" t="e">
        <f>AND(#REF!,"AAAAACvf+QI=")</f>
        <v>#REF!</v>
      </c>
      <c r="D50" t="e">
        <f>AND(#REF!,"AAAAACvf+QM=")</f>
        <v>#REF!</v>
      </c>
      <c r="E50" t="e">
        <f>IF(#REF!,"AAAAACvf+QQ=",0)</f>
        <v>#REF!</v>
      </c>
      <c r="F50" t="e">
        <f>AND(#REF!,"AAAAACvf+QU=")</f>
        <v>#REF!</v>
      </c>
      <c r="G50" t="e">
        <f>AND(#REF!,"AAAAACvf+QY=")</f>
        <v>#REF!</v>
      </c>
      <c r="H50" t="e">
        <f>AND(#REF!,"AAAAACvf+Qc=")</f>
        <v>#REF!</v>
      </c>
      <c r="I50" t="e">
        <f>AND(#REF!,"AAAAACvf+Qg=")</f>
        <v>#REF!</v>
      </c>
      <c r="J50" t="e">
        <f>AND(#REF!,"AAAAACvf+Qk=")</f>
        <v>#REF!</v>
      </c>
      <c r="K50" t="e">
        <f>AND(#REF!,"AAAAACvf+Qo=")</f>
        <v>#REF!</v>
      </c>
      <c r="L50" t="e">
        <f>IF(#REF!,"AAAAACvf+Qs=",0)</f>
        <v>#REF!</v>
      </c>
      <c r="M50" t="e">
        <f>AND(#REF!,"AAAAACvf+Qw=")</f>
        <v>#REF!</v>
      </c>
      <c r="N50" t="e">
        <f>AND(#REF!,"AAAAACvf+Q0=")</f>
        <v>#REF!</v>
      </c>
      <c r="O50" t="e">
        <f>AND(#REF!,"AAAAACvf+Q4=")</f>
        <v>#REF!</v>
      </c>
      <c r="P50" t="e">
        <f>AND(#REF!,"AAAAACvf+Q8=")</f>
        <v>#REF!</v>
      </c>
      <c r="Q50" t="e">
        <f>AND(#REF!,"AAAAACvf+RA=")</f>
        <v>#REF!</v>
      </c>
      <c r="R50" t="e">
        <f>AND(#REF!,"AAAAACvf+RE=")</f>
        <v>#REF!</v>
      </c>
      <c r="S50" t="e">
        <f>IF(#REF!,"AAAAACvf+RI=",0)</f>
        <v>#REF!</v>
      </c>
      <c r="T50" t="e">
        <f>AND(#REF!,"AAAAACvf+RM=")</f>
        <v>#REF!</v>
      </c>
      <c r="U50" t="e">
        <f>AND(#REF!,"AAAAACvf+RQ=")</f>
        <v>#REF!</v>
      </c>
      <c r="V50" t="e">
        <f>AND(#REF!,"AAAAACvf+RU=")</f>
        <v>#REF!</v>
      </c>
      <c r="W50" t="e">
        <f>AND(#REF!,"AAAAACvf+RY=")</f>
        <v>#REF!</v>
      </c>
      <c r="X50" t="e">
        <f>AND(#REF!,"AAAAACvf+Rc=")</f>
        <v>#REF!</v>
      </c>
      <c r="Y50" t="e">
        <f>AND(#REF!,"AAAAACvf+Rg=")</f>
        <v>#REF!</v>
      </c>
      <c r="Z50" t="e">
        <f>IF(#REF!,"AAAAACvf+Rk=",0)</f>
        <v>#REF!</v>
      </c>
      <c r="AA50" t="e">
        <f>AND(#REF!,"AAAAACvf+Ro=")</f>
        <v>#REF!</v>
      </c>
      <c r="AB50" t="e">
        <f>AND(#REF!,"AAAAACvf+Rs=")</f>
        <v>#REF!</v>
      </c>
      <c r="AC50" t="e">
        <f>AND(#REF!,"AAAAACvf+Rw=")</f>
        <v>#REF!</v>
      </c>
      <c r="AD50" t="e">
        <f>AND(#REF!,"AAAAACvf+R0=")</f>
        <v>#REF!</v>
      </c>
      <c r="AE50" t="e">
        <f>AND(#REF!,"AAAAACvf+R4=")</f>
        <v>#REF!</v>
      </c>
      <c r="AF50" t="e">
        <f>AND(#REF!,"AAAAACvf+R8=")</f>
        <v>#REF!</v>
      </c>
      <c r="AG50" t="e">
        <f>IF(#REF!,"AAAAACvf+SA=",0)</f>
        <v>#REF!</v>
      </c>
      <c r="AH50" t="e">
        <f>AND(#REF!,"AAAAACvf+SE=")</f>
        <v>#REF!</v>
      </c>
      <c r="AI50" t="e">
        <f>AND(#REF!,"AAAAACvf+SI=")</f>
        <v>#REF!</v>
      </c>
      <c r="AJ50" t="e">
        <f>AND(#REF!,"AAAAACvf+SM=")</f>
        <v>#REF!</v>
      </c>
      <c r="AK50" t="e">
        <f>AND(#REF!,"AAAAACvf+SQ=")</f>
        <v>#REF!</v>
      </c>
      <c r="AL50" t="e">
        <f>AND(#REF!,"AAAAACvf+SU=")</f>
        <v>#REF!</v>
      </c>
      <c r="AM50" t="e">
        <f>AND(#REF!,"AAAAACvf+SY=")</f>
        <v>#REF!</v>
      </c>
      <c r="AN50" t="e">
        <f>IF(#REF!,"AAAAACvf+Sc=",0)</f>
        <v>#REF!</v>
      </c>
      <c r="AO50" t="e">
        <f>AND(#REF!,"AAAAACvf+Sg=")</f>
        <v>#REF!</v>
      </c>
      <c r="AP50" t="e">
        <f>AND(#REF!,"AAAAACvf+Sk=")</f>
        <v>#REF!</v>
      </c>
      <c r="AQ50" t="e">
        <f>AND(#REF!,"AAAAACvf+So=")</f>
        <v>#REF!</v>
      </c>
      <c r="AR50" t="e">
        <f>AND(#REF!,"AAAAACvf+Ss=")</f>
        <v>#REF!</v>
      </c>
      <c r="AS50" t="e">
        <f>AND(#REF!,"AAAAACvf+Sw=")</f>
        <v>#REF!</v>
      </c>
      <c r="AT50" t="e">
        <f>AND(#REF!,"AAAAACvf+S0=")</f>
        <v>#REF!</v>
      </c>
      <c r="AU50" t="e">
        <f>IF(#REF!,"AAAAACvf+S4=",0)</f>
        <v>#REF!</v>
      </c>
      <c r="AV50" t="e">
        <f>AND(#REF!,"AAAAACvf+S8=")</f>
        <v>#REF!</v>
      </c>
      <c r="AW50" t="e">
        <f>AND(#REF!,"AAAAACvf+TA=")</f>
        <v>#REF!</v>
      </c>
      <c r="AX50" t="e">
        <f>AND(#REF!,"AAAAACvf+TE=")</f>
        <v>#REF!</v>
      </c>
      <c r="AY50" t="e">
        <f>AND(#REF!,"AAAAACvf+TI=")</f>
        <v>#REF!</v>
      </c>
      <c r="AZ50" t="e">
        <f>AND(#REF!,"AAAAACvf+TM=")</f>
        <v>#REF!</v>
      </c>
      <c r="BA50" t="e">
        <f>AND(#REF!,"AAAAACvf+TQ=")</f>
        <v>#REF!</v>
      </c>
      <c r="BB50" t="e">
        <f>IF(#REF!,"AAAAACvf+TU=",0)</f>
        <v>#REF!</v>
      </c>
      <c r="BC50" t="e">
        <f>AND(#REF!,"AAAAACvf+TY=")</f>
        <v>#REF!</v>
      </c>
      <c r="BD50" t="e">
        <f>AND(#REF!,"AAAAACvf+Tc=")</f>
        <v>#REF!</v>
      </c>
      <c r="BE50" t="e">
        <f>AND(#REF!,"AAAAACvf+Tg=")</f>
        <v>#REF!</v>
      </c>
      <c r="BF50" t="e">
        <f>AND(#REF!,"AAAAACvf+Tk=")</f>
        <v>#REF!</v>
      </c>
      <c r="BG50" t="e">
        <f>AND(#REF!,"AAAAACvf+To=")</f>
        <v>#REF!</v>
      </c>
      <c r="BH50" t="e">
        <f>AND(#REF!,"AAAAACvf+Ts=")</f>
        <v>#REF!</v>
      </c>
      <c r="BI50" t="e">
        <f>IF(#REF!,"AAAAACvf+Tw=",0)</f>
        <v>#REF!</v>
      </c>
      <c r="BJ50" t="e">
        <f>AND(#REF!,"AAAAACvf+T0=")</f>
        <v>#REF!</v>
      </c>
      <c r="BK50" t="e">
        <f>AND(#REF!,"AAAAACvf+T4=")</f>
        <v>#REF!</v>
      </c>
      <c r="BL50" t="e">
        <f>AND(#REF!,"AAAAACvf+T8=")</f>
        <v>#REF!</v>
      </c>
      <c r="BM50" t="e">
        <f>AND(#REF!,"AAAAACvf+UA=")</f>
        <v>#REF!</v>
      </c>
      <c r="BN50" t="e">
        <f>AND(#REF!,"AAAAACvf+UE=")</f>
        <v>#REF!</v>
      </c>
      <c r="BO50" t="e">
        <f>AND(#REF!,"AAAAACvf+UI=")</f>
        <v>#REF!</v>
      </c>
      <c r="BP50" t="e">
        <f>IF(#REF!,"AAAAACvf+UM=",0)</f>
        <v>#REF!</v>
      </c>
      <c r="BQ50" t="e">
        <f>AND(#REF!,"AAAAACvf+UQ=")</f>
        <v>#REF!</v>
      </c>
      <c r="BR50" t="e">
        <f>AND(#REF!,"AAAAACvf+UU=")</f>
        <v>#REF!</v>
      </c>
      <c r="BS50" t="e">
        <f>AND(#REF!,"AAAAACvf+UY=")</f>
        <v>#REF!</v>
      </c>
      <c r="BT50" t="e">
        <f>AND(#REF!,"AAAAACvf+Uc=")</f>
        <v>#REF!</v>
      </c>
      <c r="BU50" t="e">
        <f>AND(#REF!,"AAAAACvf+Ug=")</f>
        <v>#REF!</v>
      </c>
      <c r="BV50" t="e">
        <f>AND(#REF!,"AAAAACvf+Uk=")</f>
        <v>#REF!</v>
      </c>
      <c r="BW50" t="e">
        <f>IF(#REF!,"AAAAACvf+Uo=",0)</f>
        <v>#REF!</v>
      </c>
      <c r="BX50" t="e">
        <f>AND(#REF!,"AAAAACvf+Us=")</f>
        <v>#REF!</v>
      </c>
      <c r="BY50" t="e">
        <f>AND(#REF!,"AAAAACvf+Uw=")</f>
        <v>#REF!</v>
      </c>
      <c r="BZ50" t="e">
        <f>AND(#REF!,"AAAAACvf+U0=")</f>
        <v>#REF!</v>
      </c>
      <c r="CA50" t="e">
        <f>AND(#REF!,"AAAAACvf+U4=")</f>
        <v>#REF!</v>
      </c>
      <c r="CB50" t="e">
        <f>AND(#REF!,"AAAAACvf+U8=")</f>
        <v>#REF!</v>
      </c>
      <c r="CC50" t="e">
        <f>AND(#REF!,"AAAAACvf+VA=")</f>
        <v>#REF!</v>
      </c>
      <c r="CD50" t="e">
        <f>IF(#REF!,"AAAAACvf+VE=",0)</f>
        <v>#REF!</v>
      </c>
      <c r="CE50" t="e">
        <f>AND(#REF!,"AAAAACvf+VI=")</f>
        <v>#REF!</v>
      </c>
      <c r="CF50" t="e">
        <f>AND(#REF!,"AAAAACvf+VM=")</f>
        <v>#REF!</v>
      </c>
      <c r="CG50" t="e">
        <f>AND(#REF!,"AAAAACvf+VQ=")</f>
        <v>#REF!</v>
      </c>
      <c r="CH50" t="e">
        <f>AND(#REF!,"AAAAACvf+VU=")</f>
        <v>#REF!</v>
      </c>
      <c r="CI50" t="e">
        <f>AND(#REF!,"AAAAACvf+VY=")</f>
        <v>#REF!</v>
      </c>
      <c r="CJ50" t="e">
        <f>AND(#REF!,"AAAAACvf+Vc=")</f>
        <v>#REF!</v>
      </c>
      <c r="CK50" t="e">
        <f>IF(#REF!,"AAAAACvf+Vg=",0)</f>
        <v>#REF!</v>
      </c>
      <c r="CL50" t="e">
        <f>AND(#REF!,"AAAAACvf+Vk=")</f>
        <v>#REF!</v>
      </c>
      <c r="CM50" t="e">
        <f>AND(#REF!,"AAAAACvf+Vo=")</f>
        <v>#REF!</v>
      </c>
      <c r="CN50" t="e">
        <f>AND(#REF!,"AAAAACvf+Vs=")</f>
        <v>#REF!</v>
      </c>
      <c r="CO50" t="e">
        <f>AND(#REF!,"AAAAACvf+Vw=")</f>
        <v>#REF!</v>
      </c>
      <c r="CP50" t="e">
        <f>AND(#REF!,"AAAAACvf+V0=")</f>
        <v>#REF!</v>
      </c>
      <c r="CQ50" t="e">
        <f>AND(#REF!,"AAAAACvf+V4=")</f>
        <v>#REF!</v>
      </c>
      <c r="CR50" t="e">
        <f>IF(#REF!,"AAAAACvf+V8=",0)</f>
        <v>#REF!</v>
      </c>
      <c r="CS50" t="e">
        <f>AND(#REF!,"AAAAACvf+WA=")</f>
        <v>#REF!</v>
      </c>
      <c r="CT50" t="e">
        <f>AND(#REF!,"AAAAACvf+WE=")</f>
        <v>#REF!</v>
      </c>
      <c r="CU50" t="e">
        <f>AND(#REF!,"AAAAACvf+WI=")</f>
        <v>#REF!</v>
      </c>
      <c r="CV50" t="e">
        <f>AND(#REF!,"AAAAACvf+WM=")</f>
        <v>#REF!</v>
      </c>
      <c r="CW50" t="e">
        <f>AND(#REF!,"AAAAACvf+WQ=")</f>
        <v>#REF!</v>
      </c>
      <c r="CX50" t="e">
        <f>AND(#REF!,"AAAAACvf+WU=")</f>
        <v>#REF!</v>
      </c>
      <c r="CY50" t="e">
        <f>IF(#REF!,"AAAAACvf+WY=",0)</f>
        <v>#REF!</v>
      </c>
      <c r="CZ50" t="e">
        <f>AND(#REF!,"AAAAACvf+Wc=")</f>
        <v>#REF!</v>
      </c>
      <c r="DA50" t="e">
        <f>AND(#REF!,"AAAAACvf+Wg=")</f>
        <v>#REF!</v>
      </c>
      <c r="DB50" t="e">
        <f>AND(#REF!,"AAAAACvf+Wk=")</f>
        <v>#REF!</v>
      </c>
      <c r="DC50" t="e">
        <f>AND(#REF!,"AAAAACvf+Wo=")</f>
        <v>#REF!</v>
      </c>
      <c r="DD50" t="e">
        <f>AND(#REF!,"AAAAACvf+Ws=")</f>
        <v>#REF!</v>
      </c>
      <c r="DE50" t="e">
        <f>AND(#REF!,"AAAAACvf+Ww=")</f>
        <v>#REF!</v>
      </c>
      <c r="DF50" t="e">
        <f>IF(#REF!,"AAAAACvf+W0=",0)</f>
        <v>#REF!</v>
      </c>
      <c r="DG50" t="e">
        <f>AND(#REF!,"AAAAACvf+W4=")</f>
        <v>#REF!</v>
      </c>
      <c r="DH50" t="e">
        <f>AND(#REF!,"AAAAACvf+W8=")</f>
        <v>#REF!</v>
      </c>
      <c r="DI50" t="e">
        <f>AND(#REF!,"AAAAACvf+XA=")</f>
        <v>#REF!</v>
      </c>
      <c r="DJ50" t="e">
        <f>AND(#REF!,"AAAAACvf+XE=")</f>
        <v>#REF!</v>
      </c>
      <c r="DK50" t="e">
        <f>AND(#REF!,"AAAAACvf+XI=")</f>
        <v>#REF!</v>
      </c>
      <c r="DL50" t="e">
        <f>AND(#REF!,"AAAAACvf+XM=")</f>
        <v>#REF!</v>
      </c>
      <c r="DM50" t="e">
        <f>IF(#REF!,"AAAAACvf+XQ=",0)</f>
        <v>#REF!</v>
      </c>
      <c r="DN50" t="e">
        <f>AND(#REF!,"AAAAACvf+XU=")</f>
        <v>#REF!</v>
      </c>
      <c r="DO50" t="e">
        <f>AND(#REF!,"AAAAACvf+XY=")</f>
        <v>#REF!</v>
      </c>
      <c r="DP50" t="e">
        <f>AND(#REF!,"AAAAACvf+Xc=")</f>
        <v>#REF!</v>
      </c>
      <c r="DQ50" t="e">
        <f>AND(#REF!,"AAAAACvf+Xg=")</f>
        <v>#REF!</v>
      </c>
      <c r="DR50" t="e">
        <f>AND(#REF!,"AAAAACvf+Xk=")</f>
        <v>#REF!</v>
      </c>
      <c r="DS50" t="e">
        <f>AND(#REF!,"AAAAACvf+Xo=")</f>
        <v>#REF!</v>
      </c>
      <c r="DT50" t="e">
        <f>IF(#REF!,"AAAAACvf+Xs=",0)</f>
        <v>#REF!</v>
      </c>
      <c r="DU50" t="e">
        <f>AND(#REF!,"AAAAACvf+Xw=")</f>
        <v>#REF!</v>
      </c>
      <c r="DV50" t="e">
        <f>AND(#REF!,"AAAAACvf+X0=")</f>
        <v>#REF!</v>
      </c>
      <c r="DW50" t="e">
        <f>AND(#REF!,"AAAAACvf+X4=")</f>
        <v>#REF!</v>
      </c>
      <c r="DX50" t="e">
        <f>AND(#REF!,"AAAAACvf+X8=")</f>
        <v>#REF!</v>
      </c>
      <c r="DY50" t="e">
        <f>AND(#REF!,"AAAAACvf+YA=")</f>
        <v>#REF!</v>
      </c>
      <c r="DZ50" t="e">
        <f>AND(#REF!,"AAAAACvf+YE=")</f>
        <v>#REF!</v>
      </c>
      <c r="EA50" t="e">
        <f>IF(#REF!,"AAAAACvf+YI=",0)</f>
        <v>#REF!</v>
      </c>
      <c r="EB50" t="e">
        <f>AND(#REF!,"AAAAACvf+YM=")</f>
        <v>#REF!</v>
      </c>
      <c r="EC50" t="e">
        <f>AND(#REF!,"AAAAACvf+YQ=")</f>
        <v>#REF!</v>
      </c>
      <c r="ED50" t="e">
        <f>AND(#REF!,"AAAAACvf+YU=")</f>
        <v>#REF!</v>
      </c>
      <c r="EE50" t="e">
        <f>AND(#REF!,"AAAAACvf+YY=")</f>
        <v>#REF!</v>
      </c>
      <c r="EF50" t="e">
        <f>AND(#REF!,"AAAAACvf+Yc=")</f>
        <v>#REF!</v>
      </c>
      <c r="EG50" t="e">
        <f>AND(#REF!,"AAAAACvf+Yg=")</f>
        <v>#REF!</v>
      </c>
      <c r="EH50" t="e">
        <f>IF(#REF!,"AAAAACvf+Yk=",0)</f>
        <v>#REF!</v>
      </c>
      <c r="EI50" t="e">
        <f>AND(#REF!,"AAAAACvf+Yo=")</f>
        <v>#REF!</v>
      </c>
      <c r="EJ50" t="e">
        <f>AND(#REF!,"AAAAACvf+Ys=")</f>
        <v>#REF!</v>
      </c>
      <c r="EK50" t="e">
        <f>AND(#REF!,"AAAAACvf+Yw=")</f>
        <v>#REF!</v>
      </c>
      <c r="EL50" t="e">
        <f>AND(#REF!,"AAAAACvf+Y0=")</f>
        <v>#REF!</v>
      </c>
      <c r="EM50" t="e">
        <f>AND(#REF!,"AAAAACvf+Y4=")</f>
        <v>#REF!</v>
      </c>
      <c r="EN50" t="e">
        <f>AND(#REF!,"AAAAACvf+Y8=")</f>
        <v>#REF!</v>
      </c>
      <c r="EO50" t="e">
        <f>IF(#REF!,"AAAAACvf+ZA=",0)</f>
        <v>#REF!</v>
      </c>
      <c r="EP50" t="e">
        <f>AND(#REF!,"AAAAACvf+ZE=")</f>
        <v>#REF!</v>
      </c>
      <c r="EQ50" t="e">
        <f>AND(#REF!,"AAAAACvf+ZI=")</f>
        <v>#REF!</v>
      </c>
      <c r="ER50" t="e">
        <f>AND(#REF!,"AAAAACvf+ZM=")</f>
        <v>#REF!</v>
      </c>
      <c r="ES50" t="e">
        <f>AND(#REF!,"AAAAACvf+ZQ=")</f>
        <v>#REF!</v>
      </c>
      <c r="ET50" t="e">
        <f>AND(#REF!,"AAAAACvf+ZU=")</f>
        <v>#REF!</v>
      </c>
      <c r="EU50" t="e">
        <f>AND(#REF!,"AAAAACvf+ZY=")</f>
        <v>#REF!</v>
      </c>
      <c r="EV50" t="e">
        <f>IF(#REF!,"AAAAACvf+Zc=",0)</f>
        <v>#REF!</v>
      </c>
      <c r="EW50" t="e">
        <f>AND(#REF!,"AAAAACvf+Zg=")</f>
        <v>#REF!</v>
      </c>
      <c r="EX50" t="e">
        <f>AND(#REF!,"AAAAACvf+Zk=")</f>
        <v>#REF!</v>
      </c>
      <c r="EY50" t="e">
        <f>AND(#REF!,"AAAAACvf+Zo=")</f>
        <v>#REF!</v>
      </c>
      <c r="EZ50" t="e">
        <f>AND(#REF!,"AAAAACvf+Zs=")</f>
        <v>#REF!</v>
      </c>
      <c r="FA50" t="e">
        <f>AND(#REF!,"AAAAACvf+Zw=")</f>
        <v>#REF!</v>
      </c>
      <c r="FB50" t="e">
        <f>AND(#REF!,"AAAAACvf+Z0=")</f>
        <v>#REF!</v>
      </c>
      <c r="FC50" t="e">
        <f>IF(#REF!,"AAAAACvf+Z4=",0)</f>
        <v>#REF!</v>
      </c>
      <c r="FD50" t="e">
        <f>AND(#REF!,"AAAAACvf+Z8=")</f>
        <v>#REF!</v>
      </c>
      <c r="FE50" t="e">
        <f>AND(#REF!,"AAAAACvf+aA=")</f>
        <v>#REF!</v>
      </c>
      <c r="FF50" t="e">
        <f>AND(#REF!,"AAAAACvf+aE=")</f>
        <v>#REF!</v>
      </c>
      <c r="FG50" t="e">
        <f>AND(#REF!,"AAAAACvf+aI=")</f>
        <v>#REF!</v>
      </c>
      <c r="FH50" t="e">
        <f>AND(#REF!,"AAAAACvf+aM=")</f>
        <v>#REF!</v>
      </c>
      <c r="FI50" t="e">
        <f>AND(#REF!,"AAAAACvf+aQ=")</f>
        <v>#REF!</v>
      </c>
      <c r="FJ50" t="e">
        <f>IF(#REF!,"AAAAACvf+aU=",0)</f>
        <v>#REF!</v>
      </c>
      <c r="FK50" t="e">
        <f>AND(#REF!,"AAAAACvf+aY=")</f>
        <v>#REF!</v>
      </c>
      <c r="FL50" t="e">
        <f>AND(#REF!,"AAAAACvf+ac=")</f>
        <v>#REF!</v>
      </c>
      <c r="FM50" t="e">
        <f>AND(#REF!,"AAAAACvf+ag=")</f>
        <v>#REF!</v>
      </c>
      <c r="FN50" t="e">
        <f>AND(#REF!,"AAAAACvf+ak=")</f>
        <v>#REF!</v>
      </c>
      <c r="FO50" t="e">
        <f>AND(#REF!,"AAAAACvf+ao=")</f>
        <v>#REF!</v>
      </c>
      <c r="FP50" t="e">
        <f>AND(#REF!,"AAAAACvf+as=")</f>
        <v>#REF!</v>
      </c>
      <c r="FQ50" t="e">
        <f>IF(#REF!,"AAAAACvf+aw=",0)</f>
        <v>#REF!</v>
      </c>
      <c r="FR50" t="e">
        <f>AND(#REF!,"AAAAACvf+a0=")</f>
        <v>#REF!</v>
      </c>
      <c r="FS50" t="e">
        <f>AND(#REF!,"AAAAACvf+a4=")</f>
        <v>#REF!</v>
      </c>
      <c r="FT50" t="e">
        <f>AND(#REF!,"AAAAACvf+a8=")</f>
        <v>#REF!</v>
      </c>
      <c r="FU50" t="e">
        <f>AND(#REF!,"AAAAACvf+bA=")</f>
        <v>#REF!</v>
      </c>
      <c r="FV50" t="e">
        <f>AND(#REF!,"AAAAACvf+bE=")</f>
        <v>#REF!</v>
      </c>
      <c r="FW50" t="e">
        <f>AND(#REF!,"AAAAACvf+bI=")</f>
        <v>#REF!</v>
      </c>
      <c r="FX50" t="e">
        <f>IF(#REF!,"AAAAACvf+bM=",0)</f>
        <v>#REF!</v>
      </c>
      <c r="FY50" t="e">
        <f>AND(#REF!,"AAAAACvf+bQ=")</f>
        <v>#REF!</v>
      </c>
      <c r="FZ50" t="e">
        <f>AND(#REF!,"AAAAACvf+bU=")</f>
        <v>#REF!</v>
      </c>
      <c r="GA50" t="e">
        <f>AND(#REF!,"AAAAACvf+bY=")</f>
        <v>#REF!</v>
      </c>
      <c r="GB50" t="e">
        <f>AND(#REF!,"AAAAACvf+bc=")</f>
        <v>#REF!</v>
      </c>
      <c r="GC50" t="e">
        <f>AND(#REF!,"AAAAACvf+bg=")</f>
        <v>#REF!</v>
      </c>
      <c r="GD50" t="e">
        <f>AND(#REF!,"AAAAACvf+bk=")</f>
        <v>#REF!</v>
      </c>
      <c r="GE50" t="e">
        <f>IF(#REF!,"AAAAACvf+bo=",0)</f>
        <v>#REF!</v>
      </c>
      <c r="GF50" t="e">
        <f>AND(#REF!,"AAAAACvf+bs=")</f>
        <v>#REF!</v>
      </c>
      <c r="GG50" t="e">
        <f>AND(#REF!,"AAAAACvf+bw=")</f>
        <v>#REF!</v>
      </c>
      <c r="GH50" t="e">
        <f>AND(#REF!,"AAAAACvf+b0=")</f>
        <v>#REF!</v>
      </c>
      <c r="GI50" t="e">
        <f>AND(#REF!,"AAAAACvf+b4=")</f>
        <v>#REF!</v>
      </c>
      <c r="GJ50" t="e">
        <f>AND(#REF!,"AAAAACvf+b8=")</f>
        <v>#REF!</v>
      </c>
      <c r="GK50" t="e">
        <f>AND(#REF!,"AAAAACvf+cA=")</f>
        <v>#REF!</v>
      </c>
      <c r="GL50" t="e">
        <f>IF(#REF!,"AAAAACvf+cE=",0)</f>
        <v>#REF!</v>
      </c>
      <c r="GM50" t="e">
        <f>AND(#REF!,"AAAAACvf+cI=")</f>
        <v>#REF!</v>
      </c>
      <c r="GN50" t="e">
        <f>AND(#REF!,"AAAAACvf+cM=")</f>
        <v>#REF!</v>
      </c>
      <c r="GO50" t="e">
        <f>AND(#REF!,"AAAAACvf+cQ=")</f>
        <v>#REF!</v>
      </c>
      <c r="GP50" t="e">
        <f>AND(#REF!,"AAAAACvf+cU=")</f>
        <v>#REF!</v>
      </c>
      <c r="GQ50" t="e">
        <f>AND(#REF!,"AAAAACvf+cY=")</f>
        <v>#REF!</v>
      </c>
      <c r="GR50" t="e">
        <f>AND(#REF!,"AAAAACvf+cc=")</f>
        <v>#REF!</v>
      </c>
      <c r="GS50" t="e">
        <f>IF(#REF!,"AAAAACvf+cg=",0)</f>
        <v>#REF!</v>
      </c>
      <c r="GT50" t="e">
        <f>AND(#REF!,"AAAAACvf+ck=")</f>
        <v>#REF!</v>
      </c>
      <c r="GU50" t="e">
        <f>AND(#REF!,"AAAAACvf+co=")</f>
        <v>#REF!</v>
      </c>
      <c r="GV50" t="e">
        <f>AND(#REF!,"AAAAACvf+cs=")</f>
        <v>#REF!</v>
      </c>
      <c r="GW50" t="e">
        <f>AND(#REF!,"AAAAACvf+cw=")</f>
        <v>#REF!</v>
      </c>
      <c r="GX50" t="e">
        <f>AND(#REF!,"AAAAACvf+c0=")</f>
        <v>#REF!</v>
      </c>
      <c r="GY50" t="e">
        <f>AND(#REF!,"AAAAACvf+c4=")</f>
        <v>#REF!</v>
      </c>
      <c r="GZ50" t="e">
        <f>IF(#REF!,"AAAAACvf+c8=",0)</f>
        <v>#REF!</v>
      </c>
      <c r="HA50" t="e">
        <f>AND(#REF!,"AAAAACvf+dA=")</f>
        <v>#REF!</v>
      </c>
      <c r="HB50" t="e">
        <f>AND(#REF!,"AAAAACvf+dE=")</f>
        <v>#REF!</v>
      </c>
      <c r="HC50" t="e">
        <f>AND(#REF!,"AAAAACvf+dI=")</f>
        <v>#REF!</v>
      </c>
      <c r="HD50" t="e">
        <f>AND(#REF!,"AAAAACvf+dM=")</f>
        <v>#REF!</v>
      </c>
      <c r="HE50" t="e">
        <f>AND(#REF!,"AAAAACvf+dQ=")</f>
        <v>#REF!</v>
      </c>
      <c r="HF50" t="e">
        <f>AND(#REF!,"AAAAACvf+dU=")</f>
        <v>#REF!</v>
      </c>
      <c r="HG50" t="e">
        <f>IF(#REF!,"AAAAACvf+dY=",0)</f>
        <v>#REF!</v>
      </c>
      <c r="HH50" t="e">
        <f>AND(#REF!,"AAAAACvf+dc=")</f>
        <v>#REF!</v>
      </c>
      <c r="HI50" t="e">
        <f>AND(#REF!,"AAAAACvf+dg=")</f>
        <v>#REF!</v>
      </c>
      <c r="HJ50" t="e">
        <f>AND(#REF!,"AAAAACvf+dk=")</f>
        <v>#REF!</v>
      </c>
      <c r="HK50" t="e">
        <f>AND(#REF!,"AAAAACvf+do=")</f>
        <v>#REF!</v>
      </c>
      <c r="HL50" t="e">
        <f>AND(#REF!,"AAAAACvf+ds=")</f>
        <v>#REF!</v>
      </c>
      <c r="HM50" t="e">
        <f>AND(#REF!,"AAAAACvf+dw=")</f>
        <v>#REF!</v>
      </c>
      <c r="HN50" t="e">
        <f>IF(#REF!,"AAAAACvf+d0=",0)</f>
        <v>#REF!</v>
      </c>
      <c r="HO50" t="e">
        <f>AND(#REF!,"AAAAACvf+d4=")</f>
        <v>#REF!</v>
      </c>
      <c r="HP50" t="e">
        <f>AND(#REF!,"AAAAACvf+d8=")</f>
        <v>#REF!</v>
      </c>
      <c r="HQ50" t="e">
        <f>AND(#REF!,"AAAAACvf+eA=")</f>
        <v>#REF!</v>
      </c>
      <c r="HR50" t="e">
        <f>AND(#REF!,"AAAAACvf+eE=")</f>
        <v>#REF!</v>
      </c>
      <c r="HS50" t="e">
        <f>AND(#REF!,"AAAAACvf+eI=")</f>
        <v>#REF!</v>
      </c>
      <c r="HT50" t="e">
        <f>AND(#REF!,"AAAAACvf+eM=")</f>
        <v>#REF!</v>
      </c>
      <c r="HU50" t="e">
        <f>IF(#REF!,"AAAAACvf+eQ=",0)</f>
        <v>#REF!</v>
      </c>
      <c r="HV50" t="e">
        <f>AND(#REF!,"AAAAACvf+eU=")</f>
        <v>#REF!</v>
      </c>
      <c r="HW50" t="e">
        <f>AND(#REF!,"AAAAACvf+eY=")</f>
        <v>#REF!</v>
      </c>
      <c r="HX50" t="e">
        <f>AND(#REF!,"AAAAACvf+ec=")</f>
        <v>#REF!</v>
      </c>
      <c r="HY50" t="e">
        <f>AND(#REF!,"AAAAACvf+eg=")</f>
        <v>#REF!</v>
      </c>
      <c r="HZ50" t="e">
        <f>AND(#REF!,"AAAAACvf+ek=")</f>
        <v>#REF!</v>
      </c>
      <c r="IA50" t="e">
        <f>AND(#REF!,"AAAAACvf+eo=")</f>
        <v>#REF!</v>
      </c>
      <c r="IB50" t="e">
        <f>IF(#REF!,"AAAAACvf+es=",0)</f>
        <v>#REF!</v>
      </c>
      <c r="IC50" t="e">
        <f>AND(#REF!,"AAAAACvf+ew=")</f>
        <v>#REF!</v>
      </c>
      <c r="ID50" t="e">
        <f>AND(#REF!,"AAAAACvf+e0=")</f>
        <v>#REF!</v>
      </c>
      <c r="IE50" t="e">
        <f>AND(#REF!,"AAAAACvf+e4=")</f>
        <v>#REF!</v>
      </c>
      <c r="IF50" t="e">
        <f>AND(#REF!,"AAAAACvf+e8=")</f>
        <v>#REF!</v>
      </c>
      <c r="IG50" t="e">
        <f>AND(#REF!,"AAAAACvf+fA=")</f>
        <v>#REF!</v>
      </c>
      <c r="IH50" t="e">
        <f>AND(#REF!,"AAAAACvf+fE=")</f>
        <v>#REF!</v>
      </c>
      <c r="II50" t="e">
        <f>IF(#REF!,"AAAAACvf+fI=",0)</f>
        <v>#REF!</v>
      </c>
      <c r="IJ50" t="e">
        <f>AND(#REF!,"AAAAACvf+fM=")</f>
        <v>#REF!</v>
      </c>
      <c r="IK50" t="e">
        <f>AND(#REF!,"AAAAACvf+fQ=")</f>
        <v>#REF!</v>
      </c>
      <c r="IL50" t="e">
        <f>AND(#REF!,"AAAAACvf+fU=")</f>
        <v>#REF!</v>
      </c>
      <c r="IM50" t="e">
        <f>AND(#REF!,"AAAAACvf+fY=")</f>
        <v>#REF!</v>
      </c>
      <c r="IN50" t="e">
        <f>AND(#REF!,"AAAAACvf+fc=")</f>
        <v>#REF!</v>
      </c>
      <c r="IO50" t="e">
        <f>AND(#REF!,"AAAAACvf+fg=")</f>
        <v>#REF!</v>
      </c>
      <c r="IP50" t="e">
        <f>IF(#REF!,"AAAAACvf+fk=",0)</f>
        <v>#REF!</v>
      </c>
      <c r="IQ50" t="e">
        <f>AND(#REF!,"AAAAACvf+fo=")</f>
        <v>#REF!</v>
      </c>
      <c r="IR50" t="e">
        <f>AND(#REF!,"AAAAACvf+fs=")</f>
        <v>#REF!</v>
      </c>
      <c r="IS50" t="e">
        <f>AND(#REF!,"AAAAACvf+fw=")</f>
        <v>#REF!</v>
      </c>
      <c r="IT50" t="e">
        <f>AND(#REF!,"AAAAACvf+f0=")</f>
        <v>#REF!</v>
      </c>
      <c r="IU50" t="e">
        <f>AND(#REF!,"AAAAACvf+f4=")</f>
        <v>#REF!</v>
      </c>
      <c r="IV50" t="e">
        <f>AND(#REF!,"AAAAACvf+f8=")</f>
        <v>#REF!</v>
      </c>
    </row>
    <row r="51" spans="1:256" x14ac:dyDescent="0.25">
      <c r="A51" t="e">
        <f>IF(#REF!,"AAAAAE+vugA=",0)</f>
        <v>#REF!</v>
      </c>
      <c r="B51" t="e">
        <f>AND(#REF!,"AAAAAE+vugE=")</f>
        <v>#REF!</v>
      </c>
      <c r="C51" t="e">
        <f>AND(#REF!,"AAAAAE+vugI=")</f>
        <v>#REF!</v>
      </c>
      <c r="D51" t="e">
        <f>AND(#REF!,"AAAAAE+vugM=")</f>
        <v>#REF!</v>
      </c>
      <c r="E51" t="e">
        <f>AND(#REF!,"AAAAAE+vugQ=")</f>
        <v>#REF!</v>
      </c>
      <c r="F51" t="e">
        <f>AND(#REF!,"AAAAAE+vugU=")</f>
        <v>#REF!</v>
      </c>
      <c r="G51" t="e">
        <f>AND(#REF!,"AAAAAE+vugY=")</f>
        <v>#REF!</v>
      </c>
      <c r="H51" t="e">
        <f>IF(#REF!,"AAAAAE+vugc=",0)</f>
        <v>#REF!</v>
      </c>
      <c r="I51" t="e">
        <f>AND(#REF!,"AAAAAE+vugg=")</f>
        <v>#REF!</v>
      </c>
      <c r="J51" t="e">
        <f>AND(#REF!,"AAAAAE+vugk=")</f>
        <v>#REF!</v>
      </c>
      <c r="K51" t="e">
        <f>AND(#REF!,"AAAAAE+vugo=")</f>
        <v>#REF!</v>
      </c>
      <c r="L51" t="e">
        <f>AND(#REF!,"AAAAAE+vugs=")</f>
        <v>#REF!</v>
      </c>
      <c r="M51" t="e">
        <f>AND(#REF!,"AAAAAE+vugw=")</f>
        <v>#REF!</v>
      </c>
      <c r="N51" t="e">
        <f>AND(#REF!,"AAAAAE+vug0=")</f>
        <v>#REF!</v>
      </c>
      <c r="O51" t="e">
        <f>IF(#REF!,"AAAAAE+vug4=",0)</f>
        <v>#REF!</v>
      </c>
      <c r="P51" t="e">
        <f>AND(#REF!,"AAAAAE+vug8=")</f>
        <v>#REF!</v>
      </c>
      <c r="Q51" t="e">
        <f>AND(#REF!,"AAAAAE+vuhA=")</f>
        <v>#REF!</v>
      </c>
      <c r="R51" t="e">
        <f>AND(#REF!,"AAAAAE+vuhE=")</f>
        <v>#REF!</v>
      </c>
      <c r="S51" t="e">
        <f>AND(#REF!,"AAAAAE+vuhI=")</f>
        <v>#REF!</v>
      </c>
      <c r="T51" t="e">
        <f>AND(#REF!,"AAAAAE+vuhM=")</f>
        <v>#REF!</v>
      </c>
      <c r="U51" t="e">
        <f>AND(#REF!,"AAAAAE+vuhQ=")</f>
        <v>#REF!</v>
      </c>
      <c r="V51" t="e">
        <f>IF(#REF!,"AAAAAE+vuhU=",0)</f>
        <v>#REF!</v>
      </c>
      <c r="W51" t="e">
        <f>AND(#REF!,"AAAAAE+vuhY=")</f>
        <v>#REF!</v>
      </c>
      <c r="X51" t="e">
        <f>AND(#REF!,"AAAAAE+vuhc=")</f>
        <v>#REF!</v>
      </c>
      <c r="Y51" t="e">
        <f>AND(#REF!,"AAAAAE+vuhg=")</f>
        <v>#REF!</v>
      </c>
      <c r="Z51" t="e">
        <f>AND(#REF!,"AAAAAE+vuhk=")</f>
        <v>#REF!</v>
      </c>
      <c r="AA51" t="e">
        <f>AND(#REF!,"AAAAAE+vuho=")</f>
        <v>#REF!</v>
      </c>
      <c r="AB51" t="e">
        <f>AND(#REF!,"AAAAAE+vuhs=")</f>
        <v>#REF!</v>
      </c>
      <c r="AC51" t="e">
        <f>IF(#REF!,"AAAAAE+vuhw=",0)</f>
        <v>#REF!</v>
      </c>
      <c r="AD51" t="e">
        <f>AND(#REF!,"AAAAAE+vuh0=")</f>
        <v>#REF!</v>
      </c>
      <c r="AE51" t="e">
        <f>AND(#REF!,"AAAAAE+vuh4=")</f>
        <v>#REF!</v>
      </c>
      <c r="AF51" t="e">
        <f>AND(#REF!,"AAAAAE+vuh8=")</f>
        <v>#REF!</v>
      </c>
      <c r="AG51" t="e">
        <f>AND(#REF!,"AAAAAE+vuiA=")</f>
        <v>#REF!</v>
      </c>
      <c r="AH51" t="e">
        <f>AND(#REF!,"AAAAAE+vuiE=")</f>
        <v>#REF!</v>
      </c>
      <c r="AI51" t="e">
        <f>AND(#REF!,"AAAAAE+vuiI=")</f>
        <v>#REF!</v>
      </c>
      <c r="AJ51" t="e">
        <f>IF(#REF!,"AAAAAE+vuiM=",0)</f>
        <v>#REF!</v>
      </c>
      <c r="AK51" t="e">
        <f>AND(#REF!,"AAAAAE+vuiQ=")</f>
        <v>#REF!</v>
      </c>
      <c r="AL51" t="e">
        <f>AND(#REF!,"AAAAAE+vuiU=")</f>
        <v>#REF!</v>
      </c>
      <c r="AM51" t="e">
        <f>AND(#REF!,"AAAAAE+vuiY=")</f>
        <v>#REF!</v>
      </c>
      <c r="AN51" t="e">
        <f>AND(#REF!,"AAAAAE+vuic=")</f>
        <v>#REF!</v>
      </c>
      <c r="AO51" t="e">
        <f>AND(#REF!,"AAAAAE+vuig=")</f>
        <v>#REF!</v>
      </c>
      <c r="AP51" t="e">
        <f>AND(#REF!,"AAAAAE+vuik=")</f>
        <v>#REF!</v>
      </c>
      <c r="AQ51" t="e">
        <f>IF(#REF!,"AAAAAE+vuio=",0)</f>
        <v>#REF!</v>
      </c>
      <c r="AR51" t="e">
        <f>AND(#REF!,"AAAAAE+vuis=")</f>
        <v>#REF!</v>
      </c>
      <c r="AS51" t="e">
        <f>AND(#REF!,"AAAAAE+vuiw=")</f>
        <v>#REF!</v>
      </c>
      <c r="AT51" t="e">
        <f>AND(#REF!,"AAAAAE+vui0=")</f>
        <v>#REF!</v>
      </c>
      <c r="AU51" t="e">
        <f>AND(#REF!,"AAAAAE+vui4=")</f>
        <v>#REF!</v>
      </c>
      <c r="AV51" t="e">
        <f>AND(#REF!,"AAAAAE+vui8=")</f>
        <v>#REF!</v>
      </c>
      <c r="AW51" t="e">
        <f>AND(#REF!,"AAAAAE+vujA=")</f>
        <v>#REF!</v>
      </c>
      <c r="AX51" t="e">
        <f>IF(#REF!,"AAAAAE+vujE=",0)</f>
        <v>#REF!</v>
      </c>
      <c r="AY51" t="e">
        <f>AND(#REF!,"AAAAAE+vujI=")</f>
        <v>#REF!</v>
      </c>
      <c r="AZ51" t="e">
        <f>AND(#REF!,"AAAAAE+vujM=")</f>
        <v>#REF!</v>
      </c>
      <c r="BA51" t="e">
        <f>AND(#REF!,"AAAAAE+vujQ=")</f>
        <v>#REF!</v>
      </c>
      <c r="BB51" t="e">
        <f>AND(#REF!,"AAAAAE+vujU=")</f>
        <v>#REF!</v>
      </c>
      <c r="BC51" t="e">
        <f>AND(#REF!,"AAAAAE+vujY=")</f>
        <v>#REF!</v>
      </c>
      <c r="BD51" t="e">
        <f>AND(#REF!,"AAAAAE+vujc=")</f>
        <v>#REF!</v>
      </c>
      <c r="BE51" t="e">
        <f>IF(#REF!,"AAAAAE+vujg=",0)</f>
        <v>#REF!</v>
      </c>
      <c r="BF51" t="e">
        <f>AND(#REF!,"AAAAAE+vujk=")</f>
        <v>#REF!</v>
      </c>
      <c r="BG51" t="e">
        <f>AND(#REF!,"AAAAAE+vujo=")</f>
        <v>#REF!</v>
      </c>
      <c r="BH51" t="e">
        <f>AND(#REF!,"AAAAAE+vujs=")</f>
        <v>#REF!</v>
      </c>
      <c r="BI51" t="e">
        <f>AND(#REF!,"AAAAAE+vujw=")</f>
        <v>#REF!</v>
      </c>
      <c r="BJ51" t="e">
        <f>AND(#REF!,"AAAAAE+vuj0=")</f>
        <v>#REF!</v>
      </c>
      <c r="BK51" t="e">
        <f>AND(#REF!,"AAAAAE+vuj4=")</f>
        <v>#REF!</v>
      </c>
      <c r="BL51" t="e">
        <f>IF(#REF!,"AAAAAE+vuj8=",0)</f>
        <v>#REF!</v>
      </c>
      <c r="BM51" t="e">
        <f>AND(#REF!,"AAAAAE+vukA=")</f>
        <v>#REF!</v>
      </c>
      <c r="BN51" t="e">
        <f>AND(#REF!,"AAAAAE+vukE=")</f>
        <v>#REF!</v>
      </c>
      <c r="BO51" t="e">
        <f>AND(#REF!,"AAAAAE+vukI=")</f>
        <v>#REF!</v>
      </c>
      <c r="BP51" t="e">
        <f>AND(#REF!,"AAAAAE+vukM=")</f>
        <v>#REF!</v>
      </c>
      <c r="BQ51" t="e">
        <f>AND(#REF!,"AAAAAE+vukQ=")</f>
        <v>#REF!</v>
      </c>
      <c r="BR51" t="e">
        <f>AND(#REF!,"AAAAAE+vukU=")</f>
        <v>#REF!</v>
      </c>
      <c r="BS51" t="e">
        <f>IF(#REF!,"AAAAAE+vukY=",0)</f>
        <v>#REF!</v>
      </c>
      <c r="BT51" t="e">
        <f>AND(#REF!,"AAAAAE+vukc=")</f>
        <v>#REF!</v>
      </c>
      <c r="BU51" t="e">
        <f>AND(#REF!,"AAAAAE+vukg=")</f>
        <v>#REF!</v>
      </c>
      <c r="BV51" t="e">
        <f>AND(#REF!,"AAAAAE+vukk=")</f>
        <v>#REF!</v>
      </c>
      <c r="BW51" t="e">
        <f>AND(#REF!,"AAAAAE+vuko=")</f>
        <v>#REF!</v>
      </c>
      <c r="BX51" t="e">
        <f>AND(#REF!,"AAAAAE+vuks=")</f>
        <v>#REF!</v>
      </c>
      <c r="BY51" t="e">
        <f>AND(#REF!,"AAAAAE+vukw=")</f>
        <v>#REF!</v>
      </c>
      <c r="BZ51" t="e">
        <f>IF(#REF!,"AAAAAE+vuk0=",0)</f>
        <v>#REF!</v>
      </c>
      <c r="CA51" t="e">
        <f>AND(#REF!,"AAAAAE+vuk4=")</f>
        <v>#REF!</v>
      </c>
      <c r="CB51" t="e">
        <f>AND(#REF!,"AAAAAE+vuk8=")</f>
        <v>#REF!</v>
      </c>
      <c r="CC51" t="e">
        <f>AND(#REF!,"AAAAAE+vulA=")</f>
        <v>#REF!</v>
      </c>
      <c r="CD51" t="e">
        <f>AND(#REF!,"AAAAAE+vulE=")</f>
        <v>#REF!</v>
      </c>
      <c r="CE51" t="e">
        <f>AND(#REF!,"AAAAAE+vulI=")</f>
        <v>#REF!</v>
      </c>
      <c r="CF51" t="e">
        <f>AND(#REF!,"AAAAAE+vulM=")</f>
        <v>#REF!</v>
      </c>
      <c r="CG51" t="e">
        <f>IF(#REF!,"AAAAAE+vulQ=",0)</f>
        <v>#REF!</v>
      </c>
      <c r="CH51" t="e">
        <f>AND(#REF!,"AAAAAE+vulU=")</f>
        <v>#REF!</v>
      </c>
      <c r="CI51" t="e">
        <f>AND(#REF!,"AAAAAE+vulY=")</f>
        <v>#REF!</v>
      </c>
      <c r="CJ51" t="e">
        <f>AND(#REF!,"AAAAAE+vulc=")</f>
        <v>#REF!</v>
      </c>
      <c r="CK51" t="e">
        <f>AND(#REF!,"AAAAAE+vulg=")</f>
        <v>#REF!</v>
      </c>
      <c r="CL51" t="e">
        <f>AND(#REF!,"AAAAAE+vulk=")</f>
        <v>#REF!</v>
      </c>
      <c r="CM51" t="e">
        <f>AND(#REF!,"AAAAAE+vulo=")</f>
        <v>#REF!</v>
      </c>
      <c r="CN51" t="e">
        <f>IF(#REF!,"AAAAAE+vuls=",0)</f>
        <v>#REF!</v>
      </c>
      <c r="CO51" t="e">
        <f>AND(#REF!,"AAAAAE+vulw=")</f>
        <v>#REF!</v>
      </c>
      <c r="CP51" t="e">
        <f>AND(#REF!,"AAAAAE+vul0=")</f>
        <v>#REF!</v>
      </c>
      <c r="CQ51" t="e">
        <f>AND(#REF!,"AAAAAE+vul4=")</f>
        <v>#REF!</v>
      </c>
      <c r="CR51" t="e">
        <f>AND(#REF!,"AAAAAE+vul8=")</f>
        <v>#REF!</v>
      </c>
      <c r="CS51" t="e">
        <f>AND(#REF!,"AAAAAE+vumA=")</f>
        <v>#REF!</v>
      </c>
      <c r="CT51" t="e">
        <f>AND(#REF!,"AAAAAE+vumE=")</f>
        <v>#REF!</v>
      </c>
      <c r="CU51" t="e">
        <f>IF(#REF!,"AAAAAE+vumI=",0)</f>
        <v>#REF!</v>
      </c>
      <c r="CV51" t="e">
        <f>AND(#REF!,"AAAAAE+vumM=")</f>
        <v>#REF!</v>
      </c>
      <c r="CW51" t="e">
        <f>AND(#REF!,"AAAAAE+vumQ=")</f>
        <v>#REF!</v>
      </c>
      <c r="CX51" t="e">
        <f>AND(#REF!,"AAAAAE+vumU=")</f>
        <v>#REF!</v>
      </c>
      <c r="CY51" t="e">
        <f>AND(#REF!,"AAAAAE+vumY=")</f>
        <v>#REF!</v>
      </c>
      <c r="CZ51" t="e">
        <f>AND(#REF!,"AAAAAE+vumc=")</f>
        <v>#REF!</v>
      </c>
      <c r="DA51" t="e">
        <f>AND(#REF!,"AAAAAE+vumg=")</f>
        <v>#REF!</v>
      </c>
      <c r="DB51" t="e">
        <f>IF(#REF!,"AAAAAE+vumk=",0)</f>
        <v>#REF!</v>
      </c>
      <c r="DC51" t="e">
        <f>AND(#REF!,"AAAAAE+vumo=")</f>
        <v>#REF!</v>
      </c>
      <c r="DD51" t="e">
        <f>AND(#REF!,"AAAAAE+vums=")</f>
        <v>#REF!</v>
      </c>
      <c r="DE51" t="e">
        <f>AND(#REF!,"AAAAAE+vumw=")</f>
        <v>#REF!</v>
      </c>
      <c r="DF51" t="e">
        <f>AND(#REF!,"AAAAAE+vum0=")</f>
        <v>#REF!</v>
      </c>
      <c r="DG51" t="e">
        <f>AND(#REF!,"AAAAAE+vum4=")</f>
        <v>#REF!</v>
      </c>
      <c r="DH51" t="e">
        <f>AND(#REF!,"AAAAAE+vum8=")</f>
        <v>#REF!</v>
      </c>
      <c r="DI51" t="e">
        <f>IF(#REF!,"AAAAAE+vunA=",0)</f>
        <v>#REF!</v>
      </c>
      <c r="DJ51" t="e">
        <f>AND(#REF!,"AAAAAE+vunE=")</f>
        <v>#REF!</v>
      </c>
      <c r="DK51" t="e">
        <f>AND(#REF!,"AAAAAE+vunI=")</f>
        <v>#REF!</v>
      </c>
      <c r="DL51" t="e">
        <f>AND(#REF!,"AAAAAE+vunM=")</f>
        <v>#REF!</v>
      </c>
      <c r="DM51" t="e">
        <f>AND(#REF!,"AAAAAE+vunQ=")</f>
        <v>#REF!</v>
      </c>
      <c r="DN51" t="e">
        <f>AND(#REF!,"AAAAAE+vunU=")</f>
        <v>#REF!</v>
      </c>
      <c r="DO51" t="e">
        <f>AND(#REF!,"AAAAAE+vunY=")</f>
        <v>#REF!</v>
      </c>
      <c r="DP51" t="e">
        <f>IF(#REF!,"AAAAAE+vunc=",0)</f>
        <v>#REF!</v>
      </c>
      <c r="DQ51" t="e">
        <f>AND(#REF!,"AAAAAE+vung=")</f>
        <v>#REF!</v>
      </c>
      <c r="DR51" t="e">
        <f>AND(#REF!,"AAAAAE+vunk=")</f>
        <v>#REF!</v>
      </c>
      <c r="DS51" t="e">
        <f>AND(#REF!,"AAAAAE+vuno=")</f>
        <v>#REF!</v>
      </c>
      <c r="DT51" t="e">
        <f>AND(#REF!,"AAAAAE+vuns=")</f>
        <v>#REF!</v>
      </c>
      <c r="DU51" t="e">
        <f>AND(#REF!,"AAAAAE+vunw=")</f>
        <v>#REF!</v>
      </c>
      <c r="DV51" t="e">
        <f>AND(#REF!,"AAAAAE+vun0=")</f>
        <v>#REF!</v>
      </c>
      <c r="DW51" t="e">
        <f>IF(#REF!,"AAAAAE+vun4=",0)</f>
        <v>#REF!</v>
      </c>
      <c r="DX51" t="e">
        <f>AND(#REF!,"AAAAAE+vun8=")</f>
        <v>#REF!</v>
      </c>
      <c r="DY51" t="e">
        <f>AND(#REF!,"AAAAAE+vuoA=")</f>
        <v>#REF!</v>
      </c>
      <c r="DZ51" t="e">
        <f>AND(#REF!,"AAAAAE+vuoE=")</f>
        <v>#REF!</v>
      </c>
      <c r="EA51" t="e">
        <f>AND(#REF!,"AAAAAE+vuoI=")</f>
        <v>#REF!</v>
      </c>
      <c r="EB51" t="e">
        <f>AND(#REF!,"AAAAAE+vuoM=")</f>
        <v>#REF!</v>
      </c>
      <c r="EC51" t="e">
        <f>AND(#REF!,"AAAAAE+vuoQ=")</f>
        <v>#REF!</v>
      </c>
      <c r="ED51" t="e">
        <f>IF(#REF!,"AAAAAE+vuoU=",0)</f>
        <v>#REF!</v>
      </c>
      <c r="EE51" t="e">
        <f>AND(#REF!,"AAAAAE+vuoY=")</f>
        <v>#REF!</v>
      </c>
      <c r="EF51" t="e">
        <f>AND(#REF!,"AAAAAE+vuoc=")</f>
        <v>#REF!</v>
      </c>
      <c r="EG51" t="e">
        <f>AND(#REF!,"AAAAAE+vuog=")</f>
        <v>#REF!</v>
      </c>
      <c r="EH51" t="e">
        <f>AND(#REF!,"AAAAAE+vuok=")</f>
        <v>#REF!</v>
      </c>
      <c r="EI51" t="e">
        <f>AND(#REF!,"AAAAAE+vuoo=")</f>
        <v>#REF!</v>
      </c>
      <c r="EJ51" t="e">
        <f>AND(#REF!,"AAAAAE+vuos=")</f>
        <v>#REF!</v>
      </c>
      <c r="EK51" t="e">
        <f>IF(#REF!,"AAAAAE+vuow=",0)</f>
        <v>#REF!</v>
      </c>
      <c r="EL51" t="e">
        <f>AND(#REF!,"AAAAAE+vuo0=")</f>
        <v>#REF!</v>
      </c>
      <c r="EM51" t="e">
        <f>AND(#REF!,"AAAAAE+vuo4=")</f>
        <v>#REF!</v>
      </c>
      <c r="EN51" t="e">
        <f>AND(#REF!,"AAAAAE+vuo8=")</f>
        <v>#REF!</v>
      </c>
      <c r="EO51" t="e">
        <f>AND(#REF!,"AAAAAE+vupA=")</f>
        <v>#REF!</v>
      </c>
      <c r="EP51" t="e">
        <f>AND(#REF!,"AAAAAE+vupE=")</f>
        <v>#REF!</v>
      </c>
      <c r="EQ51" t="e">
        <f>AND(#REF!,"AAAAAE+vupI=")</f>
        <v>#REF!</v>
      </c>
      <c r="ER51" t="e">
        <f>IF(#REF!,"AAAAAE+vupM=",0)</f>
        <v>#REF!</v>
      </c>
      <c r="ES51" t="e">
        <f>AND(#REF!,"AAAAAE+vupQ=")</f>
        <v>#REF!</v>
      </c>
      <c r="ET51" t="e">
        <f>AND(#REF!,"AAAAAE+vupU=")</f>
        <v>#REF!</v>
      </c>
      <c r="EU51" t="e">
        <f>AND(#REF!,"AAAAAE+vupY=")</f>
        <v>#REF!</v>
      </c>
      <c r="EV51" t="e">
        <f>AND(#REF!,"AAAAAE+vupc=")</f>
        <v>#REF!</v>
      </c>
      <c r="EW51" t="e">
        <f>AND(#REF!,"AAAAAE+vupg=")</f>
        <v>#REF!</v>
      </c>
      <c r="EX51" t="e">
        <f>AND(#REF!,"AAAAAE+vupk=")</f>
        <v>#REF!</v>
      </c>
      <c r="EY51" t="e">
        <f>IF(#REF!,"AAAAAE+vupo=",0)</f>
        <v>#REF!</v>
      </c>
      <c r="EZ51" t="e">
        <f>AND(#REF!,"AAAAAE+vups=")</f>
        <v>#REF!</v>
      </c>
      <c r="FA51" t="e">
        <f>AND(#REF!,"AAAAAE+vupw=")</f>
        <v>#REF!</v>
      </c>
      <c r="FB51" t="e">
        <f>AND(#REF!,"AAAAAE+vup0=")</f>
        <v>#REF!</v>
      </c>
      <c r="FC51" t="e">
        <f>AND(#REF!,"AAAAAE+vup4=")</f>
        <v>#REF!</v>
      </c>
      <c r="FD51" t="e">
        <f>AND(#REF!,"AAAAAE+vup8=")</f>
        <v>#REF!</v>
      </c>
      <c r="FE51" t="e">
        <f>AND(#REF!,"AAAAAE+vuqA=")</f>
        <v>#REF!</v>
      </c>
      <c r="FF51" t="e">
        <f>IF(#REF!,"AAAAAE+vuqE=",0)</f>
        <v>#REF!</v>
      </c>
      <c r="FG51" t="e">
        <f>AND(#REF!,"AAAAAE+vuqI=")</f>
        <v>#REF!</v>
      </c>
      <c r="FH51" t="e">
        <f>AND(#REF!,"AAAAAE+vuqM=")</f>
        <v>#REF!</v>
      </c>
      <c r="FI51" t="e">
        <f>AND(#REF!,"AAAAAE+vuqQ=")</f>
        <v>#REF!</v>
      </c>
      <c r="FJ51" t="e">
        <f>AND(#REF!,"AAAAAE+vuqU=")</f>
        <v>#REF!</v>
      </c>
      <c r="FK51" t="e">
        <f>AND(#REF!,"AAAAAE+vuqY=")</f>
        <v>#REF!</v>
      </c>
      <c r="FL51" t="e">
        <f>AND(#REF!,"AAAAAE+vuqc=")</f>
        <v>#REF!</v>
      </c>
      <c r="FM51" t="e">
        <f>IF(#REF!,"AAAAAE+vuqg=",0)</f>
        <v>#REF!</v>
      </c>
      <c r="FN51" t="e">
        <f>AND(#REF!,"AAAAAE+vuqk=")</f>
        <v>#REF!</v>
      </c>
      <c r="FO51" t="e">
        <f>AND(#REF!,"AAAAAE+vuqo=")</f>
        <v>#REF!</v>
      </c>
      <c r="FP51" t="e">
        <f>AND(#REF!,"AAAAAE+vuqs=")</f>
        <v>#REF!</v>
      </c>
      <c r="FQ51" t="e">
        <f>AND(#REF!,"AAAAAE+vuqw=")</f>
        <v>#REF!</v>
      </c>
      <c r="FR51" t="e">
        <f>AND(#REF!,"AAAAAE+vuq0=")</f>
        <v>#REF!</v>
      </c>
      <c r="FS51" t="e">
        <f>AND(#REF!,"AAAAAE+vuq4=")</f>
        <v>#REF!</v>
      </c>
      <c r="FT51" t="e">
        <f>IF(#REF!,"AAAAAE+vuq8=",0)</f>
        <v>#REF!</v>
      </c>
      <c r="FU51" t="e">
        <f>AND(#REF!,"AAAAAE+vurA=")</f>
        <v>#REF!</v>
      </c>
      <c r="FV51" t="e">
        <f>AND(#REF!,"AAAAAE+vurE=")</f>
        <v>#REF!</v>
      </c>
      <c r="FW51" t="e">
        <f>AND(#REF!,"AAAAAE+vurI=")</f>
        <v>#REF!</v>
      </c>
      <c r="FX51" t="e">
        <f>AND(#REF!,"AAAAAE+vurM=")</f>
        <v>#REF!</v>
      </c>
      <c r="FY51" t="e">
        <f>AND(#REF!,"AAAAAE+vurQ=")</f>
        <v>#REF!</v>
      </c>
      <c r="FZ51" t="e">
        <f>AND(#REF!,"AAAAAE+vurU=")</f>
        <v>#REF!</v>
      </c>
      <c r="GA51" t="e">
        <f>IF(#REF!,"AAAAAE+vurY=",0)</f>
        <v>#REF!</v>
      </c>
      <c r="GB51" t="e">
        <f>AND(#REF!,"AAAAAE+vurc=")</f>
        <v>#REF!</v>
      </c>
      <c r="GC51" t="e">
        <f>AND(#REF!,"AAAAAE+vurg=")</f>
        <v>#REF!</v>
      </c>
      <c r="GD51" t="e">
        <f>AND(#REF!,"AAAAAE+vurk=")</f>
        <v>#REF!</v>
      </c>
      <c r="GE51" t="e">
        <f>AND(#REF!,"AAAAAE+vuro=")</f>
        <v>#REF!</v>
      </c>
      <c r="GF51" t="e">
        <f>AND(#REF!,"AAAAAE+vurs=")</f>
        <v>#REF!</v>
      </c>
      <c r="GG51" t="e">
        <f>AND(#REF!,"AAAAAE+vurw=")</f>
        <v>#REF!</v>
      </c>
      <c r="GH51" t="e">
        <f>IF(#REF!,"AAAAAE+vur0=",0)</f>
        <v>#REF!</v>
      </c>
      <c r="GI51" t="e">
        <f>AND(#REF!,"AAAAAE+vur4=")</f>
        <v>#REF!</v>
      </c>
      <c r="GJ51" t="e">
        <f>AND(#REF!,"AAAAAE+vur8=")</f>
        <v>#REF!</v>
      </c>
      <c r="GK51" t="e">
        <f>AND(#REF!,"AAAAAE+vusA=")</f>
        <v>#REF!</v>
      </c>
      <c r="GL51" t="e">
        <f>AND(#REF!,"AAAAAE+vusE=")</f>
        <v>#REF!</v>
      </c>
      <c r="GM51" t="e">
        <f>AND(#REF!,"AAAAAE+vusI=")</f>
        <v>#REF!</v>
      </c>
      <c r="GN51" t="e">
        <f>AND(#REF!,"AAAAAE+vusM=")</f>
        <v>#REF!</v>
      </c>
      <c r="GO51" t="e">
        <f>IF(#REF!,"AAAAAE+vusQ=",0)</f>
        <v>#REF!</v>
      </c>
      <c r="GP51" t="e">
        <f>AND(#REF!,"AAAAAE+vusU=")</f>
        <v>#REF!</v>
      </c>
      <c r="GQ51" t="e">
        <f>AND(#REF!,"AAAAAE+vusY=")</f>
        <v>#REF!</v>
      </c>
      <c r="GR51" t="e">
        <f>AND(#REF!,"AAAAAE+vusc=")</f>
        <v>#REF!</v>
      </c>
      <c r="GS51" t="e">
        <f>AND(#REF!,"AAAAAE+vusg=")</f>
        <v>#REF!</v>
      </c>
      <c r="GT51" t="e">
        <f>AND(#REF!,"AAAAAE+vusk=")</f>
        <v>#REF!</v>
      </c>
      <c r="GU51" t="e">
        <f>AND(#REF!,"AAAAAE+vuso=")</f>
        <v>#REF!</v>
      </c>
      <c r="GV51" t="e">
        <f>IF(#REF!,"AAAAAE+vuss=",0)</f>
        <v>#REF!</v>
      </c>
      <c r="GW51" t="e">
        <f>AND(#REF!,"AAAAAE+vusw=")</f>
        <v>#REF!</v>
      </c>
      <c r="GX51" t="e">
        <f>AND(#REF!,"AAAAAE+vus0=")</f>
        <v>#REF!</v>
      </c>
      <c r="GY51" t="e">
        <f>AND(#REF!,"AAAAAE+vus4=")</f>
        <v>#REF!</v>
      </c>
      <c r="GZ51" t="e">
        <f>AND(#REF!,"AAAAAE+vus8=")</f>
        <v>#REF!</v>
      </c>
      <c r="HA51" t="e">
        <f>AND(#REF!,"AAAAAE+vutA=")</f>
        <v>#REF!</v>
      </c>
      <c r="HB51" t="e">
        <f>AND(#REF!,"AAAAAE+vutE=")</f>
        <v>#REF!</v>
      </c>
      <c r="HC51" t="e">
        <f>IF(#REF!,"AAAAAE+vutI=",0)</f>
        <v>#REF!</v>
      </c>
      <c r="HD51" t="e">
        <f>AND(#REF!,"AAAAAE+vutM=")</f>
        <v>#REF!</v>
      </c>
      <c r="HE51" t="e">
        <f>AND(#REF!,"AAAAAE+vutQ=")</f>
        <v>#REF!</v>
      </c>
      <c r="HF51" t="e">
        <f>AND(#REF!,"AAAAAE+vutU=")</f>
        <v>#REF!</v>
      </c>
      <c r="HG51" t="e">
        <f>AND(#REF!,"AAAAAE+vutY=")</f>
        <v>#REF!</v>
      </c>
      <c r="HH51" t="e">
        <f>AND(#REF!,"AAAAAE+vutc=")</f>
        <v>#REF!</v>
      </c>
      <c r="HI51" t="e">
        <f>AND(#REF!,"AAAAAE+vutg=")</f>
        <v>#REF!</v>
      </c>
      <c r="HJ51" t="e">
        <f>IF(#REF!,"AAAAAE+vutk=",0)</f>
        <v>#REF!</v>
      </c>
      <c r="HK51" t="e">
        <f>AND(#REF!,"AAAAAE+vuto=")</f>
        <v>#REF!</v>
      </c>
      <c r="HL51" t="e">
        <f>AND(#REF!,"AAAAAE+vuts=")</f>
        <v>#REF!</v>
      </c>
      <c r="HM51" t="e">
        <f>AND(#REF!,"AAAAAE+vutw=")</f>
        <v>#REF!</v>
      </c>
      <c r="HN51" t="e">
        <f>AND(#REF!,"AAAAAE+vut0=")</f>
        <v>#REF!</v>
      </c>
      <c r="HO51" t="e">
        <f>AND(#REF!,"AAAAAE+vut4=")</f>
        <v>#REF!</v>
      </c>
      <c r="HP51" t="e">
        <f>AND(#REF!,"AAAAAE+vut8=")</f>
        <v>#REF!</v>
      </c>
      <c r="HQ51" t="e">
        <f>IF(#REF!,"AAAAAE+vuuA=",0)</f>
        <v>#REF!</v>
      </c>
      <c r="HR51" t="e">
        <f>AND(#REF!,"AAAAAE+vuuE=")</f>
        <v>#REF!</v>
      </c>
      <c r="HS51" t="e">
        <f>AND(#REF!,"AAAAAE+vuuI=")</f>
        <v>#REF!</v>
      </c>
      <c r="HT51" t="e">
        <f>AND(#REF!,"AAAAAE+vuuM=")</f>
        <v>#REF!</v>
      </c>
      <c r="HU51" t="e">
        <f>AND(#REF!,"AAAAAE+vuuQ=")</f>
        <v>#REF!</v>
      </c>
      <c r="HV51" t="e">
        <f>AND(#REF!,"AAAAAE+vuuU=")</f>
        <v>#REF!</v>
      </c>
      <c r="HW51" t="e">
        <f>AND(#REF!,"AAAAAE+vuuY=")</f>
        <v>#REF!</v>
      </c>
      <c r="HX51" t="e">
        <f>IF(#REF!,"AAAAAE+vuuc=",0)</f>
        <v>#REF!</v>
      </c>
      <c r="HY51" t="e">
        <f>AND(#REF!,"AAAAAE+vuug=")</f>
        <v>#REF!</v>
      </c>
      <c r="HZ51" t="e">
        <f>AND(#REF!,"AAAAAE+vuuk=")</f>
        <v>#REF!</v>
      </c>
      <c r="IA51" t="e">
        <f>AND(#REF!,"AAAAAE+vuuo=")</f>
        <v>#REF!</v>
      </c>
      <c r="IB51" t="e">
        <f>AND(#REF!,"AAAAAE+vuus=")</f>
        <v>#REF!</v>
      </c>
      <c r="IC51" t="e">
        <f>AND(#REF!,"AAAAAE+vuuw=")</f>
        <v>#REF!</v>
      </c>
      <c r="ID51" t="e">
        <f>AND(#REF!,"AAAAAE+vuu0=")</f>
        <v>#REF!</v>
      </c>
      <c r="IE51" t="e">
        <f>IF(#REF!,"AAAAAE+vuu4=",0)</f>
        <v>#REF!</v>
      </c>
      <c r="IF51" t="e">
        <f>AND(#REF!,"AAAAAE+vuu8=")</f>
        <v>#REF!</v>
      </c>
      <c r="IG51" t="e">
        <f>AND(#REF!,"AAAAAE+vuvA=")</f>
        <v>#REF!</v>
      </c>
      <c r="IH51" t="e">
        <f>AND(#REF!,"AAAAAE+vuvE=")</f>
        <v>#REF!</v>
      </c>
      <c r="II51" t="e">
        <f>AND(#REF!,"AAAAAE+vuvI=")</f>
        <v>#REF!</v>
      </c>
      <c r="IJ51" t="e">
        <f>AND(#REF!,"AAAAAE+vuvM=")</f>
        <v>#REF!</v>
      </c>
      <c r="IK51" t="e">
        <f>AND(#REF!,"AAAAAE+vuvQ=")</f>
        <v>#REF!</v>
      </c>
      <c r="IL51" t="e">
        <f>IF(#REF!,"AAAAAE+vuvU=",0)</f>
        <v>#REF!</v>
      </c>
      <c r="IM51" t="e">
        <f>AND(#REF!,"AAAAAE+vuvY=")</f>
        <v>#REF!</v>
      </c>
      <c r="IN51" t="e">
        <f>AND(#REF!,"AAAAAE+vuvc=")</f>
        <v>#REF!</v>
      </c>
      <c r="IO51" t="e">
        <f>AND(#REF!,"AAAAAE+vuvg=")</f>
        <v>#REF!</v>
      </c>
      <c r="IP51" t="e">
        <f>AND(#REF!,"AAAAAE+vuvk=")</f>
        <v>#REF!</v>
      </c>
      <c r="IQ51" t="e">
        <f>AND(#REF!,"AAAAAE+vuvo=")</f>
        <v>#REF!</v>
      </c>
      <c r="IR51" t="e">
        <f>AND(#REF!,"AAAAAE+vuvs=")</f>
        <v>#REF!</v>
      </c>
      <c r="IS51" t="e">
        <f>IF(#REF!,"AAAAAE+vuvw=",0)</f>
        <v>#REF!</v>
      </c>
      <c r="IT51" t="e">
        <f>AND(#REF!,"AAAAAE+vuv0=")</f>
        <v>#REF!</v>
      </c>
      <c r="IU51" t="e">
        <f>AND(#REF!,"AAAAAE+vuv4=")</f>
        <v>#REF!</v>
      </c>
      <c r="IV51" t="e">
        <f>AND(#REF!,"AAAAAE+vuv8=")</f>
        <v>#REF!</v>
      </c>
    </row>
    <row r="52" spans="1:256" x14ac:dyDescent="0.25">
      <c r="A52" t="e">
        <f>AND(#REF!,"AAAAAH/7vgA=")</f>
        <v>#REF!</v>
      </c>
      <c r="B52" t="e">
        <f>AND(#REF!,"AAAAAH/7vgE=")</f>
        <v>#REF!</v>
      </c>
      <c r="C52" t="e">
        <f>AND(#REF!,"AAAAAH/7vgI=")</f>
        <v>#REF!</v>
      </c>
      <c r="D52" t="e">
        <f>IF(#REF!,"AAAAAH/7vgM=",0)</f>
        <v>#REF!</v>
      </c>
      <c r="E52" t="e">
        <f>AND(#REF!,"AAAAAH/7vgQ=")</f>
        <v>#REF!</v>
      </c>
      <c r="F52" t="e">
        <f>AND(#REF!,"AAAAAH/7vgU=")</f>
        <v>#REF!</v>
      </c>
      <c r="G52" t="e">
        <f>AND(#REF!,"AAAAAH/7vgY=")</f>
        <v>#REF!</v>
      </c>
      <c r="H52" t="e">
        <f>AND(#REF!,"AAAAAH/7vgc=")</f>
        <v>#REF!</v>
      </c>
      <c r="I52" t="e">
        <f>AND(#REF!,"AAAAAH/7vgg=")</f>
        <v>#REF!</v>
      </c>
      <c r="J52" t="e">
        <f>AND(#REF!,"AAAAAH/7vgk=")</f>
        <v>#REF!</v>
      </c>
      <c r="K52" t="e">
        <f>IF(#REF!,"AAAAAH/7vgo=",0)</f>
        <v>#REF!</v>
      </c>
      <c r="L52" t="e">
        <f>AND(#REF!,"AAAAAH/7vgs=")</f>
        <v>#REF!</v>
      </c>
      <c r="M52" t="e">
        <f>AND(#REF!,"AAAAAH/7vgw=")</f>
        <v>#REF!</v>
      </c>
      <c r="N52" t="e">
        <f>AND(#REF!,"AAAAAH/7vg0=")</f>
        <v>#REF!</v>
      </c>
      <c r="O52" t="e">
        <f>AND(#REF!,"AAAAAH/7vg4=")</f>
        <v>#REF!</v>
      </c>
      <c r="P52" t="e">
        <f>AND(#REF!,"AAAAAH/7vg8=")</f>
        <v>#REF!</v>
      </c>
      <c r="Q52" t="e">
        <f>AND(#REF!,"AAAAAH/7vhA=")</f>
        <v>#REF!</v>
      </c>
      <c r="R52" t="e">
        <f>IF(#REF!,"AAAAAH/7vhE=",0)</f>
        <v>#REF!</v>
      </c>
      <c r="S52" t="e">
        <f>AND(#REF!,"AAAAAH/7vhI=")</f>
        <v>#REF!</v>
      </c>
      <c r="T52" t="e">
        <f>AND(#REF!,"AAAAAH/7vhM=")</f>
        <v>#REF!</v>
      </c>
      <c r="U52" t="e">
        <f>AND(#REF!,"AAAAAH/7vhQ=")</f>
        <v>#REF!</v>
      </c>
      <c r="V52" t="e">
        <f>AND(#REF!,"AAAAAH/7vhU=")</f>
        <v>#REF!</v>
      </c>
      <c r="W52" t="e">
        <f>AND(#REF!,"AAAAAH/7vhY=")</f>
        <v>#REF!</v>
      </c>
      <c r="X52" t="e">
        <f>AND(#REF!,"AAAAAH/7vhc=")</f>
        <v>#REF!</v>
      </c>
      <c r="Y52" t="e">
        <f>IF(#REF!,"AAAAAH/7vhg=",0)</f>
        <v>#REF!</v>
      </c>
      <c r="Z52" t="e">
        <f>AND(#REF!,"AAAAAH/7vhk=")</f>
        <v>#REF!</v>
      </c>
      <c r="AA52" t="e">
        <f>AND(#REF!,"AAAAAH/7vho=")</f>
        <v>#REF!</v>
      </c>
      <c r="AB52" t="e">
        <f>AND(#REF!,"AAAAAH/7vhs=")</f>
        <v>#REF!</v>
      </c>
      <c r="AC52" t="e">
        <f>AND(#REF!,"AAAAAH/7vhw=")</f>
        <v>#REF!</v>
      </c>
      <c r="AD52" t="e">
        <f>AND(#REF!,"AAAAAH/7vh0=")</f>
        <v>#REF!</v>
      </c>
      <c r="AE52" t="e">
        <f>AND(#REF!,"AAAAAH/7vh4=")</f>
        <v>#REF!</v>
      </c>
      <c r="AF52" t="e">
        <f>IF(#REF!,"AAAAAH/7vh8=",0)</f>
        <v>#REF!</v>
      </c>
      <c r="AG52" t="e">
        <f>AND(#REF!,"AAAAAH/7viA=")</f>
        <v>#REF!</v>
      </c>
      <c r="AH52" t="e">
        <f>AND(#REF!,"AAAAAH/7viE=")</f>
        <v>#REF!</v>
      </c>
      <c r="AI52" t="e">
        <f>AND(#REF!,"AAAAAH/7viI=")</f>
        <v>#REF!</v>
      </c>
      <c r="AJ52" t="e">
        <f>AND(#REF!,"AAAAAH/7viM=")</f>
        <v>#REF!</v>
      </c>
      <c r="AK52" t="e">
        <f>AND(#REF!,"AAAAAH/7viQ=")</f>
        <v>#REF!</v>
      </c>
      <c r="AL52" t="e">
        <f>AND(#REF!,"AAAAAH/7viU=")</f>
        <v>#REF!</v>
      </c>
      <c r="AM52" t="e">
        <f>IF(#REF!,"AAAAAH/7viY=",0)</f>
        <v>#REF!</v>
      </c>
      <c r="AN52" t="e">
        <f>AND(#REF!,"AAAAAH/7vic=")</f>
        <v>#REF!</v>
      </c>
      <c r="AO52" t="e">
        <f>AND(#REF!,"AAAAAH/7vig=")</f>
        <v>#REF!</v>
      </c>
      <c r="AP52" t="e">
        <f>AND(#REF!,"AAAAAH/7vik=")</f>
        <v>#REF!</v>
      </c>
      <c r="AQ52" t="e">
        <f>AND(#REF!,"AAAAAH/7vio=")</f>
        <v>#REF!</v>
      </c>
      <c r="AR52" t="e">
        <f>AND(#REF!,"AAAAAH/7vis=")</f>
        <v>#REF!</v>
      </c>
      <c r="AS52" t="e">
        <f>AND(#REF!,"AAAAAH/7viw=")</f>
        <v>#REF!</v>
      </c>
      <c r="AT52" t="e">
        <f>IF(#REF!,"AAAAAH/7vi0=",0)</f>
        <v>#REF!</v>
      </c>
      <c r="AU52" t="e">
        <f>AND(#REF!,"AAAAAH/7vi4=")</f>
        <v>#REF!</v>
      </c>
      <c r="AV52" t="e">
        <f>AND(#REF!,"AAAAAH/7vi8=")</f>
        <v>#REF!</v>
      </c>
      <c r="AW52" t="e">
        <f>AND(#REF!,"AAAAAH/7vjA=")</f>
        <v>#REF!</v>
      </c>
      <c r="AX52" t="e">
        <f>AND(#REF!,"AAAAAH/7vjE=")</f>
        <v>#REF!</v>
      </c>
      <c r="AY52" t="e">
        <f>AND(#REF!,"AAAAAH/7vjI=")</f>
        <v>#REF!</v>
      </c>
      <c r="AZ52" t="e">
        <f>AND(#REF!,"AAAAAH/7vjM=")</f>
        <v>#REF!</v>
      </c>
      <c r="BA52" t="e">
        <f>IF(#REF!,"AAAAAH/7vjQ=",0)</f>
        <v>#REF!</v>
      </c>
      <c r="BB52" t="e">
        <f>AND(#REF!,"AAAAAH/7vjU=")</f>
        <v>#REF!</v>
      </c>
      <c r="BC52" t="e">
        <f>AND(#REF!,"AAAAAH/7vjY=")</f>
        <v>#REF!</v>
      </c>
      <c r="BD52" t="e">
        <f>AND(#REF!,"AAAAAH/7vjc=")</f>
        <v>#REF!</v>
      </c>
      <c r="BE52" t="e">
        <f>AND(#REF!,"AAAAAH/7vjg=")</f>
        <v>#REF!</v>
      </c>
      <c r="BF52" t="e">
        <f>AND(#REF!,"AAAAAH/7vjk=")</f>
        <v>#REF!</v>
      </c>
      <c r="BG52" t="e">
        <f>AND(#REF!,"AAAAAH/7vjo=")</f>
        <v>#REF!</v>
      </c>
      <c r="BH52" t="e">
        <f>IF(#REF!,"AAAAAH/7vjs=",0)</f>
        <v>#REF!</v>
      </c>
      <c r="BI52" t="e">
        <f>AND(#REF!,"AAAAAH/7vjw=")</f>
        <v>#REF!</v>
      </c>
      <c r="BJ52" t="e">
        <f>AND(#REF!,"AAAAAH/7vj0=")</f>
        <v>#REF!</v>
      </c>
      <c r="BK52" t="e">
        <f>AND(#REF!,"AAAAAH/7vj4=")</f>
        <v>#REF!</v>
      </c>
      <c r="BL52" t="e">
        <f>AND(#REF!,"AAAAAH/7vj8=")</f>
        <v>#REF!</v>
      </c>
      <c r="BM52" t="e">
        <f>AND(#REF!,"AAAAAH/7vkA=")</f>
        <v>#REF!</v>
      </c>
      <c r="BN52" t="e">
        <f>AND(#REF!,"AAAAAH/7vkE=")</f>
        <v>#REF!</v>
      </c>
      <c r="BO52" t="e">
        <f>IF(#REF!,"AAAAAH/7vkI=",0)</f>
        <v>#REF!</v>
      </c>
      <c r="BP52" t="e">
        <f>AND(#REF!,"AAAAAH/7vkM=")</f>
        <v>#REF!</v>
      </c>
      <c r="BQ52" t="e">
        <f>AND(#REF!,"AAAAAH/7vkQ=")</f>
        <v>#REF!</v>
      </c>
      <c r="BR52" t="e">
        <f>AND(#REF!,"AAAAAH/7vkU=")</f>
        <v>#REF!</v>
      </c>
      <c r="BS52" t="e">
        <f>AND(#REF!,"AAAAAH/7vkY=")</f>
        <v>#REF!</v>
      </c>
      <c r="BT52" t="e">
        <f>AND(#REF!,"AAAAAH/7vkc=")</f>
        <v>#REF!</v>
      </c>
      <c r="BU52" t="e">
        <f>AND(#REF!,"AAAAAH/7vkg=")</f>
        <v>#REF!</v>
      </c>
      <c r="BV52" t="e">
        <f>IF(#REF!,"AAAAAH/7vkk=",0)</f>
        <v>#REF!</v>
      </c>
      <c r="BW52" t="e">
        <f>AND(#REF!,"AAAAAH/7vko=")</f>
        <v>#REF!</v>
      </c>
      <c r="BX52" t="e">
        <f>AND(#REF!,"AAAAAH/7vks=")</f>
        <v>#REF!</v>
      </c>
      <c r="BY52" t="e">
        <f>AND(#REF!,"AAAAAH/7vkw=")</f>
        <v>#REF!</v>
      </c>
      <c r="BZ52" t="e">
        <f>AND(#REF!,"AAAAAH/7vk0=")</f>
        <v>#REF!</v>
      </c>
      <c r="CA52" t="e">
        <f>AND(#REF!,"AAAAAH/7vk4=")</f>
        <v>#REF!</v>
      </c>
      <c r="CB52" t="e">
        <f>AND(#REF!,"AAAAAH/7vk8=")</f>
        <v>#REF!</v>
      </c>
      <c r="CC52" t="e">
        <f>IF(#REF!,"AAAAAH/7vlA=",0)</f>
        <v>#REF!</v>
      </c>
      <c r="CD52" t="e">
        <f>AND(#REF!,"AAAAAH/7vlE=")</f>
        <v>#REF!</v>
      </c>
      <c r="CE52" t="e">
        <f>AND(#REF!,"AAAAAH/7vlI=")</f>
        <v>#REF!</v>
      </c>
      <c r="CF52" t="e">
        <f>AND(#REF!,"AAAAAH/7vlM=")</f>
        <v>#REF!</v>
      </c>
      <c r="CG52" t="e">
        <f>AND(#REF!,"AAAAAH/7vlQ=")</f>
        <v>#REF!</v>
      </c>
      <c r="CH52" t="e">
        <f>AND(#REF!,"AAAAAH/7vlU=")</f>
        <v>#REF!</v>
      </c>
      <c r="CI52" t="e">
        <f>AND(#REF!,"AAAAAH/7vlY=")</f>
        <v>#REF!</v>
      </c>
      <c r="CJ52" t="e">
        <f>IF(#REF!,"AAAAAH/7vlc=",0)</f>
        <v>#REF!</v>
      </c>
      <c r="CK52" t="e">
        <f>AND(#REF!,"AAAAAH/7vlg=")</f>
        <v>#REF!</v>
      </c>
      <c r="CL52" t="e">
        <f>AND(#REF!,"AAAAAH/7vlk=")</f>
        <v>#REF!</v>
      </c>
      <c r="CM52" t="e">
        <f>AND(#REF!,"AAAAAH/7vlo=")</f>
        <v>#REF!</v>
      </c>
      <c r="CN52" t="e">
        <f>AND(#REF!,"AAAAAH/7vls=")</f>
        <v>#REF!</v>
      </c>
      <c r="CO52" t="e">
        <f>AND(#REF!,"AAAAAH/7vlw=")</f>
        <v>#REF!</v>
      </c>
      <c r="CP52" t="e">
        <f>AND(#REF!,"AAAAAH/7vl0=")</f>
        <v>#REF!</v>
      </c>
      <c r="CQ52" t="e">
        <f>IF(#REF!,"AAAAAH/7vl4=",0)</f>
        <v>#REF!</v>
      </c>
      <c r="CR52" t="e">
        <f>AND(#REF!,"AAAAAH/7vl8=")</f>
        <v>#REF!</v>
      </c>
      <c r="CS52" t="e">
        <f>AND(#REF!,"AAAAAH/7vmA=")</f>
        <v>#REF!</v>
      </c>
      <c r="CT52" t="e">
        <f>AND(#REF!,"AAAAAH/7vmE=")</f>
        <v>#REF!</v>
      </c>
      <c r="CU52" t="e">
        <f>AND(#REF!,"AAAAAH/7vmI=")</f>
        <v>#REF!</v>
      </c>
      <c r="CV52" t="e">
        <f>AND(#REF!,"AAAAAH/7vmM=")</f>
        <v>#REF!</v>
      </c>
      <c r="CW52" t="e">
        <f>AND(#REF!,"AAAAAH/7vmQ=")</f>
        <v>#REF!</v>
      </c>
      <c r="CX52" t="e">
        <f>IF(#REF!,"AAAAAH/7vmU=",0)</f>
        <v>#REF!</v>
      </c>
      <c r="CY52" t="e">
        <f>AND(#REF!,"AAAAAH/7vmY=")</f>
        <v>#REF!</v>
      </c>
      <c r="CZ52" t="e">
        <f>AND(#REF!,"AAAAAH/7vmc=")</f>
        <v>#REF!</v>
      </c>
      <c r="DA52" t="e">
        <f>AND(#REF!,"AAAAAH/7vmg=")</f>
        <v>#REF!</v>
      </c>
      <c r="DB52" t="e">
        <f>AND(#REF!,"AAAAAH/7vmk=")</f>
        <v>#REF!</v>
      </c>
      <c r="DC52" t="e">
        <f>AND(#REF!,"AAAAAH/7vmo=")</f>
        <v>#REF!</v>
      </c>
      <c r="DD52" t="e">
        <f>AND(#REF!,"AAAAAH/7vms=")</f>
        <v>#REF!</v>
      </c>
      <c r="DE52" t="e">
        <f>IF(#REF!,"AAAAAH/7vmw=",0)</f>
        <v>#REF!</v>
      </c>
      <c r="DF52" t="e">
        <f>AND(#REF!,"AAAAAH/7vm0=")</f>
        <v>#REF!</v>
      </c>
      <c r="DG52" t="e">
        <f>AND(#REF!,"AAAAAH/7vm4=")</f>
        <v>#REF!</v>
      </c>
      <c r="DH52" t="e">
        <f>AND(#REF!,"AAAAAH/7vm8=")</f>
        <v>#REF!</v>
      </c>
      <c r="DI52" t="e">
        <f>AND(#REF!,"AAAAAH/7vnA=")</f>
        <v>#REF!</v>
      </c>
      <c r="DJ52" t="e">
        <f>AND(#REF!,"AAAAAH/7vnE=")</f>
        <v>#REF!</v>
      </c>
      <c r="DK52" t="e">
        <f>AND(#REF!,"AAAAAH/7vnI=")</f>
        <v>#REF!</v>
      </c>
      <c r="DL52" t="e">
        <f>IF(#REF!,"AAAAAH/7vnM=",0)</f>
        <v>#REF!</v>
      </c>
      <c r="DM52" t="e">
        <f>AND(#REF!,"AAAAAH/7vnQ=")</f>
        <v>#REF!</v>
      </c>
      <c r="DN52" t="e">
        <f>AND(#REF!,"AAAAAH/7vnU=")</f>
        <v>#REF!</v>
      </c>
      <c r="DO52" t="e">
        <f>AND(#REF!,"AAAAAH/7vnY=")</f>
        <v>#REF!</v>
      </c>
      <c r="DP52" t="e">
        <f>AND(#REF!,"AAAAAH/7vnc=")</f>
        <v>#REF!</v>
      </c>
      <c r="DQ52" t="e">
        <f>AND(#REF!,"AAAAAH/7vng=")</f>
        <v>#REF!</v>
      </c>
      <c r="DR52" t="e">
        <f>AND(#REF!,"AAAAAH/7vnk=")</f>
        <v>#REF!</v>
      </c>
      <c r="DS52" t="e">
        <f>IF(#REF!,"AAAAAH/7vno=",0)</f>
        <v>#REF!</v>
      </c>
      <c r="DT52" t="e">
        <f>AND(#REF!,"AAAAAH/7vns=")</f>
        <v>#REF!</v>
      </c>
      <c r="DU52" t="e">
        <f>AND(#REF!,"AAAAAH/7vnw=")</f>
        <v>#REF!</v>
      </c>
      <c r="DV52" t="e">
        <f>AND(#REF!,"AAAAAH/7vn0=")</f>
        <v>#REF!</v>
      </c>
      <c r="DW52" t="e">
        <f>AND(#REF!,"AAAAAH/7vn4=")</f>
        <v>#REF!</v>
      </c>
      <c r="DX52" t="e">
        <f>AND(#REF!,"AAAAAH/7vn8=")</f>
        <v>#REF!</v>
      </c>
      <c r="DY52" t="e">
        <f>AND(#REF!,"AAAAAH/7voA=")</f>
        <v>#REF!</v>
      </c>
      <c r="DZ52" t="e">
        <f>IF(#REF!,"AAAAAH/7voE=",0)</f>
        <v>#REF!</v>
      </c>
      <c r="EA52" t="e">
        <f>AND(#REF!,"AAAAAH/7voI=")</f>
        <v>#REF!</v>
      </c>
      <c r="EB52" t="e">
        <f>AND(#REF!,"AAAAAH/7voM=")</f>
        <v>#REF!</v>
      </c>
      <c r="EC52" t="e">
        <f>AND(#REF!,"AAAAAH/7voQ=")</f>
        <v>#REF!</v>
      </c>
      <c r="ED52" t="e">
        <f>AND(#REF!,"AAAAAH/7voU=")</f>
        <v>#REF!</v>
      </c>
      <c r="EE52" t="e">
        <f>AND(#REF!,"AAAAAH/7voY=")</f>
        <v>#REF!</v>
      </c>
      <c r="EF52" t="e">
        <f>AND(#REF!,"AAAAAH/7voc=")</f>
        <v>#REF!</v>
      </c>
      <c r="EG52" t="e">
        <f>IF(#REF!,"AAAAAH/7vog=",0)</f>
        <v>#REF!</v>
      </c>
      <c r="EH52" t="e">
        <f>AND(#REF!,"AAAAAH/7vok=")</f>
        <v>#REF!</v>
      </c>
      <c r="EI52" t="e">
        <f>AND(#REF!,"AAAAAH/7voo=")</f>
        <v>#REF!</v>
      </c>
      <c r="EJ52" t="e">
        <f>AND(#REF!,"AAAAAH/7vos=")</f>
        <v>#REF!</v>
      </c>
      <c r="EK52" t="e">
        <f>AND(#REF!,"AAAAAH/7vow=")</f>
        <v>#REF!</v>
      </c>
      <c r="EL52" t="e">
        <f>AND(#REF!,"AAAAAH/7vo0=")</f>
        <v>#REF!</v>
      </c>
      <c r="EM52" t="e">
        <f>AND(#REF!,"AAAAAH/7vo4=")</f>
        <v>#REF!</v>
      </c>
      <c r="EN52" t="e">
        <f>IF(#REF!,"AAAAAH/7vo8=",0)</f>
        <v>#REF!</v>
      </c>
      <c r="EO52" t="e">
        <f>AND(#REF!,"AAAAAH/7vpA=")</f>
        <v>#REF!</v>
      </c>
      <c r="EP52" t="e">
        <f>AND(#REF!,"AAAAAH/7vpE=")</f>
        <v>#REF!</v>
      </c>
      <c r="EQ52" t="e">
        <f>AND(#REF!,"AAAAAH/7vpI=")</f>
        <v>#REF!</v>
      </c>
      <c r="ER52" t="e">
        <f>AND(#REF!,"AAAAAH/7vpM=")</f>
        <v>#REF!</v>
      </c>
      <c r="ES52" t="e">
        <f>AND(#REF!,"AAAAAH/7vpQ=")</f>
        <v>#REF!</v>
      </c>
      <c r="ET52" t="e">
        <f>AND(#REF!,"AAAAAH/7vpU=")</f>
        <v>#REF!</v>
      </c>
      <c r="EU52" t="e">
        <f>IF(#REF!,"AAAAAH/7vpY=",0)</f>
        <v>#REF!</v>
      </c>
      <c r="EV52" t="e">
        <f>AND(#REF!,"AAAAAH/7vpc=")</f>
        <v>#REF!</v>
      </c>
      <c r="EW52" t="e">
        <f>AND(#REF!,"AAAAAH/7vpg=")</f>
        <v>#REF!</v>
      </c>
      <c r="EX52" t="e">
        <f>AND(#REF!,"AAAAAH/7vpk=")</f>
        <v>#REF!</v>
      </c>
      <c r="EY52" t="e">
        <f>AND(#REF!,"AAAAAH/7vpo=")</f>
        <v>#REF!</v>
      </c>
      <c r="EZ52" t="e">
        <f>AND(#REF!,"AAAAAH/7vps=")</f>
        <v>#REF!</v>
      </c>
      <c r="FA52" t="e">
        <f>AND(#REF!,"AAAAAH/7vpw=")</f>
        <v>#REF!</v>
      </c>
      <c r="FB52" t="e">
        <f>IF(#REF!,"AAAAAH/7vp0=",0)</f>
        <v>#REF!</v>
      </c>
      <c r="FC52" t="e">
        <f>AND(#REF!,"AAAAAH/7vp4=")</f>
        <v>#REF!</v>
      </c>
      <c r="FD52" t="e">
        <f>AND(#REF!,"AAAAAH/7vp8=")</f>
        <v>#REF!</v>
      </c>
      <c r="FE52" t="e">
        <f>AND(#REF!,"AAAAAH/7vqA=")</f>
        <v>#REF!</v>
      </c>
      <c r="FF52" t="e">
        <f>AND(#REF!,"AAAAAH/7vqE=")</f>
        <v>#REF!</v>
      </c>
      <c r="FG52" t="e">
        <f>AND(#REF!,"AAAAAH/7vqI=")</f>
        <v>#REF!</v>
      </c>
      <c r="FH52" t="e">
        <f>AND(#REF!,"AAAAAH/7vqM=")</f>
        <v>#REF!</v>
      </c>
      <c r="FI52" t="e">
        <f>IF(#REF!,"AAAAAH/7vqQ=",0)</f>
        <v>#REF!</v>
      </c>
      <c r="FJ52" t="e">
        <f>AND(#REF!,"AAAAAH/7vqU=")</f>
        <v>#REF!</v>
      </c>
      <c r="FK52" t="e">
        <f>AND(#REF!,"AAAAAH/7vqY=")</f>
        <v>#REF!</v>
      </c>
      <c r="FL52" t="e">
        <f>AND(#REF!,"AAAAAH/7vqc=")</f>
        <v>#REF!</v>
      </c>
      <c r="FM52" t="e">
        <f>AND(#REF!,"AAAAAH/7vqg=")</f>
        <v>#REF!</v>
      </c>
      <c r="FN52" t="e">
        <f>AND(#REF!,"AAAAAH/7vqk=")</f>
        <v>#REF!</v>
      </c>
      <c r="FO52" t="e">
        <f>AND(#REF!,"AAAAAH/7vqo=")</f>
        <v>#REF!</v>
      </c>
      <c r="FP52" t="e">
        <f>IF(#REF!,"AAAAAH/7vqs=",0)</f>
        <v>#REF!</v>
      </c>
      <c r="FQ52" t="e">
        <f>AND(#REF!,"AAAAAH/7vqw=")</f>
        <v>#REF!</v>
      </c>
      <c r="FR52" t="e">
        <f>AND(#REF!,"AAAAAH/7vq0=")</f>
        <v>#REF!</v>
      </c>
      <c r="FS52" t="e">
        <f>AND(#REF!,"AAAAAH/7vq4=")</f>
        <v>#REF!</v>
      </c>
      <c r="FT52" t="e">
        <f>AND(#REF!,"AAAAAH/7vq8=")</f>
        <v>#REF!</v>
      </c>
      <c r="FU52" t="e">
        <f>AND(#REF!,"AAAAAH/7vrA=")</f>
        <v>#REF!</v>
      </c>
      <c r="FV52" t="e">
        <f>AND(#REF!,"AAAAAH/7vrE=")</f>
        <v>#REF!</v>
      </c>
      <c r="FW52" t="e">
        <f>IF(#REF!,"AAAAAH/7vrI=",0)</f>
        <v>#REF!</v>
      </c>
      <c r="FX52" t="e">
        <f>AND(#REF!,"AAAAAH/7vrM=")</f>
        <v>#REF!</v>
      </c>
      <c r="FY52" t="e">
        <f>AND(#REF!,"AAAAAH/7vrQ=")</f>
        <v>#REF!</v>
      </c>
      <c r="FZ52" t="e">
        <f>AND(#REF!,"AAAAAH/7vrU=")</f>
        <v>#REF!</v>
      </c>
      <c r="GA52" t="e">
        <f>AND(#REF!,"AAAAAH/7vrY=")</f>
        <v>#REF!</v>
      </c>
      <c r="GB52" t="e">
        <f>AND(#REF!,"AAAAAH/7vrc=")</f>
        <v>#REF!</v>
      </c>
      <c r="GC52" t="e">
        <f>AND(#REF!,"AAAAAH/7vrg=")</f>
        <v>#REF!</v>
      </c>
      <c r="GD52" t="e">
        <f>IF(#REF!,"AAAAAH/7vrk=",0)</f>
        <v>#REF!</v>
      </c>
      <c r="GE52" t="e">
        <f>AND(#REF!,"AAAAAH/7vro=")</f>
        <v>#REF!</v>
      </c>
      <c r="GF52" t="e">
        <f>AND(#REF!,"AAAAAH/7vrs=")</f>
        <v>#REF!</v>
      </c>
      <c r="GG52" t="e">
        <f>AND(#REF!,"AAAAAH/7vrw=")</f>
        <v>#REF!</v>
      </c>
      <c r="GH52" t="e">
        <f>AND(#REF!,"AAAAAH/7vr0=")</f>
        <v>#REF!</v>
      </c>
      <c r="GI52" t="e">
        <f>AND(#REF!,"AAAAAH/7vr4=")</f>
        <v>#REF!</v>
      </c>
      <c r="GJ52" t="e">
        <f>AND(#REF!,"AAAAAH/7vr8=")</f>
        <v>#REF!</v>
      </c>
      <c r="GK52" t="e">
        <f>IF(#REF!,"AAAAAH/7vsA=",0)</f>
        <v>#REF!</v>
      </c>
      <c r="GL52" t="e">
        <f>AND(#REF!,"AAAAAH/7vsE=")</f>
        <v>#REF!</v>
      </c>
      <c r="GM52" t="e">
        <f>AND(#REF!,"AAAAAH/7vsI=")</f>
        <v>#REF!</v>
      </c>
      <c r="GN52" t="e">
        <f>AND(#REF!,"AAAAAH/7vsM=")</f>
        <v>#REF!</v>
      </c>
      <c r="GO52" t="e">
        <f>AND(#REF!,"AAAAAH/7vsQ=")</f>
        <v>#REF!</v>
      </c>
      <c r="GP52" t="e">
        <f>AND(#REF!,"AAAAAH/7vsU=")</f>
        <v>#REF!</v>
      </c>
      <c r="GQ52" t="e">
        <f>AND(#REF!,"AAAAAH/7vsY=")</f>
        <v>#REF!</v>
      </c>
      <c r="GR52" t="e">
        <f>IF(#REF!,"AAAAAH/7vsc=",0)</f>
        <v>#REF!</v>
      </c>
      <c r="GS52" t="e">
        <f>AND(#REF!,"AAAAAH/7vsg=")</f>
        <v>#REF!</v>
      </c>
      <c r="GT52" t="e">
        <f>AND(#REF!,"AAAAAH/7vsk=")</f>
        <v>#REF!</v>
      </c>
      <c r="GU52" t="e">
        <f>AND(#REF!,"AAAAAH/7vso=")</f>
        <v>#REF!</v>
      </c>
      <c r="GV52" t="e">
        <f>AND(#REF!,"AAAAAH/7vss=")</f>
        <v>#REF!</v>
      </c>
      <c r="GW52" t="e">
        <f>AND(#REF!,"AAAAAH/7vsw=")</f>
        <v>#REF!</v>
      </c>
      <c r="GX52" t="e">
        <f>AND(#REF!,"AAAAAH/7vs0=")</f>
        <v>#REF!</v>
      </c>
      <c r="GY52" t="e">
        <f>IF(#REF!,"AAAAAH/7vs4=",0)</f>
        <v>#REF!</v>
      </c>
      <c r="GZ52" t="e">
        <f>AND(#REF!,"AAAAAH/7vs8=")</f>
        <v>#REF!</v>
      </c>
      <c r="HA52" t="e">
        <f>AND(#REF!,"AAAAAH/7vtA=")</f>
        <v>#REF!</v>
      </c>
      <c r="HB52" t="e">
        <f>AND(#REF!,"AAAAAH/7vtE=")</f>
        <v>#REF!</v>
      </c>
      <c r="HC52" t="e">
        <f>AND(#REF!,"AAAAAH/7vtI=")</f>
        <v>#REF!</v>
      </c>
      <c r="HD52" t="e">
        <f>AND(#REF!,"AAAAAH/7vtM=")</f>
        <v>#REF!</v>
      </c>
      <c r="HE52" t="e">
        <f>AND(#REF!,"AAAAAH/7vtQ=")</f>
        <v>#REF!</v>
      </c>
      <c r="HF52" t="e">
        <f>IF(#REF!,"AAAAAH/7vtU=",0)</f>
        <v>#REF!</v>
      </c>
      <c r="HG52" t="e">
        <f>AND(#REF!,"AAAAAH/7vtY=")</f>
        <v>#REF!</v>
      </c>
      <c r="HH52" t="e">
        <f>AND(#REF!,"AAAAAH/7vtc=")</f>
        <v>#REF!</v>
      </c>
      <c r="HI52" t="e">
        <f>AND(#REF!,"AAAAAH/7vtg=")</f>
        <v>#REF!</v>
      </c>
      <c r="HJ52" t="e">
        <f>AND(#REF!,"AAAAAH/7vtk=")</f>
        <v>#REF!</v>
      </c>
      <c r="HK52" t="e">
        <f>AND(#REF!,"AAAAAH/7vto=")</f>
        <v>#REF!</v>
      </c>
      <c r="HL52" t="e">
        <f>AND(#REF!,"AAAAAH/7vts=")</f>
        <v>#REF!</v>
      </c>
      <c r="HM52" t="e">
        <f>IF(#REF!,"AAAAAH/7vtw=",0)</f>
        <v>#REF!</v>
      </c>
      <c r="HN52" t="e">
        <f>AND(#REF!,"AAAAAH/7vt0=")</f>
        <v>#REF!</v>
      </c>
      <c r="HO52" t="e">
        <f>AND(#REF!,"AAAAAH/7vt4=")</f>
        <v>#REF!</v>
      </c>
      <c r="HP52" t="e">
        <f>AND(#REF!,"AAAAAH/7vt8=")</f>
        <v>#REF!</v>
      </c>
      <c r="HQ52" t="e">
        <f>AND(#REF!,"AAAAAH/7vuA=")</f>
        <v>#REF!</v>
      </c>
      <c r="HR52" t="e">
        <f>AND(#REF!,"AAAAAH/7vuE=")</f>
        <v>#REF!</v>
      </c>
      <c r="HS52" t="e">
        <f>AND(#REF!,"AAAAAH/7vuI=")</f>
        <v>#REF!</v>
      </c>
      <c r="HT52" t="e">
        <f>IF(#REF!,"AAAAAH/7vuM=",0)</f>
        <v>#REF!</v>
      </c>
      <c r="HU52" t="e">
        <f>AND(#REF!,"AAAAAH/7vuQ=")</f>
        <v>#REF!</v>
      </c>
      <c r="HV52" t="e">
        <f>AND(#REF!,"AAAAAH/7vuU=")</f>
        <v>#REF!</v>
      </c>
      <c r="HW52" t="e">
        <f>AND(#REF!,"AAAAAH/7vuY=")</f>
        <v>#REF!</v>
      </c>
      <c r="HX52" t="e">
        <f>AND(#REF!,"AAAAAH/7vuc=")</f>
        <v>#REF!</v>
      </c>
      <c r="HY52" t="e">
        <f>AND(#REF!,"AAAAAH/7vug=")</f>
        <v>#REF!</v>
      </c>
      <c r="HZ52" t="e">
        <f>AND(#REF!,"AAAAAH/7vuk=")</f>
        <v>#REF!</v>
      </c>
      <c r="IA52" t="e">
        <f>IF(#REF!,"AAAAAH/7vuo=",0)</f>
        <v>#REF!</v>
      </c>
      <c r="IB52" t="e">
        <f>AND(#REF!,"AAAAAH/7vus=")</f>
        <v>#REF!</v>
      </c>
      <c r="IC52" t="e">
        <f>AND(#REF!,"AAAAAH/7vuw=")</f>
        <v>#REF!</v>
      </c>
      <c r="ID52" t="e">
        <f>AND(#REF!,"AAAAAH/7vu0=")</f>
        <v>#REF!</v>
      </c>
      <c r="IE52" t="e">
        <f>AND(#REF!,"AAAAAH/7vu4=")</f>
        <v>#REF!</v>
      </c>
      <c r="IF52" t="e">
        <f>AND(#REF!,"AAAAAH/7vu8=")</f>
        <v>#REF!</v>
      </c>
      <c r="IG52" t="e">
        <f>AND(#REF!,"AAAAAH/7vvA=")</f>
        <v>#REF!</v>
      </c>
      <c r="IH52" t="e">
        <f>IF(#REF!,"AAAAAH/7vvE=",0)</f>
        <v>#REF!</v>
      </c>
      <c r="II52" t="e">
        <f>AND(#REF!,"AAAAAH/7vvI=")</f>
        <v>#REF!</v>
      </c>
      <c r="IJ52" t="e">
        <f>AND(#REF!,"AAAAAH/7vvM=")</f>
        <v>#REF!</v>
      </c>
      <c r="IK52" t="e">
        <f>AND(#REF!,"AAAAAH/7vvQ=")</f>
        <v>#REF!</v>
      </c>
      <c r="IL52" t="e">
        <f>AND(#REF!,"AAAAAH/7vvU=")</f>
        <v>#REF!</v>
      </c>
      <c r="IM52" t="e">
        <f>AND(#REF!,"AAAAAH/7vvY=")</f>
        <v>#REF!</v>
      </c>
      <c r="IN52" t="e">
        <f>AND(#REF!,"AAAAAH/7vvc=")</f>
        <v>#REF!</v>
      </c>
      <c r="IO52" t="e">
        <f>IF(#REF!,"AAAAAH/7vvg=",0)</f>
        <v>#REF!</v>
      </c>
      <c r="IP52" t="e">
        <f>AND(#REF!,"AAAAAH/7vvk=")</f>
        <v>#REF!</v>
      </c>
      <c r="IQ52" t="e">
        <f>AND(#REF!,"AAAAAH/7vvo=")</f>
        <v>#REF!</v>
      </c>
      <c r="IR52" t="e">
        <f>AND(#REF!,"AAAAAH/7vvs=")</f>
        <v>#REF!</v>
      </c>
      <c r="IS52" t="e">
        <f>AND(#REF!,"AAAAAH/7vvw=")</f>
        <v>#REF!</v>
      </c>
      <c r="IT52" t="e">
        <f>AND(#REF!,"AAAAAH/7vv0=")</f>
        <v>#REF!</v>
      </c>
      <c r="IU52" t="e">
        <f>AND(#REF!,"AAAAAH/7vv4=")</f>
        <v>#REF!</v>
      </c>
      <c r="IV52" t="e">
        <f>IF(#REF!,"AAAAAH/7vv8=",0)</f>
        <v>#REF!</v>
      </c>
    </row>
    <row r="53" spans="1:256" x14ac:dyDescent="0.25">
      <c r="A53" t="e">
        <f>AND(#REF!,"AAAAAHXvPgA=")</f>
        <v>#REF!</v>
      </c>
      <c r="B53" t="e">
        <f>AND(#REF!,"AAAAAHXvPgE=")</f>
        <v>#REF!</v>
      </c>
      <c r="C53" t="e">
        <f>AND(#REF!,"AAAAAHXvPgI=")</f>
        <v>#REF!</v>
      </c>
      <c r="D53" t="e">
        <f>AND(#REF!,"AAAAAHXvPgM=")</f>
        <v>#REF!</v>
      </c>
      <c r="E53" t="e">
        <f>AND(#REF!,"AAAAAHXvPgQ=")</f>
        <v>#REF!</v>
      </c>
      <c r="F53" t="e">
        <f>AND(#REF!,"AAAAAHXvPgU=")</f>
        <v>#REF!</v>
      </c>
      <c r="G53" t="e">
        <f>IF(#REF!,"AAAAAHXvPgY=",0)</f>
        <v>#REF!</v>
      </c>
      <c r="H53" t="e">
        <f>AND(#REF!,"AAAAAHXvPgc=")</f>
        <v>#REF!</v>
      </c>
      <c r="I53" t="e">
        <f>AND(#REF!,"AAAAAHXvPgg=")</f>
        <v>#REF!</v>
      </c>
      <c r="J53" t="e">
        <f>AND(#REF!,"AAAAAHXvPgk=")</f>
        <v>#REF!</v>
      </c>
      <c r="K53" t="e">
        <f>AND(#REF!,"AAAAAHXvPgo=")</f>
        <v>#REF!</v>
      </c>
      <c r="L53" t="e">
        <f>AND(#REF!,"AAAAAHXvPgs=")</f>
        <v>#REF!</v>
      </c>
      <c r="M53" t="e">
        <f>AND(#REF!,"AAAAAHXvPgw=")</f>
        <v>#REF!</v>
      </c>
      <c r="N53" t="e">
        <f>IF(#REF!,"AAAAAHXvPg0=",0)</f>
        <v>#REF!</v>
      </c>
      <c r="O53" t="e">
        <f>AND(#REF!,"AAAAAHXvPg4=")</f>
        <v>#REF!</v>
      </c>
      <c r="P53" t="e">
        <f>AND(#REF!,"AAAAAHXvPg8=")</f>
        <v>#REF!</v>
      </c>
      <c r="Q53" t="e">
        <f>AND(#REF!,"AAAAAHXvPhA=")</f>
        <v>#REF!</v>
      </c>
      <c r="R53" t="e">
        <f>AND(#REF!,"AAAAAHXvPhE=")</f>
        <v>#REF!</v>
      </c>
      <c r="S53" t="e">
        <f>AND(#REF!,"AAAAAHXvPhI=")</f>
        <v>#REF!</v>
      </c>
      <c r="T53" t="e">
        <f>AND(#REF!,"AAAAAHXvPhM=")</f>
        <v>#REF!</v>
      </c>
      <c r="U53" t="e">
        <f>IF(#REF!,"AAAAAHXvPhQ=",0)</f>
        <v>#REF!</v>
      </c>
      <c r="V53" t="e">
        <f>AND(#REF!,"AAAAAHXvPhU=")</f>
        <v>#REF!</v>
      </c>
      <c r="W53" t="e">
        <f>AND(#REF!,"AAAAAHXvPhY=")</f>
        <v>#REF!</v>
      </c>
      <c r="X53" t="e">
        <f>AND(#REF!,"AAAAAHXvPhc=")</f>
        <v>#REF!</v>
      </c>
      <c r="Y53" t="e">
        <f>AND(#REF!,"AAAAAHXvPhg=")</f>
        <v>#REF!</v>
      </c>
      <c r="Z53" t="e">
        <f>AND(#REF!,"AAAAAHXvPhk=")</f>
        <v>#REF!</v>
      </c>
      <c r="AA53" t="e">
        <f>AND(#REF!,"AAAAAHXvPho=")</f>
        <v>#REF!</v>
      </c>
      <c r="AB53" t="e">
        <f>IF(#REF!,"AAAAAHXvPhs=",0)</f>
        <v>#REF!</v>
      </c>
      <c r="AC53" t="e">
        <f>AND(#REF!,"AAAAAHXvPhw=")</f>
        <v>#REF!</v>
      </c>
      <c r="AD53" t="e">
        <f>AND(#REF!,"AAAAAHXvPh0=")</f>
        <v>#REF!</v>
      </c>
      <c r="AE53" t="e">
        <f>AND(#REF!,"AAAAAHXvPh4=")</f>
        <v>#REF!</v>
      </c>
      <c r="AF53" t="e">
        <f>AND(#REF!,"AAAAAHXvPh8=")</f>
        <v>#REF!</v>
      </c>
      <c r="AG53" t="e">
        <f>AND(#REF!,"AAAAAHXvPiA=")</f>
        <v>#REF!</v>
      </c>
      <c r="AH53" t="e">
        <f>AND(#REF!,"AAAAAHXvPiE=")</f>
        <v>#REF!</v>
      </c>
      <c r="AI53" t="e">
        <f>IF(#REF!,"AAAAAHXvPiI=",0)</f>
        <v>#REF!</v>
      </c>
      <c r="AJ53" t="e">
        <f>AND(#REF!,"AAAAAHXvPiM=")</f>
        <v>#REF!</v>
      </c>
      <c r="AK53" t="e">
        <f>AND(#REF!,"AAAAAHXvPiQ=")</f>
        <v>#REF!</v>
      </c>
      <c r="AL53" t="e">
        <f>AND(#REF!,"AAAAAHXvPiU=")</f>
        <v>#REF!</v>
      </c>
      <c r="AM53" t="e">
        <f>AND(#REF!,"AAAAAHXvPiY=")</f>
        <v>#REF!</v>
      </c>
      <c r="AN53" t="e">
        <f>AND(#REF!,"AAAAAHXvPic=")</f>
        <v>#REF!</v>
      </c>
      <c r="AO53" t="e">
        <f>AND(#REF!,"AAAAAHXvPig=")</f>
        <v>#REF!</v>
      </c>
      <c r="AP53" t="e">
        <f>IF(#REF!,"AAAAAHXvPik=",0)</f>
        <v>#REF!</v>
      </c>
      <c r="AQ53" t="e">
        <f>AND(#REF!,"AAAAAHXvPio=")</f>
        <v>#REF!</v>
      </c>
      <c r="AR53" t="e">
        <f>AND(#REF!,"AAAAAHXvPis=")</f>
        <v>#REF!</v>
      </c>
      <c r="AS53" t="e">
        <f>AND(#REF!,"AAAAAHXvPiw=")</f>
        <v>#REF!</v>
      </c>
      <c r="AT53" t="e">
        <f>AND(#REF!,"AAAAAHXvPi0=")</f>
        <v>#REF!</v>
      </c>
      <c r="AU53" t="e">
        <f>AND(#REF!,"AAAAAHXvPi4=")</f>
        <v>#REF!</v>
      </c>
      <c r="AV53" t="e">
        <f>AND(#REF!,"AAAAAHXvPi8=")</f>
        <v>#REF!</v>
      </c>
      <c r="AW53" t="e">
        <f>IF(#REF!,"AAAAAHXvPjA=",0)</f>
        <v>#REF!</v>
      </c>
      <c r="AX53" t="e">
        <f>AND(#REF!,"AAAAAHXvPjE=")</f>
        <v>#REF!</v>
      </c>
      <c r="AY53" t="e">
        <f>AND(#REF!,"AAAAAHXvPjI=")</f>
        <v>#REF!</v>
      </c>
      <c r="AZ53" t="e">
        <f>AND(#REF!,"AAAAAHXvPjM=")</f>
        <v>#REF!</v>
      </c>
      <c r="BA53" t="e">
        <f>AND(#REF!,"AAAAAHXvPjQ=")</f>
        <v>#REF!</v>
      </c>
      <c r="BB53" t="e">
        <f>AND(#REF!,"AAAAAHXvPjU=")</f>
        <v>#REF!</v>
      </c>
      <c r="BC53" t="e">
        <f>AND(#REF!,"AAAAAHXvPjY=")</f>
        <v>#REF!</v>
      </c>
      <c r="BD53" t="e">
        <f>IF(#REF!,"AAAAAHXvPjc=",0)</f>
        <v>#REF!</v>
      </c>
      <c r="BE53" t="e">
        <f>AND(#REF!,"AAAAAHXvPjg=")</f>
        <v>#REF!</v>
      </c>
      <c r="BF53" t="e">
        <f>AND(#REF!,"AAAAAHXvPjk=")</f>
        <v>#REF!</v>
      </c>
      <c r="BG53" t="e">
        <f>AND(#REF!,"AAAAAHXvPjo=")</f>
        <v>#REF!</v>
      </c>
      <c r="BH53" t="e">
        <f>AND(#REF!,"AAAAAHXvPjs=")</f>
        <v>#REF!</v>
      </c>
      <c r="BI53" t="e">
        <f>AND(#REF!,"AAAAAHXvPjw=")</f>
        <v>#REF!</v>
      </c>
      <c r="BJ53" t="e">
        <f>AND(#REF!,"AAAAAHXvPj0=")</f>
        <v>#REF!</v>
      </c>
      <c r="BK53" t="e">
        <f>IF(#REF!,"AAAAAHXvPj4=",0)</f>
        <v>#REF!</v>
      </c>
      <c r="BL53" t="e">
        <f>AND(#REF!,"AAAAAHXvPj8=")</f>
        <v>#REF!</v>
      </c>
      <c r="BM53" t="e">
        <f>AND(#REF!,"AAAAAHXvPkA=")</f>
        <v>#REF!</v>
      </c>
      <c r="BN53" t="e">
        <f>AND(#REF!,"AAAAAHXvPkE=")</f>
        <v>#REF!</v>
      </c>
      <c r="BO53" t="e">
        <f>AND(#REF!,"AAAAAHXvPkI=")</f>
        <v>#REF!</v>
      </c>
      <c r="BP53" t="e">
        <f>AND(#REF!,"AAAAAHXvPkM=")</f>
        <v>#REF!</v>
      </c>
      <c r="BQ53" t="e">
        <f>AND(#REF!,"AAAAAHXvPkQ=")</f>
        <v>#REF!</v>
      </c>
      <c r="BR53" t="e">
        <f>IF(#REF!,"AAAAAHXvPkU=",0)</f>
        <v>#REF!</v>
      </c>
      <c r="BS53" t="e">
        <f>AND(#REF!,"AAAAAHXvPkY=")</f>
        <v>#REF!</v>
      </c>
      <c r="BT53" t="e">
        <f>AND(#REF!,"AAAAAHXvPkc=")</f>
        <v>#REF!</v>
      </c>
      <c r="BU53" t="e">
        <f>AND(#REF!,"AAAAAHXvPkg=")</f>
        <v>#REF!</v>
      </c>
      <c r="BV53" t="e">
        <f>AND(#REF!,"AAAAAHXvPkk=")</f>
        <v>#REF!</v>
      </c>
      <c r="BW53" t="e">
        <f>AND(#REF!,"AAAAAHXvPko=")</f>
        <v>#REF!</v>
      </c>
      <c r="BX53" t="e">
        <f>AND(#REF!,"AAAAAHXvPks=")</f>
        <v>#REF!</v>
      </c>
      <c r="BY53" t="e">
        <f>IF(#REF!,"AAAAAHXvPkw=",0)</f>
        <v>#REF!</v>
      </c>
      <c r="BZ53" t="e">
        <f>AND(#REF!,"AAAAAHXvPk0=")</f>
        <v>#REF!</v>
      </c>
      <c r="CA53" t="e">
        <f>AND(#REF!,"AAAAAHXvPk4=")</f>
        <v>#REF!</v>
      </c>
      <c r="CB53" t="e">
        <f>AND(#REF!,"AAAAAHXvPk8=")</f>
        <v>#REF!</v>
      </c>
      <c r="CC53" t="e">
        <f>AND(#REF!,"AAAAAHXvPlA=")</f>
        <v>#REF!</v>
      </c>
      <c r="CD53" t="e">
        <f>AND(#REF!,"AAAAAHXvPlE=")</f>
        <v>#REF!</v>
      </c>
      <c r="CE53" t="e">
        <f>AND(#REF!,"AAAAAHXvPlI=")</f>
        <v>#REF!</v>
      </c>
      <c r="CF53" t="e">
        <f>IF(#REF!,"AAAAAHXvPlM=",0)</f>
        <v>#REF!</v>
      </c>
      <c r="CG53" t="e">
        <f>AND(#REF!,"AAAAAHXvPlQ=")</f>
        <v>#REF!</v>
      </c>
      <c r="CH53" t="e">
        <f>AND(#REF!,"AAAAAHXvPlU=")</f>
        <v>#REF!</v>
      </c>
      <c r="CI53" t="e">
        <f>AND(#REF!,"AAAAAHXvPlY=")</f>
        <v>#REF!</v>
      </c>
      <c r="CJ53" t="e">
        <f>AND(#REF!,"AAAAAHXvPlc=")</f>
        <v>#REF!</v>
      </c>
      <c r="CK53" t="e">
        <f>AND(#REF!,"AAAAAHXvPlg=")</f>
        <v>#REF!</v>
      </c>
      <c r="CL53" t="e">
        <f>AND(#REF!,"AAAAAHXvPlk=")</f>
        <v>#REF!</v>
      </c>
      <c r="CM53" t="e">
        <f>IF(#REF!,"AAAAAHXvPlo=",0)</f>
        <v>#REF!</v>
      </c>
      <c r="CN53" t="e">
        <f>AND(#REF!,"AAAAAHXvPls=")</f>
        <v>#REF!</v>
      </c>
      <c r="CO53" t="e">
        <f>AND(#REF!,"AAAAAHXvPlw=")</f>
        <v>#REF!</v>
      </c>
      <c r="CP53" t="e">
        <f>AND(#REF!,"AAAAAHXvPl0=")</f>
        <v>#REF!</v>
      </c>
      <c r="CQ53" t="e">
        <f>AND(#REF!,"AAAAAHXvPl4=")</f>
        <v>#REF!</v>
      </c>
      <c r="CR53" t="e">
        <f>AND(#REF!,"AAAAAHXvPl8=")</f>
        <v>#REF!</v>
      </c>
      <c r="CS53" t="e">
        <f>AND(#REF!,"AAAAAHXvPmA=")</f>
        <v>#REF!</v>
      </c>
      <c r="CT53" t="e">
        <f>IF(#REF!,"AAAAAHXvPmE=",0)</f>
        <v>#REF!</v>
      </c>
      <c r="CU53" t="e">
        <f>AND(#REF!,"AAAAAHXvPmI=")</f>
        <v>#REF!</v>
      </c>
      <c r="CV53" t="e">
        <f>AND(#REF!,"AAAAAHXvPmM=")</f>
        <v>#REF!</v>
      </c>
      <c r="CW53" t="e">
        <f>AND(#REF!,"AAAAAHXvPmQ=")</f>
        <v>#REF!</v>
      </c>
      <c r="CX53" t="e">
        <f>AND(#REF!,"AAAAAHXvPmU=")</f>
        <v>#REF!</v>
      </c>
      <c r="CY53" t="e">
        <f>AND(#REF!,"AAAAAHXvPmY=")</f>
        <v>#REF!</v>
      </c>
      <c r="CZ53" t="e">
        <f>AND(#REF!,"AAAAAHXvPmc=")</f>
        <v>#REF!</v>
      </c>
      <c r="DA53" t="e">
        <f>IF(#REF!,"AAAAAHXvPmg=",0)</f>
        <v>#REF!</v>
      </c>
      <c r="DB53" t="e">
        <f>AND(#REF!,"AAAAAHXvPmk=")</f>
        <v>#REF!</v>
      </c>
      <c r="DC53" t="e">
        <f>AND(#REF!,"AAAAAHXvPmo=")</f>
        <v>#REF!</v>
      </c>
      <c r="DD53" t="e">
        <f>AND(#REF!,"AAAAAHXvPms=")</f>
        <v>#REF!</v>
      </c>
      <c r="DE53" t="e">
        <f>AND(#REF!,"AAAAAHXvPmw=")</f>
        <v>#REF!</v>
      </c>
      <c r="DF53" t="e">
        <f>AND(#REF!,"AAAAAHXvPm0=")</f>
        <v>#REF!</v>
      </c>
      <c r="DG53" t="e">
        <f>AND(#REF!,"AAAAAHXvPm4=")</f>
        <v>#REF!</v>
      </c>
      <c r="DH53" t="e">
        <f>IF(#REF!,"AAAAAHXvPm8=",0)</f>
        <v>#REF!</v>
      </c>
      <c r="DI53" t="e">
        <f>AND(#REF!,"AAAAAHXvPnA=")</f>
        <v>#REF!</v>
      </c>
      <c r="DJ53" t="e">
        <f>AND(#REF!,"AAAAAHXvPnE=")</f>
        <v>#REF!</v>
      </c>
      <c r="DK53" t="e">
        <f>AND(#REF!,"AAAAAHXvPnI=")</f>
        <v>#REF!</v>
      </c>
      <c r="DL53" t="e">
        <f>AND(#REF!,"AAAAAHXvPnM=")</f>
        <v>#REF!</v>
      </c>
      <c r="DM53" t="e">
        <f>AND(#REF!,"AAAAAHXvPnQ=")</f>
        <v>#REF!</v>
      </c>
      <c r="DN53" t="e">
        <f>AND(#REF!,"AAAAAHXvPnU=")</f>
        <v>#REF!</v>
      </c>
      <c r="DO53" t="e">
        <f>IF(#REF!,"AAAAAHXvPnY=",0)</f>
        <v>#REF!</v>
      </c>
      <c r="DP53" t="e">
        <f>AND(#REF!,"AAAAAHXvPnc=")</f>
        <v>#REF!</v>
      </c>
      <c r="DQ53" t="e">
        <f>AND(#REF!,"AAAAAHXvPng=")</f>
        <v>#REF!</v>
      </c>
      <c r="DR53" t="e">
        <f>AND(#REF!,"AAAAAHXvPnk=")</f>
        <v>#REF!</v>
      </c>
      <c r="DS53" t="e">
        <f>AND(#REF!,"AAAAAHXvPno=")</f>
        <v>#REF!</v>
      </c>
      <c r="DT53" t="e">
        <f>AND(#REF!,"AAAAAHXvPns=")</f>
        <v>#REF!</v>
      </c>
      <c r="DU53" t="e">
        <f>AND(#REF!,"AAAAAHXvPnw=")</f>
        <v>#REF!</v>
      </c>
      <c r="DV53" t="e">
        <f>IF(#REF!,"AAAAAHXvPn0=",0)</f>
        <v>#REF!</v>
      </c>
      <c r="DW53" t="e">
        <f>AND(#REF!,"AAAAAHXvPn4=")</f>
        <v>#REF!</v>
      </c>
      <c r="DX53" t="e">
        <f>AND(#REF!,"AAAAAHXvPn8=")</f>
        <v>#REF!</v>
      </c>
      <c r="DY53" t="e">
        <f>AND(#REF!,"AAAAAHXvPoA=")</f>
        <v>#REF!</v>
      </c>
      <c r="DZ53" t="e">
        <f>AND(#REF!,"AAAAAHXvPoE=")</f>
        <v>#REF!</v>
      </c>
      <c r="EA53" t="e">
        <f>AND(#REF!,"AAAAAHXvPoI=")</f>
        <v>#REF!</v>
      </c>
      <c r="EB53" t="e">
        <f>AND(#REF!,"AAAAAHXvPoM=")</f>
        <v>#REF!</v>
      </c>
      <c r="EC53" t="e">
        <f>IF(#REF!,"AAAAAHXvPoQ=",0)</f>
        <v>#REF!</v>
      </c>
      <c r="ED53" t="e">
        <f>AND(#REF!,"AAAAAHXvPoU=")</f>
        <v>#REF!</v>
      </c>
      <c r="EE53" t="e">
        <f>AND(#REF!,"AAAAAHXvPoY=")</f>
        <v>#REF!</v>
      </c>
      <c r="EF53" t="e">
        <f>AND(#REF!,"AAAAAHXvPoc=")</f>
        <v>#REF!</v>
      </c>
      <c r="EG53" t="e">
        <f>AND(#REF!,"AAAAAHXvPog=")</f>
        <v>#REF!</v>
      </c>
      <c r="EH53" t="e">
        <f>AND(#REF!,"AAAAAHXvPok=")</f>
        <v>#REF!</v>
      </c>
      <c r="EI53" t="e">
        <f>AND(#REF!,"AAAAAHXvPoo=")</f>
        <v>#REF!</v>
      </c>
      <c r="EJ53" t="e">
        <f>IF(#REF!,"AAAAAHXvPos=",0)</f>
        <v>#REF!</v>
      </c>
      <c r="EK53" t="e">
        <f>AND(#REF!,"AAAAAHXvPow=")</f>
        <v>#REF!</v>
      </c>
      <c r="EL53" t="e">
        <f>AND(#REF!,"AAAAAHXvPo0=")</f>
        <v>#REF!</v>
      </c>
      <c r="EM53" t="e">
        <f>AND(#REF!,"AAAAAHXvPo4=")</f>
        <v>#REF!</v>
      </c>
      <c r="EN53" t="e">
        <f>AND(#REF!,"AAAAAHXvPo8=")</f>
        <v>#REF!</v>
      </c>
      <c r="EO53" t="e">
        <f>AND(#REF!,"AAAAAHXvPpA=")</f>
        <v>#REF!</v>
      </c>
      <c r="EP53" t="e">
        <f>AND(#REF!,"AAAAAHXvPpE=")</f>
        <v>#REF!</v>
      </c>
      <c r="EQ53" t="e">
        <f>IF(#REF!,"AAAAAHXvPpI=",0)</f>
        <v>#REF!</v>
      </c>
      <c r="ER53" t="e">
        <f>AND(#REF!,"AAAAAHXvPpM=")</f>
        <v>#REF!</v>
      </c>
      <c r="ES53" t="e">
        <f>AND(#REF!,"AAAAAHXvPpQ=")</f>
        <v>#REF!</v>
      </c>
      <c r="ET53" t="e">
        <f>AND(#REF!,"AAAAAHXvPpU=")</f>
        <v>#REF!</v>
      </c>
      <c r="EU53" t="e">
        <f>AND(#REF!,"AAAAAHXvPpY=")</f>
        <v>#REF!</v>
      </c>
      <c r="EV53" t="e">
        <f>AND(#REF!,"AAAAAHXvPpc=")</f>
        <v>#REF!</v>
      </c>
      <c r="EW53" t="e">
        <f>AND(#REF!,"AAAAAHXvPpg=")</f>
        <v>#REF!</v>
      </c>
      <c r="EX53" t="e">
        <f>IF(#REF!,"AAAAAHXvPpk=",0)</f>
        <v>#REF!</v>
      </c>
      <c r="EY53" t="e">
        <f>AND(#REF!,"AAAAAHXvPpo=")</f>
        <v>#REF!</v>
      </c>
      <c r="EZ53" t="e">
        <f>AND(#REF!,"AAAAAHXvPps=")</f>
        <v>#REF!</v>
      </c>
      <c r="FA53" t="e">
        <f>AND(#REF!,"AAAAAHXvPpw=")</f>
        <v>#REF!</v>
      </c>
      <c r="FB53" t="e">
        <f>AND(#REF!,"AAAAAHXvPp0=")</f>
        <v>#REF!</v>
      </c>
      <c r="FC53" t="e">
        <f>AND(#REF!,"AAAAAHXvPp4=")</f>
        <v>#REF!</v>
      </c>
      <c r="FD53" t="e">
        <f>AND(#REF!,"AAAAAHXvPp8=")</f>
        <v>#REF!</v>
      </c>
      <c r="FE53" t="e">
        <f>IF(#REF!,"AAAAAHXvPqA=",0)</f>
        <v>#REF!</v>
      </c>
      <c r="FF53" t="e">
        <f>AND(#REF!,"AAAAAHXvPqE=")</f>
        <v>#REF!</v>
      </c>
      <c r="FG53" t="e">
        <f>AND(#REF!,"AAAAAHXvPqI=")</f>
        <v>#REF!</v>
      </c>
      <c r="FH53" t="e">
        <f>AND(#REF!,"AAAAAHXvPqM=")</f>
        <v>#REF!</v>
      </c>
      <c r="FI53" t="e">
        <f>AND(#REF!,"AAAAAHXvPqQ=")</f>
        <v>#REF!</v>
      </c>
      <c r="FJ53" t="e">
        <f>AND(#REF!,"AAAAAHXvPqU=")</f>
        <v>#REF!</v>
      </c>
      <c r="FK53" t="e">
        <f>AND(#REF!,"AAAAAHXvPqY=")</f>
        <v>#REF!</v>
      </c>
      <c r="FL53" t="e">
        <f>IF(#REF!,"AAAAAHXvPqc=",0)</f>
        <v>#REF!</v>
      </c>
      <c r="FM53" t="e">
        <f>AND(#REF!,"AAAAAHXvPqg=")</f>
        <v>#REF!</v>
      </c>
      <c r="FN53" t="e">
        <f>AND(#REF!,"AAAAAHXvPqk=")</f>
        <v>#REF!</v>
      </c>
      <c r="FO53" t="e">
        <f>AND(#REF!,"AAAAAHXvPqo=")</f>
        <v>#REF!</v>
      </c>
      <c r="FP53" t="e">
        <f>AND(#REF!,"AAAAAHXvPqs=")</f>
        <v>#REF!</v>
      </c>
      <c r="FQ53" t="e">
        <f>AND(#REF!,"AAAAAHXvPqw=")</f>
        <v>#REF!</v>
      </c>
      <c r="FR53" t="e">
        <f>AND(#REF!,"AAAAAHXvPq0=")</f>
        <v>#REF!</v>
      </c>
      <c r="FS53" t="e">
        <f>IF(#REF!,"AAAAAHXvPq4=",0)</f>
        <v>#REF!</v>
      </c>
      <c r="FT53" t="e">
        <f>AND(#REF!,"AAAAAHXvPq8=")</f>
        <v>#REF!</v>
      </c>
      <c r="FU53" t="e">
        <f>AND(#REF!,"AAAAAHXvPrA=")</f>
        <v>#REF!</v>
      </c>
      <c r="FV53" t="e">
        <f>AND(#REF!,"AAAAAHXvPrE=")</f>
        <v>#REF!</v>
      </c>
      <c r="FW53" t="e">
        <f>AND(#REF!,"AAAAAHXvPrI=")</f>
        <v>#REF!</v>
      </c>
      <c r="FX53" t="e">
        <f>AND(#REF!,"AAAAAHXvPrM=")</f>
        <v>#REF!</v>
      </c>
      <c r="FY53" t="e">
        <f>AND(#REF!,"AAAAAHXvPrQ=")</f>
        <v>#REF!</v>
      </c>
      <c r="FZ53" t="e">
        <f>IF(#REF!,"AAAAAHXvPrU=",0)</f>
        <v>#REF!</v>
      </c>
      <c r="GA53" t="e">
        <f>AND(#REF!,"AAAAAHXvPrY=")</f>
        <v>#REF!</v>
      </c>
      <c r="GB53" t="e">
        <f>AND(#REF!,"AAAAAHXvPrc=")</f>
        <v>#REF!</v>
      </c>
      <c r="GC53" t="e">
        <f>AND(#REF!,"AAAAAHXvPrg=")</f>
        <v>#REF!</v>
      </c>
      <c r="GD53" t="e">
        <f>AND(#REF!,"AAAAAHXvPrk=")</f>
        <v>#REF!</v>
      </c>
      <c r="GE53" t="e">
        <f>AND(#REF!,"AAAAAHXvPro=")</f>
        <v>#REF!</v>
      </c>
      <c r="GF53" t="e">
        <f>AND(#REF!,"AAAAAHXvPrs=")</f>
        <v>#REF!</v>
      </c>
      <c r="GG53" t="e">
        <f>IF(#REF!,"AAAAAHXvPrw=",0)</f>
        <v>#REF!</v>
      </c>
      <c r="GH53" t="e">
        <f>AND(#REF!,"AAAAAHXvPr0=")</f>
        <v>#REF!</v>
      </c>
      <c r="GI53" t="e">
        <f>AND(#REF!,"AAAAAHXvPr4=")</f>
        <v>#REF!</v>
      </c>
      <c r="GJ53" t="e">
        <f>AND(#REF!,"AAAAAHXvPr8=")</f>
        <v>#REF!</v>
      </c>
      <c r="GK53" t="e">
        <f>AND(#REF!,"AAAAAHXvPsA=")</f>
        <v>#REF!</v>
      </c>
      <c r="GL53" t="e">
        <f>AND(#REF!,"AAAAAHXvPsE=")</f>
        <v>#REF!</v>
      </c>
      <c r="GM53" t="e">
        <f>AND(#REF!,"AAAAAHXvPsI=")</f>
        <v>#REF!</v>
      </c>
      <c r="GN53" t="e">
        <f>IF(#REF!,"AAAAAHXvPsM=",0)</f>
        <v>#REF!</v>
      </c>
      <c r="GO53" t="e">
        <f>AND(#REF!,"AAAAAHXvPsQ=")</f>
        <v>#REF!</v>
      </c>
      <c r="GP53" t="e">
        <f>AND(#REF!,"AAAAAHXvPsU=")</f>
        <v>#REF!</v>
      </c>
      <c r="GQ53" t="e">
        <f>AND(#REF!,"AAAAAHXvPsY=")</f>
        <v>#REF!</v>
      </c>
      <c r="GR53" t="e">
        <f>AND(#REF!,"AAAAAHXvPsc=")</f>
        <v>#REF!</v>
      </c>
      <c r="GS53" t="e">
        <f>AND(#REF!,"AAAAAHXvPsg=")</f>
        <v>#REF!</v>
      </c>
      <c r="GT53" t="e">
        <f>AND(#REF!,"AAAAAHXvPsk=")</f>
        <v>#REF!</v>
      </c>
      <c r="GU53" t="e">
        <f>IF(#REF!,"AAAAAHXvPso=",0)</f>
        <v>#REF!</v>
      </c>
      <c r="GV53" t="e">
        <f>AND(#REF!,"AAAAAHXvPss=")</f>
        <v>#REF!</v>
      </c>
      <c r="GW53" t="e">
        <f>AND(#REF!,"AAAAAHXvPsw=")</f>
        <v>#REF!</v>
      </c>
      <c r="GX53" t="e">
        <f>AND(#REF!,"AAAAAHXvPs0=")</f>
        <v>#REF!</v>
      </c>
      <c r="GY53" t="e">
        <f>AND(#REF!,"AAAAAHXvPs4=")</f>
        <v>#REF!</v>
      </c>
      <c r="GZ53" t="e">
        <f>AND(#REF!,"AAAAAHXvPs8=")</f>
        <v>#REF!</v>
      </c>
      <c r="HA53" t="e">
        <f>AND(#REF!,"AAAAAHXvPtA=")</f>
        <v>#REF!</v>
      </c>
      <c r="HB53" t="e">
        <f>IF(#REF!,"AAAAAHXvPtE=",0)</f>
        <v>#REF!</v>
      </c>
      <c r="HC53" t="e">
        <f>AND(#REF!,"AAAAAHXvPtI=")</f>
        <v>#REF!</v>
      </c>
      <c r="HD53" t="e">
        <f>AND(#REF!,"AAAAAHXvPtM=")</f>
        <v>#REF!</v>
      </c>
      <c r="HE53" t="e">
        <f>AND(#REF!,"AAAAAHXvPtQ=")</f>
        <v>#REF!</v>
      </c>
      <c r="HF53" t="e">
        <f>AND(#REF!,"AAAAAHXvPtU=")</f>
        <v>#REF!</v>
      </c>
      <c r="HG53" t="e">
        <f>AND(#REF!,"AAAAAHXvPtY=")</f>
        <v>#REF!</v>
      </c>
      <c r="HH53" t="e">
        <f>AND(#REF!,"AAAAAHXvPtc=")</f>
        <v>#REF!</v>
      </c>
      <c r="HI53" t="e">
        <f>IF(#REF!,"AAAAAHXvPtg=",0)</f>
        <v>#REF!</v>
      </c>
      <c r="HJ53" t="e">
        <f>AND(#REF!,"AAAAAHXvPtk=")</f>
        <v>#REF!</v>
      </c>
      <c r="HK53" t="e">
        <f>AND(#REF!,"AAAAAHXvPto=")</f>
        <v>#REF!</v>
      </c>
      <c r="HL53" t="e">
        <f>AND(#REF!,"AAAAAHXvPts=")</f>
        <v>#REF!</v>
      </c>
      <c r="HM53" t="e">
        <f>AND(#REF!,"AAAAAHXvPtw=")</f>
        <v>#REF!</v>
      </c>
      <c r="HN53" t="e">
        <f>AND(#REF!,"AAAAAHXvPt0=")</f>
        <v>#REF!</v>
      </c>
      <c r="HO53" t="e">
        <f>AND(#REF!,"AAAAAHXvPt4=")</f>
        <v>#REF!</v>
      </c>
      <c r="HP53" t="e">
        <f>IF(#REF!,"AAAAAHXvPt8=",0)</f>
        <v>#REF!</v>
      </c>
      <c r="HQ53" t="e">
        <f>AND(#REF!,"AAAAAHXvPuA=")</f>
        <v>#REF!</v>
      </c>
      <c r="HR53" t="e">
        <f>AND(#REF!,"AAAAAHXvPuE=")</f>
        <v>#REF!</v>
      </c>
      <c r="HS53" t="e">
        <f>AND(#REF!,"AAAAAHXvPuI=")</f>
        <v>#REF!</v>
      </c>
      <c r="HT53" t="e">
        <f>AND(#REF!,"AAAAAHXvPuM=")</f>
        <v>#REF!</v>
      </c>
      <c r="HU53" t="e">
        <f>AND(#REF!,"AAAAAHXvPuQ=")</f>
        <v>#REF!</v>
      </c>
      <c r="HV53" t="e">
        <f>AND(#REF!,"AAAAAHXvPuU=")</f>
        <v>#REF!</v>
      </c>
      <c r="HW53" t="e">
        <f>IF(#REF!,"AAAAAHXvPuY=",0)</f>
        <v>#REF!</v>
      </c>
      <c r="HX53" t="e">
        <f>AND(#REF!,"AAAAAHXvPuc=")</f>
        <v>#REF!</v>
      </c>
      <c r="HY53" t="e">
        <f>AND(#REF!,"AAAAAHXvPug=")</f>
        <v>#REF!</v>
      </c>
      <c r="HZ53" t="e">
        <f>AND(#REF!,"AAAAAHXvPuk=")</f>
        <v>#REF!</v>
      </c>
      <c r="IA53" t="e">
        <f>AND(#REF!,"AAAAAHXvPuo=")</f>
        <v>#REF!</v>
      </c>
      <c r="IB53" t="e">
        <f>AND(#REF!,"AAAAAHXvPus=")</f>
        <v>#REF!</v>
      </c>
      <c r="IC53" t="e">
        <f>AND(#REF!,"AAAAAHXvPuw=")</f>
        <v>#REF!</v>
      </c>
      <c r="ID53" t="e">
        <f>IF(#REF!,"AAAAAHXvPu0=",0)</f>
        <v>#REF!</v>
      </c>
      <c r="IE53" t="e">
        <f>AND(#REF!,"AAAAAHXvPu4=")</f>
        <v>#REF!</v>
      </c>
      <c r="IF53" t="e">
        <f>AND(#REF!,"AAAAAHXvPu8=")</f>
        <v>#REF!</v>
      </c>
      <c r="IG53" t="e">
        <f>AND(#REF!,"AAAAAHXvPvA=")</f>
        <v>#REF!</v>
      </c>
      <c r="IH53" t="e">
        <f>AND(#REF!,"AAAAAHXvPvE=")</f>
        <v>#REF!</v>
      </c>
      <c r="II53" t="e">
        <f>AND(#REF!,"AAAAAHXvPvI=")</f>
        <v>#REF!</v>
      </c>
      <c r="IJ53" t="e">
        <f>AND(#REF!,"AAAAAHXvPvM=")</f>
        <v>#REF!</v>
      </c>
      <c r="IK53" t="e">
        <f>IF(#REF!,"AAAAAHXvPvQ=",0)</f>
        <v>#REF!</v>
      </c>
      <c r="IL53" t="e">
        <f>AND(#REF!,"AAAAAHXvPvU=")</f>
        <v>#REF!</v>
      </c>
      <c r="IM53" t="e">
        <f>AND(#REF!,"AAAAAHXvPvY=")</f>
        <v>#REF!</v>
      </c>
      <c r="IN53" t="e">
        <f>AND(#REF!,"AAAAAHXvPvc=")</f>
        <v>#REF!</v>
      </c>
      <c r="IO53" t="e">
        <f>AND(#REF!,"AAAAAHXvPvg=")</f>
        <v>#REF!</v>
      </c>
      <c r="IP53" t="e">
        <f>AND(#REF!,"AAAAAHXvPvk=")</f>
        <v>#REF!</v>
      </c>
      <c r="IQ53" t="e">
        <f>AND(#REF!,"AAAAAHXvPvo=")</f>
        <v>#REF!</v>
      </c>
      <c r="IR53" t="e">
        <f>IF(#REF!,"AAAAAHXvPvs=",0)</f>
        <v>#REF!</v>
      </c>
      <c r="IS53" t="e">
        <f>AND(#REF!,"AAAAAHXvPvw=")</f>
        <v>#REF!</v>
      </c>
      <c r="IT53" t="e">
        <f>AND(#REF!,"AAAAAHXvPv0=")</f>
        <v>#REF!</v>
      </c>
      <c r="IU53" t="e">
        <f>AND(#REF!,"AAAAAHXvPv4=")</f>
        <v>#REF!</v>
      </c>
      <c r="IV53" t="e">
        <f>AND(#REF!,"AAAAAHXvPv8=")</f>
        <v>#REF!</v>
      </c>
    </row>
    <row r="54" spans="1:256" x14ac:dyDescent="0.25">
      <c r="A54" t="e">
        <f>AND(#REF!,"AAAAAHz3qwA=")</f>
        <v>#REF!</v>
      </c>
      <c r="B54" t="e">
        <f>AND(#REF!,"AAAAAHz3qwE=")</f>
        <v>#REF!</v>
      </c>
      <c r="C54" t="e">
        <f>IF(#REF!,"AAAAAHz3qwI=",0)</f>
        <v>#REF!</v>
      </c>
      <c r="D54" t="e">
        <f>AND(#REF!,"AAAAAHz3qwM=")</f>
        <v>#REF!</v>
      </c>
      <c r="E54" t="e">
        <f>AND(#REF!,"AAAAAHz3qwQ=")</f>
        <v>#REF!</v>
      </c>
      <c r="F54" t="e">
        <f>AND(#REF!,"AAAAAHz3qwU=")</f>
        <v>#REF!</v>
      </c>
      <c r="G54" t="e">
        <f>AND(#REF!,"AAAAAHz3qwY=")</f>
        <v>#REF!</v>
      </c>
      <c r="H54" t="e">
        <f>AND(#REF!,"AAAAAHz3qwc=")</f>
        <v>#REF!</v>
      </c>
      <c r="I54" t="e">
        <f>AND(#REF!,"AAAAAHz3qwg=")</f>
        <v>#REF!</v>
      </c>
      <c r="J54" t="e">
        <f>IF(#REF!,"AAAAAHz3qwk=",0)</f>
        <v>#REF!</v>
      </c>
      <c r="K54" t="e">
        <f>AND(#REF!,"AAAAAHz3qwo=")</f>
        <v>#REF!</v>
      </c>
      <c r="L54" t="e">
        <f>AND(#REF!,"AAAAAHz3qws=")</f>
        <v>#REF!</v>
      </c>
      <c r="M54" t="e">
        <f>AND(#REF!,"AAAAAHz3qww=")</f>
        <v>#REF!</v>
      </c>
      <c r="N54" t="e">
        <f>AND(#REF!,"AAAAAHz3qw0=")</f>
        <v>#REF!</v>
      </c>
      <c r="O54" t="e">
        <f>AND(#REF!,"AAAAAHz3qw4=")</f>
        <v>#REF!</v>
      </c>
      <c r="P54" t="e">
        <f>AND(#REF!,"AAAAAHz3qw8=")</f>
        <v>#REF!</v>
      </c>
      <c r="Q54" t="e">
        <f>IF(#REF!,"AAAAAHz3qxA=",0)</f>
        <v>#REF!</v>
      </c>
      <c r="R54" t="e">
        <f>AND(#REF!,"AAAAAHz3qxE=")</f>
        <v>#REF!</v>
      </c>
      <c r="S54" t="e">
        <f>AND(#REF!,"AAAAAHz3qxI=")</f>
        <v>#REF!</v>
      </c>
      <c r="T54" t="e">
        <f>AND(#REF!,"AAAAAHz3qxM=")</f>
        <v>#REF!</v>
      </c>
      <c r="U54" t="e">
        <f>AND(#REF!,"AAAAAHz3qxQ=")</f>
        <v>#REF!</v>
      </c>
      <c r="V54" t="e">
        <f>AND(#REF!,"AAAAAHz3qxU=")</f>
        <v>#REF!</v>
      </c>
      <c r="W54" t="e">
        <f>AND(#REF!,"AAAAAHz3qxY=")</f>
        <v>#REF!</v>
      </c>
      <c r="X54" t="e">
        <f>IF(#REF!,"AAAAAHz3qxc=",0)</f>
        <v>#REF!</v>
      </c>
      <c r="Y54" t="e">
        <f>AND(#REF!,"AAAAAHz3qxg=")</f>
        <v>#REF!</v>
      </c>
      <c r="Z54" t="e">
        <f>AND(#REF!,"AAAAAHz3qxk=")</f>
        <v>#REF!</v>
      </c>
      <c r="AA54" t="e">
        <f>AND(#REF!,"AAAAAHz3qxo=")</f>
        <v>#REF!</v>
      </c>
      <c r="AB54" t="e">
        <f>AND(#REF!,"AAAAAHz3qxs=")</f>
        <v>#REF!</v>
      </c>
      <c r="AC54" t="e">
        <f>AND(#REF!,"AAAAAHz3qxw=")</f>
        <v>#REF!</v>
      </c>
      <c r="AD54" t="e">
        <f>AND(#REF!,"AAAAAHz3qx0=")</f>
        <v>#REF!</v>
      </c>
      <c r="AE54" t="e">
        <f>IF(#REF!,"AAAAAHz3qx4=",0)</f>
        <v>#REF!</v>
      </c>
      <c r="AF54" t="e">
        <f>AND(#REF!,"AAAAAHz3qx8=")</f>
        <v>#REF!</v>
      </c>
      <c r="AG54" t="e">
        <f>AND(#REF!,"AAAAAHz3qyA=")</f>
        <v>#REF!</v>
      </c>
      <c r="AH54" t="e">
        <f>AND(#REF!,"AAAAAHz3qyE=")</f>
        <v>#REF!</v>
      </c>
      <c r="AI54" t="e">
        <f>AND(#REF!,"AAAAAHz3qyI=")</f>
        <v>#REF!</v>
      </c>
      <c r="AJ54" t="e">
        <f>AND(#REF!,"AAAAAHz3qyM=")</f>
        <v>#REF!</v>
      </c>
      <c r="AK54" t="e">
        <f>AND(#REF!,"AAAAAHz3qyQ=")</f>
        <v>#REF!</v>
      </c>
      <c r="AL54" t="e">
        <f>IF(#REF!,"AAAAAHz3qyU=",0)</f>
        <v>#REF!</v>
      </c>
      <c r="AM54" t="e">
        <f>AND(#REF!,"AAAAAHz3qyY=")</f>
        <v>#REF!</v>
      </c>
      <c r="AN54" t="e">
        <f>AND(#REF!,"AAAAAHz3qyc=")</f>
        <v>#REF!</v>
      </c>
      <c r="AO54" t="e">
        <f>AND(#REF!,"AAAAAHz3qyg=")</f>
        <v>#REF!</v>
      </c>
      <c r="AP54" t="e">
        <f>AND(#REF!,"AAAAAHz3qyk=")</f>
        <v>#REF!</v>
      </c>
      <c r="AQ54" t="e">
        <f>AND(#REF!,"AAAAAHz3qyo=")</f>
        <v>#REF!</v>
      </c>
      <c r="AR54" t="e">
        <f>AND(#REF!,"AAAAAHz3qys=")</f>
        <v>#REF!</v>
      </c>
      <c r="AS54" t="e">
        <f>IF(#REF!,"AAAAAHz3qyw=",0)</f>
        <v>#REF!</v>
      </c>
      <c r="AT54" t="e">
        <f>AND(#REF!,"AAAAAHz3qy0=")</f>
        <v>#REF!</v>
      </c>
      <c r="AU54" t="e">
        <f>AND(#REF!,"AAAAAHz3qy4=")</f>
        <v>#REF!</v>
      </c>
      <c r="AV54" t="e">
        <f>AND(#REF!,"AAAAAHz3qy8=")</f>
        <v>#REF!</v>
      </c>
      <c r="AW54" t="e">
        <f>AND(#REF!,"AAAAAHz3qzA=")</f>
        <v>#REF!</v>
      </c>
      <c r="AX54" t="e">
        <f>AND(#REF!,"AAAAAHz3qzE=")</f>
        <v>#REF!</v>
      </c>
      <c r="AY54" t="e">
        <f>AND(#REF!,"AAAAAHz3qzI=")</f>
        <v>#REF!</v>
      </c>
      <c r="AZ54" t="e">
        <f>IF(#REF!,"AAAAAHz3qzM=",0)</f>
        <v>#REF!</v>
      </c>
      <c r="BA54" t="e">
        <f>AND(#REF!,"AAAAAHz3qzQ=")</f>
        <v>#REF!</v>
      </c>
      <c r="BB54" t="e">
        <f>AND(#REF!,"AAAAAHz3qzU=")</f>
        <v>#REF!</v>
      </c>
      <c r="BC54" t="e">
        <f>AND(#REF!,"AAAAAHz3qzY=")</f>
        <v>#REF!</v>
      </c>
      <c r="BD54" t="e">
        <f>AND(#REF!,"AAAAAHz3qzc=")</f>
        <v>#REF!</v>
      </c>
      <c r="BE54" t="e">
        <f>AND(#REF!,"AAAAAHz3qzg=")</f>
        <v>#REF!</v>
      </c>
      <c r="BF54" t="e">
        <f>AND(#REF!,"AAAAAHz3qzk=")</f>
        <v>#REF!</v>
      </c>
      <c r="BG54" t="e">
        <f>IF(#REF!,"AAAAAHz3qzo=",0)</f>
        <v>#REF!</v>
      </c>
      <c r="BH54" t="e">
        <f>AND(#REF!,"AAAAAHz3qzs=")</f>
        <v>#REF!</v>
      </c>
      <c r="BI54" t="e">
        <f>AND(#REF!,"AAAAAHz3qzw=")</f>
        <v>#REF!</v>
      </c>
      <c r="BJ54" t="e">
        <f>AND(#REF!,"AAAAAHz3qz0=")</f>
        <v>#REF!</v>
      </c>
      <c r="BK54" t="e">
        <f>AND(#REF!,"AAAAAHz3qz4=")</f>
        <v>#REF!</v>
      </c>
      <c r="BL54" t="e">
        <f>AND(#REF!,"AAAAAHz3qz8=")</f>
        <v>#REF!</v>
      </c>
      <c r="BM54" t="e">
        <f>AND(#REF!,"AAAAAHz3q0A=")</f>
        <v>#REF!</v>
      </c>
      <c r="BN54" t="e">
        <f>IF(#REF!,"AAAAAHz3q0E=",0)</f>
        <v>#REF!</v>
      </c>
      <c r="BO54" t="e">
        <f>AND(#REF!,"AAAAAHz3q0I=")</f>
        <v>#REF!</v>
      </c>
      <c r="BP54" t="e">
        <f>AND(#REF!,"AAAAAHz3q0M=")</f>
        <v>#REF!</v>
      </c>
      <c r="BQ54" t="e">
        <f>AND(#REF!,"AAAAAHz3q0Q=")</f>
        <v>#REF!</v>
      </c>
      <c r="BR54" t="e">
        <f>AND(#REF!,"AAAAAHz3q0U=")</f>
        <v>#REF!</v>
      </c>
      <c r="BS54" t="e">
        <f>AND(#REF!,"AAAAAHz3q0Y=")</f>
        <v>#REF!</v>
      </c>
      <c r="BT54" t="e">
        <f>AND(#REF!,"AAAAAHz3q0c=")</f>
        <v>#REF!</v>
      </c>
      <c r="BU54" t="e">
        <f>IF(#REF!,"AAAAAHz3q0g=",0)</f>
        <v>#REF!</v>
      </c>
      <c r="BV54" t="e">
        <f>AND(#REF!,"AAAAAHz3q0k=")</f>
        <v>#REF!</v>
      </c>
      <c r="BW54" t="e">
        <f>AND(#REF!,"AAAAAHz3q0o=")</f>
        <v>#REF!</v>
      </c>
      <c r="BX54" t="e">
        <f>AND(#REF!,"AAAAAHz3q0s=")</f>
        <v>#REF!</v>
      </c>
      <c r="BY54" t="e">
        <f>AND(#REF!,"AAAAAHz3q0w=")</f>
        <v>#REF!</v>
      </c>
      <c r="BZ54" t="e">
        <f>AND(#REF!,"AAAAAHz3q00=")</f>
        <v>#REF!</v>
      </c>
      <c r="CA54" t="e">
        <f>AND(#REF!,"AAAAAHz3q04=")</f>
        <v>#REF!</v>
      </c>
      <c r="CB54" t="e">
        <f>IF(#REF!,"AAAAAHz3q08=",0)</f>
        <v>#REF!</v>
      </c>
      <c r="CC54" t="e">
        <f>AND(#REF!,"AAAAAHz3q1A=")</f>
        <v>#REF!</v>
      </c>
      <c r="CD54" t="e">
        <f>AND(#REF!,"AAAAAHz3q1E=")</f>
        <v>#REF!</v>
      </c>
      <c r="CE54" t="e">
        <f>AND(#REF!,"AAAAAHz3q1I=")</f>
        <v>#REF!</v>
      </c>
      <c r="CF54" t="e">
        <f>AND(#REF!,"AAAAAHz3q1M=")</f>
        <v>#REF!</v>
      </c>
      <c r="CG54" t="e">
        <f>AND(#REF!,"AAAAAHz3q1Q=")</f>
        <v>#REF!</v>
      </c>
      <c r="CH54" t="e">
        <f>AND(#REF!,"AAAAAHz3q1U=")</f>
        <v>#REF!</v>
      </c>
      <c r="CI54" t="e">
        <f>IF(#REF!,"AAAAAHz3q1Y=",0)</f>
        <v>#REF!</v>
      </c>
      <c r="CJ54" t="e">
        <f>AND(#REF!,"AAAAAHz3q1c=")</f>
        <v>#REF!</v>
      </c>
      <c r="CK54" t="e">
        <f>AND(#REF!,"AAAAAHz3q1g=")</f>
        <v>#REF!</v>
      </c>
      <c r="CL54" t="e">
        <f>AND(#REF!,"AAAAAHz3q1k=")</f>
        <v>#REF!</v>
      </c>
      <c r="CM54" t="e">
        <f>AND(#REF!,"AAAAAHz3q1o=")</f>
        <v>#REF!</v>
      </c>
      <c r="CN54" t="e">
        <f>AND(#REF!,"AAAAAHz3q1s=")</f>
        <v>#REF!</v>
      </c>
      <c r="CO54" t="e">
        <f>AND(#REF!,"AAAAAHz3q1w=")</f>
        <v>#REF!</v>
      </c>
      <c r="CP54" t="e">
        <f>IF(#REF!,"AAAAAHz3q10=",0)</f>
        <v>#REF!</v>
      </c>
      <c r="CQ54" t="e">
        <f>AND(#REF!,"AAAAAHz3q14=")</f>
        <v>#REF!</v>
      </c>
      <c r="CR54" t="e">
        <f>AND(#REF!,"AAAAAHz3q18=")</f>
        <v>#REF!</v>
      </c>
      <c r="CS54" t="e">
        <f>AND(#REF!,"AAAAAHz3q2A=")</f>
        <v>#REF!</v>
      </c>
      <c r="CT54" t="e">
        <f>AND(#REF!,"AAAAAHz3q2E=")</f>
        <v>#REF!</v>
      </c>
      <c r="CU54" t="e">
        <f>AND(#REF!,"AAAAAHz3q2I=")</f>
        <v>#REF!</v>
      </c>
      <c r="CV54" t="e">
        <f>AND(#REF!,"AAAAAHz3q2M=")</f>
        <v>#REF!</v>
      </c>
      <c r="CW54" t="e">
        <f>IF(#REF!,"AAAAAHz3q2Q=",0)</f>
        <v>#REF!</v>
      </c>
      <c r="CX54" t="e">
        <f>AND(#REF!,"AAAAAHz3q2U=")</f>
        <v>#REF!</v>
      </c>
      <c r="CY54" t="e">
        <f>AND(#REF!,"AAAAAHz3q2Y=")</f>
        <v>#REF!</v>
      </c>
      <c r="CZ54" t="e">
        <f>AND(#REF!,"AAAAAHz3q2c=")</f>
        <v>#REF!</v>
      </c>
      <c r="DA54" t="e">
        <f>AND(#REF!,"AAAAAHz3q2g=")</f>
        <v>#REF!</v>
      </c>
      <c r="DB54" t="e">
        <f>AND(#REF!,"AAAAAHz3q2k=")</f>
        <v>#REF!</v>
      </c>
      <c r="DC54" t="e">
        <f>AND(#REF!,"AAAAAHz3q2o=")</f>
        <v>#REF!</v>
      </c>
      <c r="DD54" t="e">
        <f>IF(#REF!,"AAAAAHz3q2s=",0)</f>
        <v>#REF!</v>
      </c>
      <c r="DE54" t="e">
        <f>AND(#REF!,"AAAAAHz3q2w=")</f>
        <v>#REF!</v>
      </c>
      <c r="DF54" t="e">
        <f>AND(#REF!,"AAAAAHz3q20=")</f>
        <v>#REF!</v>
      </c>
      <c r="DG54" t="e">
        <f>AND(#REF!,"AAAAAHz3q24=")</f>
        <v>#REF!</v>
      </c>
      <c r="DH54" t="e">
        <f>AND(#REF!,"AAAAAHz3q28=")</f>
        <v>#REF!</v>
      </c>
      <c r="DI54" t="e">
        <f>AND(#REF!,"AAAAAHz3q3A=")</f>
        <v>#REF!</v>
      </c>
      <c r="DJ54" t="e">
        <f>AND(#REF!,"AAAAAHz3q3E=")</f>
        <v>#REF!</v>
      </c>
      <c r="DK54" t="e">
        <f>IF(#REF!,"AAAAAHz3q3I=",0)</f>
        <v>#REF!</v>
      </c>
      <c r="DL54" t="e">
        <f>AND(#REF!,"AAAAAHz3q3M=")</f>
        <v>#REF!</v>
      </c>
      <c r="DM54" t="e">
        <f>AND(#REF!,"AAAAAHz3q3Q=")</f>
        <v>#REF!</v>
      </c>
      <c r="DN54" t="e">
        <f>AND(#REF!,"AAAAAHz3q3U=")</f>
        <v>#REF!</v>
      </c>
      <c r="DO54" t="e">
        <f>AND(#REF!,"AAAAAHz3q3Y=")</f>
        <v>#REF!</v>
      </c>
      <c r="DP54" t="e">
        <f>AND(#REF!,"AAAAAHz3q3c=")</f>
        <v>#REF!</v>
      </c>
      <c r="DQ54" t="e">
        <f>AND(#REF!,"AAAAAHz3q3g=")</f>
        <v>#REF!</v>
      </c>
      <c r="DR54" t="e">
        <f>IF(#REF!,"AAAAAHz3q3k=",0)</f>
        <v>#REF!</v>
      </c>
      <c r="DS54" t="e">
        <f>AND(#REF!,"AAAAAHz3q3o=")</f>
        <v>#REF!</v>
      </c>
      <c r="DT54" t="e">
        <f>AND(#REF!,"AAAAAHz3q3s=")</f>
        <v>#REF!</v>
      </c>
      <c r="DU54" t="e">
        <f>AND(#REF!,"AAAAAHz3q3w=")</f>
        <v>#REF!</v>
      </c>
      <c r="DV54" t="e">
        <f>AND(#REF!,"AAAAAHz3q30=")</f>
        <v>#REF!</v>
      </c>
      <c r="DW54" t="e">
        <f>AND(#REF!,"AAAAAHz3q34=")</f>
        <v>#REF!</v>
      </c>
      <c r="DX54" t="e">
        <f>AND(#REF!,"AAAAAHz3q38=")</f>
        <v>#REF!</v>
      </c>
      <c r="DY54" t="e">
        <f>IF(#REF!,"AAAAAHz3q4A=",0)</f>
        <v>#REF!</v>
      </c>
      <c r="DZ54" t="e">
        <f>AND(#REF!,"AAAAAHz3q4E=")</f>
        <v>#REF!</v>
      </c>
      <c r="EA54" t="e">
        <f>AND(#REF!,"AAAAAHz3q4I=")</f>
        <v>#REF!</v>
      </c>
      <c r="EB54" t="e">
        <f>AND(#REF!,"AAAAAHz3q4M=")</f>
        <v>#REF!</v>
      </c>
      <c r="EC54" t="e">
        <f>AND(#REF!,"AAAAAHz3q4Q=")</f>
        <v>#REF!</v>
      </c>
      <c r="ED54" t="e">
        <f>AND(#REF!,"AAAAAHz3q4U=")</f>
        <v>#REF!</v>
      </c>
      <c r="EE54" t="e">
        <f>AND(#REF!,"AAAAAHz3q4Y=")</f>
        <v>#REF!</v>
      </c>
      <c r="EF54" t="e">
        <f>IF(#REF!,"AAAAAHz3q4c=",0)</f>
        <v>#REF!</v>
      </c>
      <c r="EG54" t="e">
        <f>AND(#REF!,"AAAAAHz3q4g=")</f>
        <v>#REF!</v>
      </c>
      <c r="EH54" t="e">
        <f>AND(#REF!,"AAAAAHz3q4k=")</f>
        <v>#REF!</v>
      </c>
      <c r="EI54" t="e">
        <f>AND(#REF!,"AAAAAHz3q4o=")</f>
        <v>#REF!</v>
      </c>
      <c r="EJ54" t="e">
        <f>AND(#REF!,"AAAAAHz3q4s=")</f>
        <v>#REF!</v>
      </c>
      <c r="EK54" t="e">
        <f>AND(#REF!,"AAAAAHz3q4w=")</f>
        <v>#REF!</v>
      </c>
      <c r="EL54" t="e">
        <f>AND(#REF!,"AAAAAHz3q40=")</f>
        <v>#REF!</v>
      </c>
      <c r="EM54" t="e">
        <f>IF(#REF!,"AAAAAHz3q44=",0)</f>
        <v>#REF!</v>
      </c>
      <c r="EN54" t="e">
        <f>AND(#REF!,"AAAAAHz3q48=")</f>
        <v>#REF!</v>
      </c>
      <c r="EO54" t="e">
        <f>AND(#REF!,"AAAAAHz3q5A=")</f>
        <v>#REF!</v>
      </c>
      <c r="EP54" t="e">
        <f>AND(#REF!,"AAAAAHz3q5E=")</f>
        <v>#REF!</v>
      </c>
      <c r="EQ54" t="e">
        <f>AND(#REF!,"AAAAAHz3q5I=")</f>
        <v>#REF!</v>
      </c>
      <c r="ER54" t="e">
        <f>AND(#REF!,"AAAAAHz3q5M=")</f>
        <v>#REF!</v>
      </c>
      <c r="ES54" t="e">
        <f>AND(#REF!,"AAAAAHz3q5Q=")</f>
        <v>#REF!</v>
      </c>
      <c r="ET54" t="e">
        <f>IF(#REF!,"AAAAAHz3q5U=",0)</f>
        <v>#REF!</v>
      </c>
      <c r="EU54" t="e">
        <f>AND(#REF!,"AAAAAHz3q5Y=")</f>
        <v>#REF!</v>
      </c>
      <c r="EV54" t="e">
        <f>AND(#REF!,"AAAAAHz3q5c=")</f>
        <v>#REF!</v>
      </c>
      <c r="EW54" t="e">
        <f>AND(#REF!,"AAAAAHz3q5g=")</f>
        <v>#REF!</v>
      </c>
      <c r="EX54" t="e">
        <f>AND(#REF!,"AAAAAHz3q5k=")</f>
        <v>#REF!</v>
      </c>
      <c r="EY54" t="e">
        <f>AND(#REF!,"AAAAAHz3q5o=")</f>
        <v>#REF!</v>
      </c>
      <c r="EZ54" t="e">
        <f>AND(#REF!,"AAAAAHz3q5s=")</f>
        <v>#REF!</v>
      </c>
      <c r="FA54" t="e">
        <f>IF(#REF!,"AAAAAHz3q5w=",0)</f>
        <v>#REF!</v>
      </c>
      <c r="FB54" t="e">
        <f>AND(#REF!,"AAAAAHz3q50=")</f>
        <v>#REF!</v>
      </c>
      <c r="FC54" t="e">
        <f>AND(#REF!,"AAAAAHz3q54=")</f>
        <v>#REF!</v>
      </c>
      <c r="FD54" t="e">
        <f>AND(#REF!,"AAAAAHz3q58=")</f>
        <v>#REF!</v>
      </c>
      <c r="FE54" t="e">
        <f>AND(#REF!,"AAAAAHz3q6A=")</f>
        <v>#REF!</v>
      </c>
      <c r="FF54" t="e">
        <f>AND(#REF!,"AAAAAHz3q6E=")</f>
        <v>#REF!</v>
      </c>
      <c r="FG54" t="e">
        <f>AND(#REF!,"AAAAAHz3q6I=")</f>
        <v>#REF!</v>
      </c>
      <c r="FH54" t="e">
        <f>IF(#REF!,"AAAAAHz3q6M=",0)</f>
        <v>#REF!</v>
      </c>
      <c r="FI54" t="e">
        <f>AND(#REF!,"AAAAAHz3q6Q=")</f>
        <v>#REF!</v>
      </c>
      <c r="FJ54" t="e">
        <f>AND(#REF!,"AAAAAHz3q6U=")</f>
        <v>#REF!</v>
      </c>
      <c r="FK54" t="e">
        <f>AND(#REF!,"AAAAAHz3q6Y=")</f>
        <v>#REF!</v>
      </c>
      <c r="FL54" t="e">
        <f>AND(#REF!,"AAAAAHz3q6c=")</f>
        <v>#REF!</v>
      </c>
      <c r="FM54" t="e">
        <f>AND(#REF!,"AAAAAHz3q6g=")</f>
        <v>#REF!</v>
      </c>
      <c r="FN54" t="e">
        <f>AND(#REF!,"AAAAAHz3q6k=")</f>
        <v>#REF!</v>
      </c>
      <c r="FO54" t="e">
        <f>IF(#REF!,"AAAAAHz3q6o=",0)</f>
        <v>#REF!</v>
      </c>
      <c r="FP54" t="e">
        <f>AND(#REF!,"AAAAAHz3q6s=")</f>
        <v>#REF!</v>
      </c>
      <c r="FQ54" t="e">
        <f>AND(#REF!,"AAAAAHz3q6w=")</f>
        <v>#REF!</v>
      </c>
      <c r="FR54" t="e">
        <f>AND(#REF!,"AAAAAHz3q60=")</f>
        <v>#REF!</v>
      </c>
      <c r="FS54" t="e">
        <f>AND(#REF!,"AAAAAHz3q64=")</f>
        <v>#REF!</v>
      </c>
      <c r="FT54" t="e">
        <f>AND(#REF!,"AAAAAHz3q68=")</f>
        <v>#REF!</v>
      </c>
      <c r="FU54" t="e">
        <f>AND(#REF!,"AAAAAHz3q7A=")</f>
        <v>#REF!</v>
      </c>
      <c r="FV54" t="e">
        <f>IF(#REF!,"AAAAAHz3q7E=",0)</f>
        <v>#REF!</v>
      </c>
      <c r="FW54" t="e">
        <f>AND(#REF!,"AAAAAHz3q7I=")</f>
        <v>#REF!</v>
      </c>
      <c r="FX54" t="e">
        <f>AND(#REF!,"AAAAAHz3q7M=")</f>
        <v>#REF!</v>
      </c>
      <c r="FY54" t="e">
        <f>AND(#REF!,"AAAAAHz3q7Q=")</f>
        <v>#REF!</v>
      </c>
      <c r="FZ54" t="e">
        <f>AND(#REF!,"AAAAAHz3q7U=")</f>
        <v>#REF!</v>
      </c>
      <c r="GA54" t="e">
        <f>AND(#REF!,"AAAAAHz3q7Y=")</f>
        <v>#REF!</v>
      </c>
      <c r="GB54" t="e">
        <f>AND(#REF!,"AAAAAHz3q7c=")</f>
        <v>#REF!</v>
      </c>
      <c r="GC54" t="e">
        <f>IF(#REF!,"AAAAAHz3q7g=",0)</f>
        <v>#REF!</v>
      </c>
      <c r="GD54" t="e">
        <f>AND(#REF!,"AAAAAHz3q7k=")</f>
        <v>#REF!</v>
      </c>
      <c r="GE54" t="e">
        <f>AND(#REF!,"AAAAAHz3q7o=")</f>
        <v>#REF!</v>
      </c>
      <c r="GF54" t="e">
        <f>AND(#REF!,"AAAAAHz3q7s=")</f>
        <v>#REF!</v>
      </c>
      <c r="GG54" t="e">
        <f>AND(#REF!,"AAAAAHz3q7w=")</f>
        <v>#REF!</v>
      </c>
      <c r="GH54" t="e">
        <f>AND(#REF!,"AAAAAHz3q70=")</f>
        <v>#REF!</v>
      </c>
      <c r="GI54" t="e">
        <f>AND(#REF!,"AAAAAHz3q74=")</f>
        <v>#REF!</v>
      </c>
      <c r="GJ54" t="e">
        <f>IF(#REF!,"AAAAAHz3q78=",0)</f>
        <v>#REF!</v>
      </c>
      <c r="GK54" t="e">
        <f>AND(#REF!,"AAAAAHz3q8A=")</f>
        <v>#REF!</v>
      </c>
      <c r="GL54" t="e">
        <f>AND(#REF!,"AAAAAHz3q8E=")</f>
        <v>#REF!</v>
      </c>
      <c r="GM54" t="e">
        <f>AND(#REF!,"AAAAAHz3q8I=")</f>
        <v>#REF!</v>
      </c>
      <c r="GN54" t="e">
        <f>AND(#REF!,"AAAAAHz3q8M=")</f>
        <v>#REF!</v>
      </c>
      <c r="GO54" t="e">
        <f>AND(#REF!,"AAAAAHz3q8Q=")</f>
        <v>#REF!</v>
      </c>
      <c r="GP54" t="e">
        <f>AND(#REF!,"AAAAAHz3q8U=")</f>
        <v>#REF!</v>
      </c>
      <c r="GQ54" t="e">
        <f>IF(#REF!,"AAAAAHz3q8Y=",0)</f>
        <v>#REF!</v>
      </c>
      <c r="GR54" t="e">
        <f>AND(#REF!,"AAAAAHz3q8c=")</f>
        <v>#REF!</v>
      </c>
      <c r="GS54" t="e">
        <f>AND(#REF!,"AAAAAHz3q8g=")</f>
        <v>#REF!</v>
      </c>
      <c r="GT54" t="e">
        <f>AND(#REF!,"AAAAAHz3q8k=")</f>
        <v>#REF!</v>
      </c>
      <c r="GU54" t="e">
        <f>AND(#REF!,"AAAAAHz3q8o=")</f>
        <v>#REF!</v>
      </c>
      <c r="GV54" t="e">
        <f>AND(#REF!,"AAAAAHz3q8s=")</f>
        <v>#REF!</v>
      </c>
      <c r="GW54" t="e">
        <f>AND(#REF!,"AAAAAHz3q8w=")</f>
        <v>#REF!</v>
      </c>
      <c r="GX54" t="e">
        <f>IF(#REF!,"AAAAAHz3q80=",0)</f>
        <v>#REF!</v>
      </c>
      <c r="GY54" t="e">
        <f>AND(#REF!,"AAAAAHz3q84=")</f>
        <v>#REF!</v>
      </c>
      <c r="GZ54" t="e">
        <f>AND(#REF!,"AAAAAHz3q88=")</f>
        <v>#REF!</v>
      </c>
      <c r="HA54" t="e">
        <f>AND(#REF!,"AAAAAHz3q9A=")</f>
        <v>#REF!</v>
      </c>
      <c r="HB54" t="e">
        <f>AND(#REF!,"AAAAAHz3q9E=")</f>
        <v>#REF!</v>
      </c>
      <c r="HC54" t="e">
        <f>AND(#REF!,"AAAAAHz3q9I=")</f>
        <v>#REF!</v>
      </c>
      <c r="HD54" t="e">
        <f>AND(#REF!,"AAAAAHz3q9M=")</f>
        <v>#REF!</v>
      </c>
      <c r="HE54" t="e">
        <f>IF(#REF!,"AAAAAHz3q9Q=",0)</f>
        <v>#REF!</v>
      </c>
      <c r="HF54" t="e">
        <f>AND(#REF!,"AAAAAHz3q9U=")</f>
        <v>#REF!</v>
      </c>
      <c r="HG54" t="e">
        <f>AND(#REF!,"AAAAAHz3q9Y=")</f>
        <v>#REF!</v>
      </c>
      <c r="HH54" t="e">
        <f>AND(#REF!,"AAAAAHz3q9c=")</f>
        <v>#REF!</v>
      </c>
      <c r="HI54" t="e">
        <f>AND(#REF!,"AAAAAHz3q9g=")</f>
        <v>#REF!</v>
      </c>
      <c r="HJ54" t="e">
        <f>AND(#REF!,"AAAAAHz3q9k=")</f>
        <v>#REF!</v>
      </c>
      <c r="HK54" t="e">
        <f>AND(#REF!,"AAAAAHz3q9o=")</f>
        <v>#REF!</v>
      </c>
      <c r="HL54" t="e">
        <f>IF(#REF!,"AAAAAHz3q9s=",0)</f>
        <v>#REF!</v>
      </c>
      <c r="HM54" t="e">
        <f>AND(#REF!,"AAAAAHz3q9w=")</f>
        <v>#REF!</v>
      </c>
      <c r="HN54" t="e">
        <f>AND(#REF!,"AAAAAHz3q90=")</f>
        <v>#REF!</v>
      </c>
      <c r="HO54" t="e">
        <f>AND(#REF!,"AAAAAHz3q94=")</f>
        <v>#REF!</v>
      </c>
      <c r="HP54" t="e">
        <f>AND(#REF!,"AAAAAHz3q98=")</f>
        <v>#REF!</v>
      </c>
      <c r="HQ54" t="e">
        <f>AND(#REF!,"AAAAAHz3q+A=")</f>
        <v>#REF!</v>
      </c>
      <c r="HR54" t="e">
        <f>AND(#REF!,"AAAAAHz3q+E=")</f>
        <v>#REF!</v>
      </c>
      <c r="HS54" t="e">
        <f>IF(#REF!,"AAAAAHz3q+I=",0)</f>
        <v>#REF!</v>
      </c>
      <c r="HT54" t="e">
        <f>AND(#REF!,"AAAAAHz3q+M=")</f>
        <v>#REF!</v>
      </c>
      <c r="HU54" t="e">
        <f>AND(#REF!,"AAAAAHz3q+Q=")</f>
        <v>#REF!</v>
      </c>
      <c r="HV54" t="e">
        <f>AND(#REF!,"AAAAAHz3q+U=")</f>
        <v>#REF!</v>
      </c>
      <c r="HW54" t="e">
        <f>AND(#REF!,"AAAAAHz3q+Y=")</f>
        <v>#REF!</v>
      </c>
      <c r="HX54" t="e">
        <f>AND(#REF!,"AAAAAHz3q+c=")</f>
        <v>#REF!</v>
      </c>
      <c r="HY54" t="e">
        <f>AND(#REF!,"AAAAAHz3q+g=")</f>
        <v>#REF!</v>
      </c>
      <c r="HZ54" t="e">
        <f>IF(#REF!,"AAAAAHz3q+k=",0)</f>
        <v>#REF!</v>
      </c>
      <c r="IA54" t="e">
        <f>AND(#REF!,"AAAAAHz3q+o=")</f>
        <v>#REF!</v>
      </c>
      <c r="IB54" t="e">
        <f>AND(#REF!,"AAAAAHz3q+s=")</f>
        <v>#REF!</v>
      </c>
      <c r="IC54" t="e">
        <f>AND(#REF!,"AAAAAHz3q+w=")</f>
        <v>#REF!</v>
      </c>
      <c r="ID54" t="e">
        <f>AND(#REF!,"AAAAAHz3q+0=")</f>
        <v>#REF!</v>
      </c>
      <c r="IE54" t="e">
        <f>AND(#REF!,"AAAAAHz3q+4=")</f>
        <v>#REF!</v>
      </c>
      <c r="IF54" t="e">
        <f>AND(#REF!,"AAAAAHz3q+8=")</f>
        <v>#REF!</v>
      </c>
      <c r="IG54" t="e">
        <f>IF(#REF!,"AAAAAHz3q/A=",0)</f>
        <v>#REF!</v>
      </c>
      <c r="IH54" t="e">
        <f>AND(#REF!,"AAAAAHz3q/E=")</f>
        <v>#REF!</v>
      </c>
      <c r="II54" t="e">
        <f>AND(#REF!,"AAAAAHz3q/I=")</f>
        <v>#REF!</v>
      </c>
      <c r="IJ54" t="e">
        <f>AND(#REF!,"AAAAAHz3q/M=")</f>
        <v>#REF!</v>
      </c>
      <c r="IK54" t="e">
        <f>AND(#REF!,"AAAAAHz3q/Q=")</f>
        <v>#REF!</v>
      </c>
      <c r="IL54" t="e">
        <f>AND(#REF!,"AAAAAHz3q/U=")</f>
        <v>#REF!</v>
      </c>
      <c r="IM54" t="e">
        <f>AND(#REF!,"AAAAAHz3q/Y=")</f>
        <v>#REF!</v>
      </c>
      <c r="IN54" t="e">
        <f>IF(#REF!,"AAAAAHz3q/c=",0)</f>
        <v>#REF!</v>
      </c>
      <c r="IO54" t="e">
        <f>AND(#REF!,"AAAAAHz3q/g=")</f>
        <v>#REF!</v>
      </c>
      <c r="IP54" t="e">
        <f>AND(#REF!,"AAAAAHz3q/k=")</f>
        <v>#REF!</v>
      </c>
      <c r="IQ54" t="e">
        <f>AND(#REF!,"AAAAAHz3q/o=")</f>
        <v>#REF!</v>
      </c>
      <c r="IR54" t="e">
        <f>AND(#REF!,"AAAAAHz3q/s=")</f>
        <v>#REF!</v>
      </c>
      <c r="IS54" t="e">
        <f>AND(#REF!,"AAAAAHz3q/w=")</f>
        <v>#REF!</v>
      </c>
      <c r="IT54" t="e">
        <f>AND(#REF!,"AAAAAHz3q/0=")</f>
        <v>#REF!</v>
      </c>
      <c r="IU54" t="e">
        <f>IF(#REF!,"AAAAAHz3q/4=",0)</f>
        <v>#REF!</v>
      </c>
      <c r="IV54" t="e">
        <f>AND(#REF!,"AAAAAHz3q/8=")</f>
        <v>#REF!</v>
      </c>
    </row>
    <row r="55" spans="1:256" x14ac:dyDescent="0.25">
      <c r="A55" t="e">
        <f>AND(#REF!,"AAAAAD/9ewA=")</f>
        <v>#REF!</v>
      </c>
      <c r="B55" t="e">
        <f>AND(#REF!,"AAAAAD/9ewE=")</f>
        <v>#REF!</v>
      </c>
      <c r="C55" t="e">
        <f>AND(#REF!,"AAAAAD/9ewI=")</f>
        <v>#REF!</v>
      </c>
      <c r="D55" t="e">
        <f>AND(#REF!,"AAAAAD/9ewM=")</f>
        <v>#REF!</v>
      </c>
      <c r="E55" t="e">
        <f>AND(#REF!,"AAAAAD/9ewQ=")</f>
        <v>#REF!</v>
      </c>
      <c r="F55" t="e">
        <f>IF(#REF!,"AAAAAD/9ewU=",0)</f>
        <v>#REF!</v>
      </c>
      <c r="G55" t="e">
        <f>AND(#REF!,"AAAAAD/9ewY=")</f>
        <v>#REF!</v>
      </c>
      <c r="H55" t="e">
        <f>AND(#REF!,"AAAAAD/9ewc=")</f>
        <v>#REF!</v>
      </c>
      <c r="I55" t="e">
        <f>AND(#REF!,"AAAAAD/9ewg=")</f>
        <v>#REF!</v>
      </c>
      <c r="J55" t="e">
        <f>AND(#REF!,"AAAAAD/9ewk=")</f>
        <v>#REF!</v>
      </c>
      <c r="K55" t="e">
        <f>AND(#REF!,"AAAAAD/9ewo=")</f>
        <v>#REF!</v>
      </c>
      <c r="L55" t="e">
        <f>AND(#REF!,"AAAAAD/9ews=")</f>
        <v>#REF!</v>
      </c>
      <c r="M55" t="e">
        <f>IF(#REF!,"AAAAAD/9eww=",0)</f>
        <v>#REF!</v>
      </c>
      <c r="N55" t="e">
        <f>AND(#REF!,"AAAAAD/9ew0=")</f>
        <v>#REF!</v>
      </c>
      <c r="O55" t="e">
        <f>AND(#REF!,"AAAAAD/9ew4=")</f>
        <v>#REF!</v>
      </c>
      <c r="P55" t="e">
        <f>AND(#REF!,"AAAAAD/9ew8=")</f>
        <v>#REF!</v>
      </c>
      <c r="Q55" t="e">
        <f>AND(#REF!,"AAAAAD/9exA=")</f>
        <v>#REF!</v>
      </c>
      <c r="R55" t="e">
        <f>AND(#REF!,"AAAAAD/9exE=")</f>
        <v>#REF!</v>
      </c>
      <c r="S55" t="e">
        <f>AND(#REF!,"AAAAAD/9exI=")</f>
        <v>#REF!</v>
      </c>
      <c r="T55" t="e">
        <f>IF(#REF!,"AAAAAD/9exM=",0)</f>
        <v>#REF!</v>
      </c>
      <c r="U55" t="e">
        <f>AND(#REF!,"AAAAAD/9exQ=")</f>
        <v>#REF!</v>
      </c>
      <c r="V55" t="e">
        <f>AND(#REF!,"AAAAAD/9exU=")</f>
        <v>#REF!</v>
      </c>
      <c r="W55" t="e">
        <f>AND(#REF!,"AAAAAD/9exY=")</f>
        <v>#REF!</v>
      </c>
      <c r="X55" t="e">
        <f>AND(#REF!,"AAAAAD/9exc=")</f>
        <v>#REF!</v>
      </c>
      <c r="Y55" t="e">
        <f>AND(#REF!,"AAAAAD/9exg=")</f>
        <v>#REF!</v>
      </c>
      <c r="Z55" t="e">
        <f>AND(#REF!,"AAAAAD/9exk=")</f>
        <v>#REF!</v>
      </c>
      <c r="AA55" t="e">
        <f>IF(#REF!,"AAAAAD/9exo=",0)</f>
        <v>#REF!</v>
      </c>
      <c r="AB55" t="e">
        <f>AND(#REF!,"AAAAAD/9exs=")</f>
        <v>#REF!</v>
      </c>
      <c r="AC55" t="e">
        <f>AND(#REF!,"AAAAAD/9exw=")</f>
        <v>#REF!</v>
      </c>
      <c r="AD55" t="e">
        <f>AND(#REF!,"AAAAAD/9ex0=")</f>
        <v>#REF!</v>
      </c>
      <c r="AE55" t="e">
        <f>AND(#REF!,"AAAAAD/9ex4=")</f>
        <v>#REF!</v>
      </c>
      <c r="AF55" t="e">
        <f>AND(#REF!,"AAAAAD/9ex8=")</f>
        <v>#REF!</v>
      </c>
      <c r="AG55" t="e">
        <f>AND(#REF!,"AAAAAD/9eyA=")</f>
        <v>#REF!</v>
      </c>
      <c r="AH55" t="e">
        <f>IF(#REF!,"AAAAAD/9eyE=",0)</f>
        <v>#REF!</v>
      </c>
      <c r="AI55" t="e">
        <f>AND(#REF!,"AAAAAD/9eyI=")</f>
        <v>#REF!</v>
      </c>
      <c r="AJ55" t="e">
        <f>AND(#REF!,"AAAAAD/9eyM=")</f>
        <v>#REF!</v>
      </c>
      <c r="AK55" t="e">
        <f>AND(#REF!,"AAAAAD/9eyQ=")</f>
        <v>#REF!</v>
      </c>
      <c r="AL55" t="e">
        <f>AND(#REF!,"AAAAAD/9eyU=")</f>
        <v>#REF!</v>
      </c>
      <c r="AM55" t="e">
        <f>AND(#REF!,"AAAAAD/9eyY=")</f>
        <v>#REF!</v>
      </c>
      <c r="AN55" t="e">
        <f>AND(#REF!,"AAAAAD/9eyc=")</f>
        <v>#REF!</v>
      </c>
      <c r="AO55" t="e">
        <f>IF(#REF!,"AAAAAD/9eyg=",0)</f>
        <v>#REF!</v>
      </c>
      <c r="AP55" t="e">
        <f>AND(#REF!,"AAAAAD/9eyk=")</f>
        <v>#REF!</v>
      </c>
      <c r="AQ55" t="e">
        <f>AND(#REF!,"AAAAAD/9eyo=")</f>
        <v>#REF!</v>
      </c>
      <c r="AR55" t="e">
        <f>AND(#REF!,"AAAAAD/9eys=")</f>
        <v>#REF!</v>
      </c>
      <c r="AS55" t="e">
        <f>AND(#REF!,"AAAAAD/9eyw=")</f>
        <v>#REF!</v>
      </c>
      <c r="AT55" t="e">
        <f>AND(#REF!,"AAAAAD/9ey0=")</f>
        <v>#REF!</v>
      </c>
      <c r="AU55" t="e">
        <f>AND(#REF!,"AAAAAD/9ey4=")</f>
        <v>#REF!</v>
      </c>
      <c r="AV55" t="e">
        <f>IF(#REF!,"AAAAAD/9ey8=",0)</f>
        <v>#REF!</v>
      </c>
      <c r="AW55" t="e">
        <f>AND(#REF!,"AAAAAD/9ezA=")</f>
        <v>#REF!</v>
      </c>
      <c r="AX55" t="e">
        <f>AND(#REF!,"AAAAAD/9ezE=")</f>
        <v>#REF!</v>
      </c>
      <c r="AY55" t="e">
        <f>AND(#REF!,"AAAAAD/9ezI=")</f>
        <v>#REF!</v>
      </c>
      <c r="AZ55" t="e">
        <f>AND(#REF!,"AAAAAD/9ezM=")</f>
        <v>#REF!</v>
      </c>
      <c r="BA55" t="e">
        <f>AND(#REF!,"AAAAAD/9ezQ=")</f>
        <v>#REF!</v>
      </c>
      <c r="BB55" t="e">
        <f>AND(#REF!,"AAAAAD/9ezU=")</f>
        <v>#REF!</v>
      </c>
      <c r="BC55" t="e">
        <f>IF(#REF!,"AAAAAD/9ezY=",0)</f>
        <v>#REF!</v>
      </c>
      <c r="BD55" t="e">
        <f>AND(#REF!,"AAAAAD/9ezc=")</f>
        <v>#REF!</v>
      </c>
      <c r="BE55" t="e">
        <f>AND(#REF!,"AAAAAD/9ezg=")</f>
        <v>#REF!</v>
      </c>
      <c r="BF55" t="e">
        <f>AND(#REF!,"AAAAAD/9ezk=")</f>
        <v>#REF!</v>
      </c>
      <c r="BG55" t="e">
        <f>AND(#REF!,"AAAAAD/9ezo=")</f>
        <v>#REF!</v>
      </c>
      <c r="BH55" t="e">
        <f>AND(#REF!,"AAAAAD/9ezs=")</f>
        <v>#REF!</v>
      </c>
      <c r="BI55" t="e">
        <f>AND(#REF!,"AAAAAD/9ezw=")</f>
        <v>#REF!</v>
      </c>
      <c r="BJ55" t="e">
        <f>IF(#REF!,"AAAAAD/9ez0=",0)</f>
        <v>#REF!</v>
      </c>
      <c r="BK55" t="e">
        <f>AND(#REF!,"AAAAAD/9ez4=")</f>
        <v>#REF!</v>
      </c>
      <c r="BL55" t="e">
        <f>AND(#REF!,"AAAAAD/9ez8=")</f>
        <v>#REF!</v>
      </c>
      <c r="BM55" t="e">
        <f>AND(#REF!,"AAAAAD/9e0A=")</f>
        <v>#REF!</v>
      </c>
      <c r="BN55" t="e">
        <f>AND(#REF!,"AAAAAD/9e0E=")</f>
        <v>#REF!</v>
      </c>
      <c r="BO55" t="e">
        <f>AND(#REF!,"AAAAAD/9e0I=")</f>
        <v>#REF!</v>
      </c>
      <c r="BP55" t="e">
        <f>AND(#REF!,"AAAAAD/9e0M=")</f>
        <v>#REF!</v>
      </c>
      <c r="BQ55" t="e">
        <f>IF(#REF!,"AAAAAD/9e0Q=",0)</f>
        <v>#REF!</v>
      </c>
      <c r="BR55" t="e">
        <f>AND(#REF!,"AAAAAD/9e0U=")</f>
        <v>#REF!</v>
      </c>
      <c r="BS55" t="e">
        <f>AND(#REF!,"AAAAAD/9e0Y=")</f>
        <v>#REF!</v>
      </c>
      <c r="BT55" t="e">
        <f>AND(#REF!,"AAAAAD/9e0c=")</f>
        <v>#REF!</v>
      </c>
      <c r="BU55" t="e">
        <f>AND(#REF!,"AAAAAD/9e0g=")</f>
        <v>#REF!</v>
      </c>
      <c r="BV55" t="e">
        <f>AND(#REF!,"AAAAAD/9e0k=")</f>
        <v>#REF!</v>
      </c>
      <c r="BW55" t="e">
        <f>AND(#REF!,"AAAAAD/9e0o=")</f>
        <v>#REF!</v>
      </c>
      <c r="BX55" t="e">
        <f>IF(#REF!,"AAAAAD/9e0s=",0)</f>
        <v>#REF!</v>
      </c>
      <c r="BY55" t="e">
        <f>AND(#REF!,"AAAAAD/9e0w=")</f>
        <v>#REF!</v>
      </c>
      <c r="BZ55" t="e">
        <f>AND(#REF!,"AAAAAD/9e00=")</f>
        <v>#REF!</v>
      </c>
      <c r="CA55" t="e">
        <f>AND(#REF!,"AAAAAD/9e04=")</f>
        <v>#REF!</v>
      </c>
      <c r="CB55" t="e">
        <f>AND(#REF!,"AAAAAD/9e08=")</f>
        <v>#REF!</v>
      </c>
      <c r="CC55" t="e">
        <f>AND(#REF!,"AAAAAD/9e1A=")</f>
        <v>#REF!</v>
      </c>
      <c r="CD55" t="e">
        <f>AND(#REF!,"AAAAAD/9e1E=")</f>
        <v>#REF!</v>
      </c>
      <c r="CE55" t="e">
        <f>IF(#REF!,"AAAAAD/9e1I=",0)</f>
        <v>#REF!</v>
      </c>
      <c r="CF55" t="e">
        <f>AND(#REF!,"AAAAAD/9e1M=")</f>
        <v>#REF!</v>
      </c>
      <c r="CG55" t="e">
        <f>AND(#REF!,"AAAAAD/9e1Q=")</f>
        <v>#REF!</v>
      </c>
      <c r="CH55" t="e">
        <f>AND(#REF!,"AAAAAD/9e1U=")</f>
        <v>#REF!</v>
      </c>
      <c r="CI55" t="e">
        <f>AND(#REF!,"AAAAAD/9e1Y=")</f>
        <v>#REF!</v>
      </c>
      <c r="CJ55" t="e">
        <f>AND(#REF!,"AAAAAD/9e1c=")</f>
        <v>#REF!</v>
      </c>
      <c r="CK55" t="e">
        <f>AND(#REF!,"AAAAAD/9e1g=")</f>
        <v>#REF!</v>
      </c>
      <c r="CL55" t="e">
        <f>IF(#REF!,"AAAAAD/9e1k=",0)</f>
        <v>#REF!</v>
      </c>
      <c r="CM55" t="e">
        <f>AND(#REF!,"AAAAAD/9e1o=")</f>
        <v>#REF!</v>
      </c>
      <c r="CN55" t="e">
        <f>AND(#REF!,"AAAAAD/9e1s=")</f>
        <v>#REF!</v>
      </c>
      <c r="CO55" t="e">
        <f>AND(#REF!,"AAAAAD/9e1w=")</f>
        <v>#REF!</v>
      </c>
      <c r="CP55" t="e">
        <f>AND(#REF!,"AAAAAD/9e10=")</f>
        <v>#REF!</v>
      </c>
      <c r="CQ55" t="e">
        <f>AND(#REF!,"AAAAAD/9e14=")</f>
        <v>#REF!</v>
      </c>
      <c r="CR55" t="e">
        <f>AND(#REF!,"AAAAAD/9e18=")</f>
        <v>#REF!</v>
      </c>
      <c r="CS55" t="e">
        <f>IF(#REF!,"AAAAAD/9e2A=",0)</f>
        <v>#REF!</v>
      </c>
      <c r="CT55" t="e">
        <f>AND(#REF!,"AAAAAD/9e2E=")</f>
        <v>#REF!</v>
      </c>
      <c r="CU55" t="e">
        <f>AND(#REF!,"AAAAAD/9e2I=")</f>
        <v>#REF!</v>
      </c>
      <c r="CV55" t="e">
        <f>AND(#REF!,"AAAAAD/9e2M=")</f>
        <v>#REF!</v>
      </c>
      <c r="CW55" t="e">
        <f>AND(#REF!,"AAAAAD/9e2Q=")</f>
        <v>#REF!</v>
      </c>
      <c r="CX55" t="e">
        <f>AND(#REF!,"AAAAAD/9e2U=")</f>
        <v>#REF!</v>
      </c>
      <c r="CY55" t="e">
        <f>AND(#REF!,"AAAAAD/9e2Y=")</f>
        <v>#REF!</v>
      </c>
      <c r="CZ55" t="e">
        <f>IF(#REF!,"AAAAAD/9e2c=",0)</f>
        <v>#REF!</v>
      </c>
      <c r="DA55" t="e">
        <f>AND(#REF!,"AAAAAD/9e2g=")</f>
        <v>#REF!</v>
      </c>
      <c r="DB55" t="e">
        <f>AND(#REF!,"AAAAAD/9e2k=")</f>
        <v>#REF!</v>
      </c>
      <c r="DC55" t="e">
        <f>AND(#REF!,"AAAAAD/9e2o=")</f>
        <v>#REF!</v>
      </c>
      <c r="DD55" t="e">
        <f>AND(#REF!,"AAAAAD/9e2s=")</f>
        <v>#REF!</v>
      </c>
      <c r="DE55" t="e">
        <f>AND(#REF!,"AAAAAD/9e2w=")</f>
        <v>#REF!</v>
      </c>
      <c r="DF55" t="e">
        <f>AND(#REF!,"AAAAAD/9e20=")</f>
        <v>#REF!</v>
      </c>
      <c r="DG55" t="e">
        <f>IF(#REF!,"AAAAAD/9e24=",0)</f>
        <v>#REF!</v>
      </c>
      <c r="DH55" t="e">
        <f>AND(#REF!,"AAAAAD/9e28=")</f>
        <v>#REF!</v>
      </c>
      <c r="DI55" t="e">
        <f>AND(#REF!,"AAAAAD/9e3A=")</f>
        <v>#REF!</v>
      </c>
      <c r="DJ55" t="e">
        <f>AND(#REF!,"AAAAAD/9e3E=")</f>
        <v>#REF!</v>
      </c>
      <c r="DK55" t="e">
        <f>AND(#REF!,"AAAAAD/9e3I=")</f>
        <v>#REF!</v>
      </c>
      <c r="DL55" t="e">
        <f>AND(#REF!,"AAAAAD/9e3M=")</f>
        <v>#REF!</v>
      </c>
      <c r="DM55" t="e">
        <f>AND(#REF!,"AAAAAD/9e3Q=")</f>
        <v>#REF!</v>
      </c>
      <c r="DN55" t="e">
        <f>IF(#REF!,"AAAAAD/9e3U=",0)</f>
        <v>#REF!</v>
      </c>
      <c r="DO55" t="e">
        <f>AND(#REF!,"AAAAAD/9e3Y=")</f>
        <v>#REF!</v>
      </c>
      <c r="DP55" t="e">
        <f>AND(#REF!,"AAAAAD/9e3c=")</f>
        <v>#REF!</v>
      </c>
      <c r="DQ55" t="e">
        <f>AND(#REF!,"AAAAAD/9e3g=")</f>
        <v>#REF!</v>
      </c>
      <c r="DR55" t="e">
        <f>AND(#REF!,"AAAAAD/9e3k=")</f>
        <v>#REF!</v>
      </c>
      <c r="DS55" t="e">
        <f>AND(#REF!,"AAAAAD/9e3o=")</f>
        <v>#REF!</v>
      </c>
      <c r="DT55" t="e">
        <f>AND(#REF!,"AAAAAD/9e3s=")</f>
        <v>#REF!</v>
      </c>
      <c r="DU55" t="e">
        <f>IF(#REF!,"AAAAAD/9e3w=",0)</f>
        <v>#REF!</v>
      </c>
      <c r="DV55" t="e">
        <f>AND(#REF!,"AAAAAD/9e30=")</f>
        <v>#REF!</v>
      </c>
      <c r="DW55" t="e">
        <f>AND(#REF!,"AAAAAD/9e34=")</f>
        <v>#REF!</v>
      </c>
      <c r="DX55" t="e">
        <f>AND(#REF!,"AAAAAD/9e38=")</f>
        <v>#REF!</v>
      </c>
      <c r="DY55" t="e">
        <f>AND(#REF!,"AAAAAD/9e4A=")</f>
        <v>#REF!</v>
      </c>
      <c r="DZ55" t="e">
        <f>AND(#REF!,"AAAAAD/9e4E=")</f>
        <v>#REF!</v>
      </c>
      <c r="EA55" t="e">
        <f>AND(#REF!,"AAAAAD/9e4I=")</f>
        <v>#REF!</v>
      </c>
      <c r="EB55" t="e">
        <f>IF(#REF!,"AAAAAD/9e4M=",0)</f>
        <v>#REF!</v>
      </c>
      <c r="EC55" t="e">
        <f>AND(#REF!,"AAAAAD/9e4Q=")</f>
        <v>#REF!</v>
      </c>
      <c r="ED55" t="e">
        <f>AND(#REF!,"AAAAAD/9e4U=")</f>
        <v>#REF!</v>
      </c>
      <c r="EE55" t="e">
        <f>AND(#REF!,"AAAAAD/9e4Y=")</f>
        <v>#REF!</v>
      </c>
      <c r="EF55" t="e">
        <f>AND(#REF!,"AAAAAD/9e4c=")</f>
        <v>#REF!</v>
      </c>
      <c r="EG55" t="e">
        <f>AND(#REF!,"AAAAAD/9e4g=")</f>
        <v>#REF!</v>
      </c>
      <c r="EH55" t="e">
        <f>AND(#REF!,"AAAAAD/9e4k=")</f>
        <v>#REF!</v>
      </c>
      <c r="EI55" t="e">
        <f>IF(#REF!,"AAAAAD/9e4o=",0)</f>
        <v>#REF!</v>
      </c>
      <c r="EJ55" t="e">
        <f>AND(#REF!,"AAAAAD/9e4s=")</f>
        <v>#REF!</v>
      </c>
      <c r="EK55" t="e">
        <f>AND(#REF!,"AAAAAD/9e4w=")</f>
        <v>#REF!</v>
      </c>
      <c r="EL55" t="e">
        <f>AND(#REF!,"AAAAAD/9e40=")</f>
        <v>#REF!</v>
      </c>
      <c r="EM55" t="e">
        <f>AND(#REF!,"AAAAAD/9e44=")</f>
        <v>#REF!</v>
      </c>
      <c r="EN55" t="e">
        <f>AND(#REF!,"AAAAAD/9e48=")</f>
        <v>#REF!</v>
      </c>
      <c r="EO55" t="e">
        <f>AND(#REF!,"AAAAAD/9e5A=")</f>
        <v>#REF!</v>
      </c>
      <c r="EP55" t="e">
        <f>IF(#REF!,"AAAAAD/9e5E=",0)</f>
        <v>#REF!</v>
      </c>
      <c r="EQ55" t="e">
        <f>AND(#REF!,"AAAAAD/9e5I=")</f>
        <v>#REF!</v>
      </c>
      <c r="ER55" t="e">
        <f>AND(#REF!,"AAAAAD/9e5M=")</f>
        <v>#REF!</v>
      </c>
      <c r="ES55" t="e">
        <f>AND(#REF!,"AAAAAD/9e5Q=")</f>
        <v>#REF!</v>
      </c>
      <c r="ET55" t="e">
        <f>AND(#REF!,"AAAAAD/9e5U=")</f>
        <v>#REF!</v>
      </c>
      <c r="EU55" t="e">
        <f>AND(#REF!,"AAAAAD/9e5Y=")</f>
        <v>#REF!</v>
      </c>
      <c r="EV55" t="e">
        <f>AND(#REF!,"AAAAAD/9e5c=")</f>
        <v>#REF!</v>
      </c>
      <c r="EW55" t="e">
        <f>IF(#REF!,"AAAAAD/9e5g=",0)</f>
        <v>#REF!</v>
      </c>
      <c r="EX55" t="e">
        <f>AND(#REF!,"AAAAAD/9e5k=")</f>
        <v>#REF!</v>
      </c>
      <c r="EY55" t="e">
        <f>AND(#REF!,"AAAAAD/9e5o=")</f>
        <v>#REF!</v>
      </c>
      <c r="EZ55" t="e">
        <f>AND(#REF!,"AAAAAD/9e5s=")</f>
        <v>#REF!</v>
      </c>
      <c r="FA55" t="e">
        <f>AND(#REF!,"AAAAAD/9e5w=")</f>
        <v>#REF!</v>
      </c>
      <c r="FB55" t="e">
        <f>AND(#REF!,"AAAAAD/9e50=")</f>
        <v>#REF!</v>
      </c>
      <c r="FC55" t="e">
        <f>AND(#REF!,"AAAAAD/9e54=")</f>
        <v>#REF!</v>
      </c>
      <c r="FD55" t="e">
        <f>IF(#REF!,"AAAAAD/9e58=",0)</f>
        <v>#REF!</v>
      </c>
      <c r="FE55" t="e">
        <f>AND(#REF!,"AAAAAD/9e6A=")</f>
        <v>#REF!</v>
      </c>
      <c r="FF55" t="e">
        <f>AND(#REF!,"AAAAAD/9e6E=")</f>
        <v>#REF!</v>
      </c>
      <c r="FG55" t="e">
        <f>AND(#REF!,"AAAAAD/9e6I=")</f>
        <v>#REF!</v>
      </c>
      <c r="FH55" t="e">
        <f>AND(#REF!,"AAAAAD/9e6M=")</f>
        <v>#REF!</v>
      </c>
      <c r="FI55" t="e">
        <f>AND(#REF!,"AAAAAD/9e6Q=")</f>
        <v>#REF!</v>
      </c>
      <c r="FJ55" t="e">
        <f>AND(#REF!,"AAAAAD/9e6U=")</f>
        <v>#REF!</v>
      </c>
      <c r="FK55" t="e">
        <f>IF(#REF!,"AAAAAD/9e6Y=",0)</f>
        <v>#REF!</v>
      </c>
      <c r="FL55" t="e">
        <f>AND(#REF!,"AAAAAD/9e6c=")</f>
        <v>#REF!</v>
      </c>
      <c r="FM55" t="e">
        <f>AND(#REF!,"AAAAAD/9e6g=")</f>
        <v>#REF!</v>
      </c>
      <c r="FN55" t="e">
        <f>AND(#REF!,"AAAAAD/9e6k=")</f>
        <v>#REF!</v>
      </c>
      <c r="FO55" t="e">
        <f>AND(#REF!,"AAAAAD/9e6o=")</f>
        <v>#REF!</v>
      </c>
      <c r="FP55" t="e">
        <f>AND(#REF!,"AAAAAD/9e6s=")</f>
        <v>#REF!</v>
      </c>
      <c r="FQ55" t="e">
        <f>AND(#REF!,"AAAAAD/9e6w=")</f>
        <v>#REF!</v>
      </c>
      <c r="FR55" t="e">
        <f>IF(#REF!,"AAAAAD/9e60=",0)</f>
        <v>#REF!</v>
      </c>
      <c r="FS55" t="e">
        <f>AND(#REF!,"AAAAAD/9e64=")</f>
        <v>#REF!</v>
      </c>
      <c r="FT55" t="e">
        <f>AND(#REF!,"AAAAAD/9e68=")</f>
        <v>#REF!</v>
      </c>
      <c r="FU55" t="e">
        <f>AND(#REF!,"AAAAAD/9e7A=")</f>
        <v>#REF!</v>
      </c>
      <c r="FV55" t="e">
        <f>AND(#REF!,"AAAAAD/9e7E=")</f>
        <v>#REF!</v>
      </c>
      <c r="FW55" t="e">
        <f>AND(#REF!,"AAAAAD/9e7I=")</f>
        <v>#REF!</v>
      </c>
      <c r="FX55" t="e">
        <f>AND(#REF!,"AAAAAD/9e7M=")</f>
        <v>#REF!</v>
      </c>
      <c r="FY55" t="e">
        <f>IF(#REF!,"AAAAAD/9e7Q=",0)</f>
        <v>#REF!</v>
      </c>
      <c r="FZ55" t="e">
        <f>AND(#REF!,"AAAAAD/9e7U=")</f>
        <v>#REF!</v>
      </c>
      <c r="GA55" t="e">
        <f>AND(#REF!,"AAAAAD/9e7Y=")</f>
        <v>#REF!</v>
      </c>
      <c r="GB55" t="e">
        <f>AND(#REF!,"AAAAAD/9e7c=")</f>
        <v>#REF!</v>
      </c>
      <c r="GC55" t="e">
        <f>AND(#REF!,"AAAAAD/9e7g=")</f>
        <v>#REF!</v>
      </c>
      <c r="GD55" t="e">
        <f>AND(#REF!,"AAAAAD/9e7k=")</f>
        <v>#REF!</v>
      </c>
      <c r="GE55" t="e">
        <f>AND(#REF!,"AAAAAD/9e7o=")</f>
        <v>#REF!</v>
      </c>
      <c r="GF55" t="e">
        <f>IF(#REF!,"AAAAAD/9e7s=",0)</f>
        <v>#REF!</v>
      </c>
      <c r="GG55" t="e">
        <f>AND(#REF!,"AAAAAD/9e7w=")</f>
        <v>#REF!</v>
      </c>
      <c r="GH55" t="e">
        <f>AND(#REF!,"AAAAAD/9e70=")</f>
        <v>#REF!</v>
      </c>
      <c r="GI55" t="e">
        <f>AND(#REF!,"AAAAAD/9e74=")</f>
        <v>#REF!</v>
      </c>
      <c r="GJ55" t="e">
        <f>AND(#REF!,"AAAAAD/9e78=")</f>
        <v>#REF!</v>
      </c>
      <c r="GK55" t="e">
        <f>AND(#REF!,"AAAAAD/9e8A=")</f>
        <v>#REF!</v>
      </c>
      <c r="GL55" t="e">
        <f>AND(#REF!,"AAAAAD/9e8E=")</f>
        <v>#REF!</v>
      </c>
      <c r="GM55" t="e">
        <f>IF(#REF!,"AAAAAD/9e8I=",0)</f>
        <v>#REF!</v>
      </c>
      <c r="GN55" t="e">
        <f>AND(#REF!,"AAAAAD/9e8M=")</f>
        <v>#REF!</v>
      </c>
      <c r="GO55" t="e">
        <f>AND(#REF!,"AAAAAD/9e8Q=")</f>
        <v>#REF!</v>
      </c>
      <c r="GP55" t="e">
        <f>AND(#REF!,"AAAAAD/9e8U=")</f>
        <v>#REF!</v>
      </c>
      <c r="GQ55" t="e">
        <f>AND(#REF!,"AAAAAD/9e8Y=")</f>
        <v>#REF!</v>
      </c>
      <c r="GR55" t="e">
        <f>AND(#REF!,"AAAAAD/9e8c=")</f>
        <v>#REF!</v>
      </c>
      <c r="GS55" t="e">
        <f>AND(#REF!,"AAAAAD/9e8g=")</f>
        <v>#REF!</v>
      </c>
      <c r="GT55" t="e">
        <f>IF(#REF!,"AAAAAD/9e8k=",0)</f>
        <v>#REF!</v>
      </c>
      <c r="GU55" t="e">
        <f>AND(#REF!,"AAAAAD/9e8o=")</f>
        <v>#REF!</v>
      </c>
      <c r="GV55" t="e">
        <f>AND(#REF!,"AAAAAD/9e8s=")</f>
        <v>#REF!</v>
      </c>
      <c r="GW55" t="e">
        <f>AND(#REF!,"AAAAAD/9e8w=")</f>
        <v>#REF!</v>
      </c>
      <c r="GX55" t="e">
        <f>AND(#REF!,"AAAAAD/9e80=")</f>
        <v>#REF!</v>
      </c>
      <c r="GY55" t="e">
        <f>AND(#REF!,"AAAAAD/9e84=")</f>
        <v>#REF!</v>
      </c>
      <c r="GZ55" t="e">
        <f>AND(#REF!,"AAAAAD/9e88=")</f>
        <v>#REF!</v>
      </c>
      <c r="HA55" t="e">
        <f>IF(#REF!,"AAAAAD/9e9A=",0)</f>
        <v>#REF!</v>
      </c>
      <c r="HB55" t="e">
        <f>AND(#REF!,"AAAAAD/9e9E=")</f>
        <v>#REF!</v>
      </c>
      <c r="HC55" t="e">
        <f>AND(#REF!,"AAAAAD/9e9I=")</f>
        <v>#REF!</v>
      </c>
      <c r="HD55" t="e">
        <f>AND(#REF!,"AAAAAD/9e9M=")</f>
        <v>#REF!</v>
      </c>
      <c r="HE55" t="e">
        <f>AND(#REF!,"AAAAAD/9e9Q=")</f>
        <v>#REF!</v>
      </c>
      <c r="HF55" t="e">
        <f>AND(#REF!,"AAAAAD/9e9U=")</f>
        <v>#REF!</v>
      </c>
      <c r="HG55" t="e">
        <f>AND(#REF!,"AAAAAD/9e9Y=")</f>
        <v>#REF!</v>
      </c>
      <c r="HH55" t="e">
        <f>IF(#REF!,"AAAAAD/9e9c=",0)</f>
        <v>#REF!</v>
      </c>
      <c r="HI55" t="e">
        <f>AND(#REF!,"AAAAAD/9e9g=")</f>
        <v>#REF!</v>
      </c>
      <c r="HJ55" t="e">
        <f>AND(#REF!,"AAAAAD/9e9k=")</f>
        <v>#REF!</v>
      </c>
      <c r="HK55" t="e">
        <f>AND(#REF!,"AAAAAD/9e9o=")</f>
        <v>#REF!</v>
      </c>
      <c r="HL55" t="e">
        <f>AND(#REF!,"AAAAAD/9e9s=")</f>
        <v>#REF!</v>
      </c>
      <c r="HM55" t="e">
        <f>AND(#REF!,"AAAAAD/9e9w=")</f>
        <v>#REF!</v>
      </c>
      <c r="HN55" t="e">
        <f>AND(#REF!,"AAAAAD/9e90=")</f>
        <v>#REF!</v>
      </c>
      <c r="HO55" t="e">
        <f>IF(#REF!,"AAAAAD/9e94=",0)</f>
        <v>#REF!</v>
      </c>
      <c r="HP55" t="e">
        <f>AND(#REF!,"AAAAAD/9e98=")</f>
        <v>#REF!</v>
      </c>
      <c r="HQ55" t="e">
        <f>AND(#REF!,"AAAAAD/9e+A=")</f>
        <v>#REF!</v>
      </c>
      <c r="HR55" t="e">
        <f>AND(#REF!,"AAAAAD/9e+E=")</f>
        <v>#REF!</v>
      </c>
      <c r="HS55" t="e">
        <f>AND(#REF!,"AAAAAD/9e+I=")</f>
        <v>#REF!</v>
      </c>
      <c r="HT55" t="e">
        <f>AND(#REF!,"AAAAAD/9e+M=")</f>
        <v>#REF!</v>
      </c>
      <c r="HU55" t="e">
        <f>AND(#REF!,"AAAAAD/9e+Q=")</f>
        <v>#REF!</v>
      </c>
      <c r="HV55" t="e">
        <f>IF(#REF!,"AAAAAD/9e+U=",0)</f>
        <v>#REF!</v>
      </c>
      <c r="HW55" t="e">
        <f>AND(#REF!,"AAAAAD/9e+Y=")</f>
        <v>#REF!</v>
      </c>
      <c r="HX55" t="e">
        <f>AND(#REF!,"AAAAAD/9e+c=")</f>
        <v>#REF!</v>
      </c>
      <c r="HY55" t="e">
        <f>AND(#REF!,"AAAAAD/9e+g=")</f>
        <v>#REF!</v>
      </c>
      <c r="HZ55" t="e">
        <f>AND(#REF!,"AAAAAD/9e+k=")</f>
        <v>#REF!</v>
      </c>
      <c r="IA55" t="e">
        <f>AND(#REF!,"AAAAAD/9e+o=")</f>
        <v>#REF!</v>
      </c>
      <c r="IB55" t="e">
        <f>AND(#REF!,"AAAAAD/9e+s=")</f>
        <v>#REF!</v>
      </c>
      <c r="IC55" t="e">
        <f>IF(#REF!,"AAAAAD/9e+w=",0)</f>
        <v>#REF!</v>
      </c>
      <c r="ID55" t="e">
        <f>AND(#REF!,"AAAAAD/9e+0=")</f>
        <v>#REF!</v>
      </c>
      <c r="IE55" t="e">
        <f>AND(#REF!,"AAAAAD/9e+4=")</f>
        <v>#REF!</v>
      </c>
      <c r="IF55" t="e">
        <f>AND(#REF!,"AAAAAD/9e+8=")</f>
        <v>#REF!</v>
      </c>
      <c r="IG55" t="e">
        <f>AND(#REF!,"AAAAAD/9e/A=")</f>
        <v>#REF!</v>
      </c>
      <c r="IH55" t="e">
        <f>AND(#REF!,"AAAAAD/9e/E=")</f>
        <v>#REF!</v>
      </c>
      <c r="II55" t="e">
        <f>AND(#REF!,"AAAAAD/9e/I=")</f>
        <v>#REF!</v>
      </c>
      <c r="IJ55" t="e">
        <f>IF(#REF!,"AAAAAD/9e/M=",0)</f>
        <v>#REF!</v>
      </c>
      <c r="IK55" t="e">
        <f>AND(#REF!,"AAAAAD/9e/Q=")</f>
        <v>#REF!</v>
      </c>
      <c r="IL55" t="e">
        <f>AND(#REF!,"AAAAAD/9e/U=")</f>
        <v>#REF!</v>
      </c>
      <c r="IM55" t="e">
        <f>AND(#REF!,"AAAAAD/9e/Y=")</f>
        <v>#REF!</v>
      </c>
      <c r="IN55" t="e">
        <f>AND(#REF!,"AAAAAD/9e/c=")</f>
        <v>#REF!</v>
      </c>
      <c r="IO55" t="e">
        <f>AND(#REF!,"AAAAAD/9e/g=")</f>
        <v>#REF!</v>
      </c>
      <c r="IP55" t="e">
        <f>AND(#REF!,"AAAAAD/9e/k=")</f>
        <v>#REF!</v>
      </c>
      <c r="IQ55" t="e">
        <f>IF(#REF!,"AAAAAD/9e/o=",0)</f>
        <v>#REF!</v>
      </c>
      <c r="IR55" t="e">
        <f>AND(#REF!,"AAAAAD/9e/s=")</f>
        <v>#REF!</v>
      </c>
      <c r="IS55" t="e">
        <f>AND(#REF!,"AAAAAD/9e/w=")</f>
        <v>#REF!</v>
      </c>
      <c r="IT55" t="e">
        <f>AND(#REF!,"AAAAAD/9e/0=")</f>
        <v>#REF!</v>
      </c>
      <c r="IU55" t="e">
        <f>AND(#REF!,"AAAAAD/9e/4=")</f>
        <v>#REF!</v>
      </c>
      <c r="IV55" t="e">
        <f>AND(#REF!,"AAAAAD/9e/8=")</f>
        <v>#REF!</v>
      </c>
    </row>
    <row r="56" spans="1:256" x14ac:dyDescent="0.25">
      <c r="A56" t="e">
        <f>AND(#REF!,"AAAAAG//+wA=")</f>
        <v>#REF!</v>
      </c>
      <c r="B56" t="e">
        <f>IF(#REF!,"AAAAAG//+wE=",0)</f>
        <v>#REF!</v>
      </c>
      <c r="C56" t="e">
        <f>AND(#REF!,"AAAAAG//+wI=")</f>
        <v>#REF!</v>
      </c>
      <c r="D56" t="e">
        <f>AND(#REF!,"AAAAAG//+wM=")</f>
        <v>#REF!</v>
      </c>
      <c r="E56" t="e">
        <f>AND(#REF!,"AAAAAG//+wQ=")</f>
        <v>#REF!</v>
      </c>
      <c r="F56" t="e">
        <f>AND(#REF!,"AAAAAG//+wU=")</f>
        <v>#REF!</v>
      </c>
      <c r="G56" t="e">
        <f>AND(#REF!,"AAAAAG//+wY=")</f>
        <v>#REF!</v>
      </c>
      <c r="H56" t="e">
        <f>AND(#REF!,"AAAAAG//+wc=")</f>
        <v>#REF!</v>
      </c>
      <c r="I56" t="e">
        <f>IF(#REF!,"AAAAAG//+wg=",0)</f>
        <v>#REF!</v>
      </c>
      <c r="J56" t="e">
        <f>AND(#REF!,"AAAAAG//+wk=")</f>
        <v>#REF!</v>
      </c>
      <c r="K56" t="e">
        <f>AND(#REF!,"AAAAAG//+wo=")</f>
        <v>#REF!</v>
      </c>
      <c r="L56" t="e">
        <f>AND(#REF!,"AAAAAG//+ws=")</f>
        <v>#REF!</v>
      </c>
      <c r="M56" t="e">
        <f>AND(#REF!,"AAAAAG//+ww=")</f>
        <v>#REF!</v>
      </c>
      <c r="N56" t="e">
        <f>AND(#REF!,"AAAAAG//+w0=")</f>
        <v>#REF!</v>
      </c>
      <c r="O56" t="e">
        <f>AND(#REF!,"AAAAAG//+w4=")</f>
        <v>#REF!</v>
      </c>
      <c r="P56" t="e">
        <f>IF(#REF!,"AAAAAG//+w8=",0)</f>
        <v>#REF!</v>
      </c>
      <c r="Q56" t="e">
        <f>AND(#REF!,"AAAAAG//+xA=")</f>
        <v>#REF!</v>
      </c>
      <c r="R56" t="e">
        <f>AND(#REF!,"AAAAAG//+xE=")</f>
        <v>#REF!</v>
      </c>
      <c r="S56" t="e">
        <f>AND(#REF!,"AAAAAG//+xI=")</f>
        <v>#REF!</v>
      </c>
      <c r="T56" t="e">
        <f>AND(#REF!,"AAAAAG//+xM=")</f>
        <v>#REF!</v>
      </c>
      <c r="U56" t="e">
        <f>AND(#REF!,"AAAAAG//+xQ=")</f>
        <v>#REF!</v>
      </c>
      <c r="V56" t="e">
        <f>AND(#REF!,"AAAAAG//+xU=")</f>
        <v>#REF!</v>
      </c>
      <c r="W56" t="e">
        <f>IF(#REF!,"AAAAAG//+xY=",0)</f>
        <v>#REF!</v>
      </c>
      <c r="X56" t="e">
        <f>AND(#REF!,"AAAAAG//+xc=")</f>
        <v>#REF!</v>
      </c>
      <c r="Y56" t="e">
        <f>AND(#REF!,"AAAAAG//+xg=")</f>
        <v>#REF!</v>
      </c>
      <c r="Z56" t="e">
        <f>AND(#REF!,"AAAAAG//+xk=")</f>
        <v>#REF!</v>
      </c>
      <c r="AA56" t="e">
        <f>AND(#REF!,"AAAAAG//+xo=")</f>
        <v>#REF!</v>
      </c>
      <c r="AB56" t="e">
        <f>AND(#REF!,"AAAAAG//+xs=")</f>
        <v>#REF!</v>
      </c>
      <c r="AC56" t="e">
        <f>AND(#REF!,"AAAAAG//+xw=")</f>
        <v>#REF!</v>
      </c>
      <c r="AD56" t="e">
        <f>IF(#REF!,"AAAAAG//+x0=",0)</f>
        <v>#REF!</v>
      </c>
      <c r="AE56" t="e">
        <f>AND(#REF!,"AAAAAG//+x4=")</f>
        <v>#REF!</v>
      </c>
      <c r="AF56" t="e">
        <f>AND(#REF!,"AAAAAG//+x8=")</f>
        <v>#REF!</v>
      </c>
      <c r="AG56" t="e">
        <f>AND(#REF!,"AAAAAG//+yA=")</f>
        <v>#REF!</v>
      </c>
      <c r="AH56" t="e">
        <f>AND(#REF!,"AAAAAG//+yE=")</f>
        <v>#REF!</v>
      </c>
      <c r="AI56" t="e">
        <f>AND(#REF!,"AAAAAG//+yI=")</f>
        <v>#REF!</v>
      </c>
      <c r="AJ56" t="e">
        <f>AND(#REF!,"AAAAAG//+yM=")</f>
        <v>#REF!</v>
      </c>
      <c r="AK56" t="e">
        <f>IF(#REF!,"AAAAAG//+yQ=",0)</f>
        <v>#REF!</v>
      </c>
      <c r="AL56" t="e">
        <f>AND(#REF!,"AAAAAG//+yU=")</f>
        <v>#REF!</v>
      </c>
      <c r="AM56" t="e">
        <f>AND(#REF!,"AAAAAG//+yY=")</f>
        <v>#REF!</v>
      </c>
      <c r="AN56" t="e">
        <f>AND(#REF!,"AAAAAG//+yc=")</f>
        <v>#REF!</v>
      </c>
      <c r="AO56" t="e">
        <f>AND(#REF!,"AAAAAG//+yg=")</f>
        <v>#REF!</v>
      </c>
      <c r="AP56" t="e">
        <f>AND(#REF!,"AAAAAG//+yk=")</f>
        <v>#REF!</v>
      </c>
      <c r="AQ56" t="e">
        <f>AND(#REF!,"AAAAAG//+yo=")</f>
        <v>#REF!</v>
      </c>
      <c r="AR56" t="e">
        <f>IF(#REF!,"AAAAAG//+ys=",0)</f>
        <v>#REF!</v>
      </c>
      <c r="AS56" t="e">
        <f>AND(#REF!,"AAAAAG//+yw=")</f>
        <v>#REF!</v>
      </c>
      <c r="AT56" t="e">
        <f>AND(#REF!,"AAAAAG//+y0=")</f>
        <v>#REF!</v>
      </c>
      <c r="AU56" t="e">
        <f>AND(#REF!,"AAAAAG//+y4=")</f>
        <v>#REF!</v>
      </c>
      <c r="AV56" t="e">
        <f>AND(#REF!,"AAAAAG//+y8=")</f>
        <v>#REF!</v>
      </c>
      <c r="AW56" t="e">
        <f>AND(#REF!,"AAAAAG//+zA=")</f>
        <v>#REF!</v>
      </c>
      <c r="AX56" t="e">
        <f>AND(#REF!,"AAAAAG//+zE=")</f>
        <v>#REF!</v>
      </c>
      <c r="AY56" t="e">
        <f>IF(#REF!,"AAAAAG//+zI=",0)</f>
        <v>#REF!</v>
      </c>
      <c r="AZ56" t="e">
        <f>AND(#REF!,"AAAAAG//+zM=")</f>
        <v>#REF!</v>
      </c>
      <c r="BA56" t="e">
        <f>AND(#REF!,"AAAAAG//+zQ=")</f>
        <v>#REF!</v>
      </c>
      <c r="BB56" t="e">
        <f>AND(#REF!,"AAAAAG//+zU=")</f>
        <v>#REF!</v>
      </c>
      <c r="BC56" t="e">
        <f>AND(#REF!,"AAAAAG//+zY=")</f>
        <v>#REF!</v>
      </c>
      <c r="BD56" t="e">
        <f>AND(#REF!,"AAAAAG//+zc=")</f>
        <v>#REF!</v>
      </c>
      <c r="BE56" t="e">
        <f>AND(#REF!,"AAAAAG//+zg=")</f>
        <v>#REF!</v>
      </c>
      <c r="BF56" t="e">
        <f>IF(#REF!,"AAAAAG//+zk=",0)</f>
        <v>#REF!</v>
      </c>
      <c r="BG56" t="e">
        <f>AND(#REF!,"AAAAAG//+zo=")</f>
        <v>#REF!</v>
      </c>
      <c r="BH56" t="e">
        <f>AND(#REF!,"AAAAAG//+zs=")</f>
        <v>#REF!</v>
      </c>
      <c r="BI56" t="e">
        <f>AND(#REF!,"AAAAAG//+zw=")</f>
        <v>#REF!</v>
      </c>
      <c r="BJ56" t="e">
        <f>AND(#REF!,"AAAAAG//+z0=")</f>
        <v>#REF!</v>
      </c>
      <c r="BK56" t="e">
        <f>AND(#REF!,"AAAAAG//+z4=")</f>
        <v>#REF!</v>
      </c>
      <c r="BL56" t="e">
        <f>AND(#REF!,"AAAAAG//+z8=")</f>
        <v>#REF!</v>
      </c>
      <c r="BM56" t="e">
        <f>IF(#REF!,"AAAAAG//+0A=",0)</f>
        <v>#REF!</v>
      </c>
      <c r="BN56" t="e">
        <f>AND(#REF!,"AAAAAG//+0E=")</f>
        <v>#REF!</v>
      </c>
      <c r="BO56" t="e">
        <f>AND(#REF!,"AAAAAG//+0I=")</f>
        <v>#REF!</v>
      </c>
      <c r="BP56" t="e">
        <f>AND(#REF!,"AAAAAG//+0M=")</f>
        <v>#REF!</v>
      </c>
      <c r="BQ56" t="e">
        <f>AND(#REF!,"AAAAAG//+0Q=")</f>
        <v>#REF!</v>
      </c>
      <c r="BR56" t="e">
        <f>AND(#REF!,"AAAAAG//+0U=")</f>
        <v>#REF!</v>
      </c>
      <c r="BS56" t="e">
        <f>AND(#REF!,"AAAAAG//+0Y=")</f>
        <v>#REF!</v>
      </c>
      <c r="BT56" t="e">
        <f>IF(#REF!,"AAAAAG//+0c=",0)</f>
        <v>#REF!</v>
      </c>
      <c r="BU56" t="e">
        <f>AND(#REF!,"AAAAAG//+0g=")</f>
        <v>#REF!</v>
      </c>
      <c r="BV56" t="e">
        <f>AND(#REF!,"AAAAAG//+0k=")</f>
        <v>#REF!</v>
      </c>
      <c r="BW56" t="e">
        <f>AND(#REF!,"AAAAAG//+0o=")</f>
        <v>#REF!</v>
      </c>
      <c r="BX56" t="e">
        <f>AND(#REF!,"AAAAAG//+0s=")</f>
        <v>#REF!</v>
      </c>
      <c r="BY56" t="e">
        <f>AND(#REF!,"AAAAAG//+0w=")</f>
        <v>#REF!</v>
      </c>
      <c r="BZ56" t="e">
        <f>AND(#REF!,"AAAAAG//+00=")</f>
        <v>#REF!</v>
      </c>
      <c r="CA56" t="e">
        <f>IF(#REF!,"AAAAAG//+04=",0)</f>
        <v>#REF!</v>
      </c>
      <c r="CB56" t="e">
        <f>AND(#REF!,"AAAAAG//+08=")</f>
        <v>#REF!</v>
      </c>
      <c r="CC56" t="e">
        <f>AND(#REF!,"AAAAAG//+1A=")</f>
        <v>#REF!</v>
      </c>
      <c r="CD56" t="e">
        <f>AND(#REF!,"AAAAAG//+1E=")</f>
        <v>#REF!</v>
      </c>
      <c r="CE56" t="e">
        <f>AND(#REF!,"AAAAAG//+1I=")</f>
        <v>#REF!</v>
      </c>
      <c r="CF56" t="e">
        <f>AND(#REF!,"AAAAAG//+1M=")</f>
        <v>#REF!</v>
      </c>
      <c r="CG56" t="e">
        <f>AND(#REF!,"AAAAAG//+1Q=")</f>
        <v>#REF!</v>
      </c>
      <c r="CH56" t="e">
        <f>IF(#REF!,"AAAAAG//+1U=",0)</f>
        <v>#REF!</v>
      </c>
      <c r="CI56" t="e">
        <f>AND(#REF!,"AAAAAG//+1Y=")</f>
        <v>#REF!</v>
      </c>
      <c r="CJ56" t="e">
        <f>AND(#REF!,"AAAAAG//+1c=")</f>
        <v>#REF!</v>
      </c>
      <c r="CK56" t="e">
        <f>AND(#REF!,"AAAAAG//+1g=")</f>
        <v>#REF!</v>
      </c>
      <c r="CL56" t="e">
        <f>AND(#REF!,"AAAAAG//+1k=")</f>
        <v>#REF!</v>
      </c>
      <c r="CM56" t="e">
        <f>AND(#REF!,"AAAAAG//+1o=")</f>
        <v>#REF!</v>
      </c>
      <c r="CN56" t="e">
        <f>AND(#REF!,"AAAAAG//+1s=")</f>
        <v>#REF!</v>
      </c>
      <c r="CO56" t="e">
        <f>IF(#REF!,"AAAAAG//+1w=",0)</f>
        <v>#REF!</v>
      </c>
      <c r="CP56" t="e">
        <f>AND(#REF!,"AAAAAG//+10=")</f>
        <v>#REF!</v>
      </c>
      <c r="CQ56" t="e">
        <f>AND(#REF!,"AAAAAG//+14=")</f>
        <v>#REF!</v>
      </c>
      <c r="CR56" t="e">
        <f>AND(#REF!,"AAAAAG//+18=")</f>
        <v>#REF!</v>
      </c>
      <c r="CS56" t="e">
        <f>AND(#REF!,"AAAAAG//+2A=")</f>
        <v>#REF!</v>
      </c>
      <c r="CT56" t="e">
        <f>AND(#REF!,"AAAAAG//+2E=")</f>
        <v>#REF!</v>
      </c>
      <c r="CU56" t="e">
        <f>AND(#REF!,"AAAAAG//+2I=")</f>
        <v>#REF!</v>
      </c>
      <c r="CV56" t="e">
        <f>IF(#REF!,"AAAAAG//+2M=",0)</f>
        <v>#REF!</v>
      </c>
      <c r="CW56" t="e">
        <f>AND(#REF!,"AAAAAG//+2Q=")</f>
        <v>#REF!</v>
      </c>
      <c r="CX56" t="e">
        <f>AND(#REF!,"AAAAAG//+2U=")</f>
        <v>#REF!</v>
      </c>
      <c r="CY56" t="e">
        <f>AND(#REF!,"AAAAAG//+2Y=")</f>
        <v>#REF!</v>
      </c>
      <c r="CZ56" t="e">
        <f>AND(#REF!,"AAAAAG//+2c=")</f>
        <v>#REF!</v>
      </c>
      <c r="DA56" t="e">
        <f>AND(#REF!,"AAAAAG//+2g=")</f>
        <v>#REF!</v>
      </c>
      <c r="DB56" t="e">
        <f>AND(#REF!,"AAAAAG//+2k=")</f>
        <v>#REF!</v>
      </c>
      <c r="DC56" t="e">
        <f>IF(#REF!,"AAAAAG//+2o=",0)</f>
        <v>#REF!</v>
      </c>
      <c r="DD56" t="e">
        <f>AND(#REF!,"AAAAAG//+2s=")</f>
        <v>#REF!</v>
      </c>
      <c r="DE56" t="e">
        <f>AND(#REF!,"AAAAAG//+2w=")</f>
        <v>#REF!</v>
      </c>
      <c r="DF56" t="e">
        <f>AND(#REF!,"AAAAAG//+20=")</f>
        <v>#REF!</v>
      </c>
      <c r="DG56" t="e">
        <f>AND(#REF!,"AAAAAG//+24=")</f>
        <v>#REF!</v>
      </c>
      <c r="DH56" t="e">
        <f>AND(#REF!,"AAAAAG//+28=")</f>
        <v>#REF!</v>
      </c>
      <c r="DI56" t="e">
        <f>AND(#REF!,"AAAAAG//+3A=")</f>
        <v>#REF!</v>
      </c>
      <c r="DJ56" t="e">
        <f>IF(#REF!,"AAAAAG//+3E=",0)</f>
        <v>#REF!</v>
      </c>
      <c r="DK56" t="e">
        <f>AND(#REF!,"AAAAAG//+3I=")</f>
        <v>#REF!</v>
      </c>
      <c r="DL56" t="e">
        <f>AND(#REF!,"AAAAAG//+3M=")</f>
        <v>#REF!</v>
      </c>
      <c r="DM56" t="e">
        <f>AND(#REF!,"AAAAAG//+3Q=")</f>
        <v>#REF!</v>
      </c>
      <c r="DN56" t="e">
        <f>AND(#REF!,"AAAAAG//+3U=")</f>
        <v>#REF!</v>
      </c>
      <c r="DO56" t="e">
        <f>AND(#REF!,"AAAAAG//+3Y=")</f>
        <v>#REF!</v>
      </c>
      <c r="DP56" t="e">
        <f>AND(#REF!,"AAAAAG//+3c=")</f>
        <v>#REF!</v>
      </c>
      <c r="DQ56" t="e">
        <f>IF(#REF!,"AAAAAG//+3g=",0)</f>
        <v>#REF!</v>
      </c>
      <c r="DR56" t="e">
        <f>AND(#REF!,"AAAAAG//+3k=")</f>
        <v>#REF!</v>
      </c>
      <c r="DS56" t="e">
        <f>AND(#REF!,"AAAAAG//+3o=")</f>
        <v>#REF!</v>
      </c>
      <c r="DT56" t="e">
        <f>AND(#REF!,"AAAAAG//+3s=")</f>
        <v>#REF!</v>
      </c>
      <c r="DU56" t="e">
        <f>AND(#REF!,"AAAAAG//+3w=")</f>
        <v>#REF!</v>
      </c>
      <c r="DV56" t="e">
        <f>AND(#REF!,"AAAAAG//+30=")</f>
        <v>#REF!</v>
      </c>
      <c r="DW56" t="e">
        <f>AND(#REF!,"AAAAAG//+34=")</f>
        <v>#REF!</v>
      </c>
      <c r="DX56" t="e">
        <f>IF(#REF!,"AAAAAG//+38=",0)</f>
        <v>#REF!</v>
      </c>
      <c r="DY56" t="e">
        <f>AND(#REF!,"AAAAAG//+4A=")</f>
        <v>#REF!</v>
      </c>
      <c r="DZ56" t="e">
        <f>AND(#REF!,"AAAAAG//+4E=")</f>
        <v>#REF!</v>
      </c>
      <c r="EA56" t="e">
        <f>AND(#REF!,"AAAAAG//+4I=")</f>
        <v>#REF!</v>
      </c>
      <c r="EB56" t="e">
        <f>AND(#REF!,"AAAAAG//+4M=")</f>
        <v>#REF!</v>
      </c>
      <c r="EC56" t="e">
        <f>AND(#REF!,"AAAAAG//+4Q=")</f>
        <v>#REF!</v>
      </c>
      <c r="ED56" t="e">
        <f>AND(#REF!,"AAAAAG//+4U=")</f>
        <v>#REF!</v>
      </c>
      <c r="EE56" t="e">
        <f>IF(#REF!,"AAAAAG//+4Y=",0)</f>
        <v>#REF!</v>
      </c>
      <c r="EF56" t="e">
        <f>AND(#REF!,"AAAAAG//+4c=")</f>
        <v>#REF!</v>
      </c>
      <c r="EG56" t="e">
        <f>AND(#REF!,"AAAAAG//+4g=")</f>
        <v>#REF!</v>
      </c>
      <c r="EH56" t="e">
        <f>AND(#REF!,"AAAAAG//+4k=")</f>
        <v>#REF!</v>
      </c>
      <c r="EI56" t="e">
        <f>AND(#REF!,"AAAAAG//+4o=")</f>
        <v>#REF!</v>
      </c>
      <c r="EJ56" t="e">
        <f>AND(#REF!,"AAAAAG//+4s=")</f>
        <v>#REF!</v>
      </c>
      <c r="EK56" t="e">
        <f>AND(#REF!,"AAAAAG//+4w=")</f>
        <v>#REF!</v>
      </c>
      <c r="EL56" t="e">
        <f>IF(#REF!,"AAAAAG//+40=",0)</f>
        <v>#REF!</v>
      </c>
      <c r="EM56" t="e">
        <f>AND(#REF!,"AAAAAG//+44=")</f>
        <v>#REF!</v>
      </c>
      <c r="EN56" t="e">
        <f>AND(#REF!,"AAAAAG//+48=")</f>
        <v>#REF!</v>
      </c>
      <c r="EO56" t="e">
        <f>AND(#REF!,"AAAAAG//+5A=")</f>
        <v>#REF!</v>
      </c>
      <c r="EP56" t="e">
        <f>AND(#REF!,"AAAAAG//+5E=")</f>
        <v>#REF!</v>
      </c>
      <c r="EQ56" t="e">
        <f>AND(#REF!,"AAAAAG//+5I=")</f>
        <v>#REF!</v>
      </c>
      <c r="ER56" t="e">
        <f>AND(#REF!,"AAAAAG//+5M=")</f>
        <v>#REF!</v>
      </c>
      <c r="ES56" t="e">
        <f>IF(#REF!,"AAAAAG//+5Q=",0)</f>
        <v>#REF!</v>
      </c>
      <c r="ET56" t="e">
        <f>AND(#REF!,"AAAAAG//+5U=")</f>
        <v>#REF!</v>
      </c>
      <c r="EU56" t="e">
        <f>AND(#REF!,"AAAAAG//+5Y=")</f>
        <v>#REF!</v>
      </c>
      <c r="EV56" t="e">
        <f>AND(#REF!,"AAAAAG//+5c=")</f>
        <v>#REF!</v>
      </c>
      <c r="EW56" t="e">
        <f>AND(#REF!,"AAAAAG//+5g=")</f>
        <v>#REF!</v>
      </c>
      <c r="EX56" t="e">
        <f>AND(#REF!,"AAAAAG//+5k=")</f>
        <v>#REF!</v>
      </c>
      <c r="EY56" t="e">
        <f>AND(#REF!,"AAAAAG//+5o=")</f>
        <v>#REF!</v>
      </c>
      <c r="EZ56" t="e">
        <f>IF(#REF!,"AAAAAG//+5s=",0)</f>
        <v>#REF!</v>
      </c>
      <c r="FA56" t="e">
        <f>AND(#REF!,"AAAAAG//+5w=")</f>
        <v>#REF!</v>
      </c>
      <c r="FB56" t="e">
        <f>AND(#REF!,"AAAAAG//+50=")</f>
        <v>#REF!</v>
      </c>
      <c r="FC56" t="e">
        <f>AND(#REF!,"AAAAAG//+54=")</f>
        <v>#REF!</v>
      </c>
      <c r="FD56" t="e">
        <f>AND(#REF!,"AAAAAG//+58=")</f>
        <v>#REF!</v>
      </c>
      <c r="FE56" t="e">
        <f>AND(#REF!,"AAAAAG//+6A=")</f>
        <v>#REF!</v>
      </c>
      <c r="FF56" t="e">
        <f>AND(#REF!,"AAAAAG//+6E=")</f>
        <v>#REF!</v>
      </c>
      <c r="FG56" t="e">
        <f>IF(#REF!,"AAAAAG//+6I=",0)</f>
        <v>#REF!</v>
      </c>
      <c r="FH56" t="e">
        <f>AND(#REF!,"AAAAAG//+6M=")</f>
        <v>#REF!</v>
      </c>
      <c r="FI56" t="e">
        <f>AND(#REF!,"AAAAAG//+6Q=")</f>
        <v>#REF!</v>
      </c>
      <c r="FJ56" t="e">
        <f>AND(#REF!,"AAAAAG//+6U=")</f>
        <v>#REF!</v>
      </c>
      <c r="FK56" t="e">
        <f>AND(#REF!,"AAAAAG//+6Y=")</f>
        <v>#REF!</v>
      </c>
      <c r="FL56" t="e">
        <f>AND(#REF!,"AAAAAG//+6c=")</f>
        <v>#REF!</v>
      </c>
      <c r="FM56" t="e">
        <f>AND(#REF!,"AAAAAG//+6g=")</f>
        <v>#REF!</v>
      </c>
      <c r="FN56" t="e">
        <f>IF(#REF!,"AAAAAG//+6k=",0)</f>
        <v>#REF!</v>
      </c>
      <c r="FO56" t="e">
        <f>AND(#REF!,"AAAAAG//+6o=")</f>
        <v>#REF!</v>
      </c>
      <c r="FP56" t="e">
        <f>AND(#REF!,"AAAAAG//+6s=")</f>
        <v>#REF!</v>
      </c>
      <c r="FQ56" t="e">
        <f>AND(#REF!,"AAAAAG//+6w=")</f>
        <v>#REF!</v>
      </c>
      <c r="FR56" t="e">
        <f>AND(#REF!,"AAAAAG//+60=")</f>
        <v>#REF!</v>
      </c>
      <c r="FS56" t="e">
        <f>AND(#REF!,"AAAAAG//+64=")</f>
        <v>#REF!</v>
      </c>
      <c r="FT56" t="e">
        <f>AND(#REF!,"AAAAAG//+68=")</f>
        <v>#REF!</v>
      </c>
      <c r="FU56" t="e">
        <f>IF(#REF!,"AAAAAG//+7A=",0)</f>
        <v>#REF!</v>
      </c>
      <c r="FV56" t="e">
        <f>AND(#REF!,"AAAAAG//+7E=")</f>
        <v>#REF!</v>
      </c>
      <c r="FW56" t="e">
        <f>AND(#REF!,"AAAAAG//+7I=")</f>
        <v>#REF!</v>
      </c>
      <c r="FX56" t="e">
        <f>AND(#REF!,"AAAAAG//+7M=")</f>
        <v>#REF!</v>
      </c>
      <c r="FY56" t="e">
        <f>AND(#REF!,"AAAAAG//+7Q=")</f>
        <v>#REF!</v>
      </c>
      <c r="FZ56" t="e">
        <f>AND(#REF!,"AAAAAG//+7U=")</f>
        <v>#REF!</v>
      </c>
      <c r="GA56" t="e">
        <f>AND(#REF!,"AAAAAG//+7Y=")</f>
        <v>#REF!</v>
      </c>
      <c r="GB56" t="e">
        <f>IF(#REF!,"AAAAAG//+7c=",0)</f>
        <v>#REF!</v>
      </c>
      <c r="GC56" t="e">
        <f>AND(#REF!,"AAAAAG//+7g=")</f>
        <v>#REF!</v>
      </c>
      <c r="GD56" t="e">
        <f>AND(#REF!,"AAAAAG//+7k=")</f>
        <v>#REF!</v>
      </c>
      <c r="GE56" t="e">
        <f>AND(#REF!,"AAAAAG//+7o=")</f>
        <v>#REF!</v>
      </c>
      <c r="GF56" t="e">
        <f>AND(#REF!,"AAAAAG//+7s=")</f>
        <v>#REF!</v>
      </c>
      <c r="GG56" t="e">
        <f>AND(#REF!,"AAAAAG//+7w=")</f>
        <v>#REF!</v>
      </c>
      <c r="GH56" t="e">
        <f>AND(#REF!,"AAAAAG//+70=")</f>
        <v>#REF!</v>
      </c>
      <c r="GI56" t="e">
        <f>IF(#REF!,"AAAAAG//+74=",0)</f>
        <v>#REF!</v>
      </c>
      <c r="GJ56" t="e">
        <f>AND(#REF!,"AAAAAG//+78=")</f>
        <v>#REF!</v>
      </c>
      <c r="GK56" t="e">
        <f>AND(#REF!,"AAAAAG//+8A=")</f>
        <v>#REF!</v>
      </c>
      <c r="GL56" t="e">
        <f>AND(#REF!,"AAAAAG//+8E=")</f>
        <v>#REF!</v>
      </c>
      <c r="GM56" t="e">
        <f>AND(#REF!,"AAAAAG//+8I=")</f>
        <v>#REF!</v>
      </c>
      <c r="GN56" t="e">
        <f>AND(#REF!,"AAAAAG//+8M=")</f>
        <v>#REF!</v>
      </c>
      <c r="GO56" t="e">
        <f>AND(#REF!,"AAAAAG//+8Q=")</f>
        <v>#REF!</v>
      </c>
      <c r="GP56" t="e">
        <f>IF(#REF!,"AAAAAG//+8U=",0)</f>
        <v>#REF!</v>
      </c>
      <c r="GQ56" t="e">
        <f>AND(#REF!,"AAAAAG//+8Y=")</f>
        <v>#REF!</v>
      </c>
      <c r="GR56" t="e">
        <f>AND(#REF!,"AAAAAG//+8c=")</f>
        <v>#REF!</v>
      </c>
      <c r="GS56" t="e">
        <f>AND(#REF!,"AAAAAG//+8g=")</f>
        <v>#REF!</v>
      </c>
      <c r="GT56" t="e">
        <f>AND(#REF!,"AAAAAG//+8k=")</f>
        <v>#REF!</v>
      </c>
      <c r="GU56" t="e">
        <f>AND(#REF!,"AAAAAG//+8o=")</f>
        <v>#REF!</v>
      </c>
      <c r="GV56" t="e">
        <f>AND(#REF!,"AAAAAG//+8s=")</f>
        <v>#REF!</v>
      </c>
      <c r="GW56" t="e">
        <f>IF(#REF!,"AAAAAG//+8w=",0)</f>
        <v>#REF!</v>
      </c>
      <c r="GX56" t="e">
        <f>AND(#REF!,"AAAAAG//+80=")</f>
        <v>#REF!</v>
      </c>
      <c r="GY56" t="e">
        <f>AND(#REF!,"AAAAAG//+84=")</f>
        <v>#REF!</v>
      </c>
      <c r="GZ56" t="e">
        <f>AND(#REF!,"AAAAAG//+88=")</f>
        <v>#REF!</v>
      </c>
      <c r="HA56" t="e">
        <f>AND(#REF!,"AAAAAG//+9A=")</f>
        <v>#REF!</v>
      </c>
      <c r="HB56" t="e">
        <f>AND(#REF!,"AAAAAG//+9E=")</f>
        <v>#REF!</v>
      </c>
      <c r="HC56" t="e">
        <f>AND(#REF!,"AAAAAG//+9I=")</f>
        <v>#REF!</v>
      </c>
      <c r="HD56" t="e">
        <f>IF(#REF!,"AAAAAG//+9M=",0)</f>
        <v>#REF!</v>
      </c>
      <c r="HE56" t="e">
        <f>AND(#REF!,"AAAAAG//+9Q=")</f>
        <v>#REF!</v>
      </c>
      <c r="HF56" t="e">
        <f>AND(#REF!,"AAAAAG//+9U=")</f>
        <v>#REF!</v>
      </c>
      <c r="HG56" t="e">
        <f>AND(#REF!,"AAAAAG//+9Y=")</f>
        <v>#REF!</v>
      </c>
      <c r="HH56" t="e">
        <f>AND(#REF!,"AAAAAG//+9c=")</f>
        <v>#REF!</v>
      </c>
      <c r="HI56" t="e">
        <f>AND(#REF!,"AAAAAG//+9g=")</f>
        <v>#REF!</v>
      </c>
      <c r="HJ56" t="e">
        <f>AND(#REF!,"AAAAAG//+9k=")</f>
        <v>#REF!</v>
      </c>
      <c r="HK56" t="e">
        <f>IF(#REF!,"AAAAAG//+9o=",0)</f>
        <v>#REF!</v>
      </c>
      <c r="HL56" t="e">
        <f>AND(#REF!,"AAAAAG//+9s=")</f>
        <v>#REF!</v>
      </c>
      <c r="HM56" t="e">
        <f>AND(#REF!,"AAAAAG//+9w=")</f>
        <v>#REF!</v>
      </c>
      <c r="HN56" t="e">
        <f>AND(#REF!,"AAAAAG//+90=")</f>
        <v>#REF!</v>
      </c>
      <c r="HO56" t="e">
        <f>AND(#REF!,"AAAAAG//+94=")</f>
        <v>#REF!</v>
      </c>
      <c r="HP56" t="e">
        <f>AND(#REF!,"AAAAAG//+98=")</f>
        <v>#REF!</v>
      </c>
      <c r="HQ56" t="e">
        <f>AND(#REF!,"AAAAAG//++A=")</f>
        <v>#REF!</v>
      </c>
      <c r="HR56" t="e">
        <f>IF(#REF!,"AAAAAG//++E=",0)</f>
        <v>#REF!</v>
      </c>
      <c r="HS56" t="e">
        <f>AND(#REF!,"AAAAAG//++I=")</f>
        <v>#REF!</v>
      </c>
      <c r="HT56" t="e">
        <f>AND(#REF!,"AAAAAG//++M=")</f>
        <v>#REF!</v>
      </c>
      <c r="HU56" t="e">
        <f>AND(#REF!,"AAAAAG//++Q=")</f>
        <v>#REF!</v>
      </c>
      <c r="HV56" t="e">
        <f>AND(#REF!,"AAAAAG//++U=")</f>
        <v>#REF!</v>
      </c>
      <c r="HW56" t="e">
        <f>AND(#REF!,"AAAAAG//++Y=")</f>
        <v>#REF!</v>
      </c>
      <c r="HX56" t="e">
        <f>AND(#REF!,"AAAAAG//++c=")</f>
        <v>#REF!</v>
      </c>
      <c r="HY56" t="e">
        <f>IF(#REF!,"AAAAAG//++g=",0)</f>
        <v>#REF!</v>
      </c>
      <c r="HZ56" t="e">
        <f>AND(#REF!,"AAAAAG//++k=")</f>
        <v>#REF!</v>
      </c>
      <c r="IA56" t="e">
        <f>AND(#REF!,"AAAAAG//++o=")</f>
        <v>#REF!</v>
      </c>
      <c r="IB56" t="e">
        <f>AND(#REF!,"AAAAAG//++s=")</f>
        <v>#REF!</v>
      </c>
      <c r="IC56" t="e">
        <f>AND(#REF!,"AAAAAG//++w=")</f>
        <v>#REF!</v>
      </c>
      <c r="ID56" t="e">
        <f>AND(#REF!,"AAAAAG//++0=")</f>
        <v>#REF!</v>
      </c>
      <c r="IE56" t="e">
        <f>AND(#REF!,"AAAAAG//++4=")</f>
        <v>#REF!</v>
      </c>
      <c r="IF56" t="e">
        <f>IF(#REF!,"AAAAAG//++8=",0)</f>
        <v>#REF!</v>
      </c>
      <c r="IG56" t="e">
        <f>AND(#REF!,"AAAAAG//+/A=")</f>
        <v>#REF!</v>
      </c>
      <c r="IH56" t="e">
        <f>AND(#REF!,"AAAAAG//+/E=")</f>
        <v>#REF!</v>
      </c>
      <c r="II56" t="e">
        <f>AND(#REF!,"AAAAAG//+/I=")</f>
        <v>#REF!</v>
      </c>
      <c r="IJ56" t="e">
        <f>AND(#REF!,"AAAAAG//+/M=")</f>
        <v>#REF!</v>
      </c>
      <c r="IK56" t="e">
        <f>AND(#REF!,"AAAAAG//+/Q=")</f>
        <v>#REF!</v>
      </c>
      <c r="IL56" t="e">
        <f>AND(#REF!,"AAAAAG//+/U=")</f>
        <v>#REF!</v>
      </c>
      <c r="IM56" t="e">
        <f>IF(#REF!,"AAAAAG//+/Y=",0)</f>
        <v>#REF!</v>
      </c>
      <c r="IN56" t="e">
        <f>AND(#REF!,"AAAAAG//+/c=")</f>
        <v>#REF!</v>
      </c>
      <c r="IO56" t="e">
        <f>AND(#REF!,"AAAAAG//+/g=")</f>
        <v>#REF!</v>
      </c>
      <c r="IP56" t="e">
        <f>AND(#REF!,"AAAAAG//+/k=")</f>
        <v>#REF!</v>
      </c>
      <c r="IQ56" t="e">
        <f>AND(#REF!,"AAAAAG//+/o=")</f>
        <v>#REF!</v>
      </c>
      <c r="IR56" t="e">
        <f>AND(#REF!,"AAAAAG//+/s=")</f>
        <v>#REF!</v>
      </c>
      <c r="IS56" t="e">
        <f>AND(#REF!,"AAAAAG//+/w=")</f>
        <v>#REF!</v>
      </c>
      <c r="IT56" t="e">
        <f>IF(#REF!,"AAAAAG//+/0=",0)</f>
        <v>#REF!</v>
      </c>
      <c r="IU56" t="e">
        <f>AND(#REF!,"AAAAAG//+/4=")</f>
        <v>#REF!</v>
      </c>
      <c r="IV56" t="e">
        <f>AND(#REF!,"AAAAAG//+/8=")</f>
        <v>#REF!</v>
      </c>
    </row>
    <row r="57" spans="1:256" x14ac:dyDescent="0.25">
      <c r="A57" t="e">
        <f>AND(#REF!,"AAAAAF//6wA=")</f>
        <v>#REF!</v>
      </c>
      <c r="B57" t="e">
        <f>AND(#REF!,"AAAAAF//6wE=")</f>
        <v>#REF!</v>
      </c>
      <c r="C57" t="e">
        <f>AND(#REF!,"AAAAAF//6wI=")</f>
        <v>#REF!</v>
      </c>
      <c r="D57" t="e">
        <f>AND(#REF!,"AAAAAF//6wM=")</f>
        <v>#REF!</v>
      </c>
      <c r="E57" t="e">
        <f>IF(#REF!,"AAAAAF//6wQ=",0)</f>
        <v>#REF!</v>
      </c>
      <c r="F57" t="e">
        <f>AND(#REF!,"AAAAAF//6wU=")</f>
        <v>#REF!</v>
      </c>
      <c r="G57" t="e">
        <f>AND(#REF!,"AAAAAF//6wY=")</f>
        <v>#REF!</v>
      </c>
      <c r="H57" t="e">
        <f>AND(#REF!,"AAAAAF//6wc=")</f>
        <v>#REF!</v>
      </c>
      <c r="I57" t="e">
        <f>AND(#REF!,"AAAAAF//6wg=")</f>
        <v>#REF!</v>
      </c>
      <c r="J57" t="e">
        <f>AND(#REF!,"AAAAAF//6wk=")</f>
        <v>#REF!</v>
      </c>
      <c r="K57" t="e">
        <f>AND(#REF!,"AAAAAF//6wo=")</f>
        <v>#REF!</v>
      </c>
      <c r="L57" t="e">
        <f>IF(#REF!,"AAAAAF//6ws=",0)</f>
        <v>#REF!</v>
      </c>
      <c r="M57" t="e">
        <f>AND(#REF!,"AAAAAF//6ww=")</f>
        <v>#REF!</v>
      </c>
      <c r="N57" t="e">
        <f>AND(#REF!,"AAAAAF//6w0=")</f>
        <v>#REF!</v>
      </c>
      <c r="O57" t="e">
        <f>AND(#REF!,"AAAAAF//6w4=")</f>
        <v>#REF!</v>
      </c>
      <c r="P57" t="e">
        <f>AND(#REF!,"AAAAAF//6w8=")</f>
        <v>#REF!</v>
      </c>
      <c r="Q57" t="e">
        <f>AND(#REF!,"AAAAAF//6xA=")</f>
        <v>#REF!</v>
      </c>
      <c r="R57" t="e">
        <f>AND(#REF!,"AAAAAF//6xE=")</f>
        <v>#REF!</v>
      </c>
      <c r="S57" t="e">
        <f>IF(#REF!,"AAAAAF//6xI=",0)</f>
        <v>#REF!</v>
      </c>
      <c r="T57" t="e">
        <f>AND(#REF!,"AAAAAF//6xM=")</f>
        <v>#REF!</v>
      </c>
      <c r="U57" t="e">
        <f>AND(#REF!,"AAAAAF//6xQ=")</f>
        <v>#REF!</v>
      </c>
      <c r="V57" t="e">
        <f>AND(#REF!,"AAAAAF//6xU=")</f>
        <v>#REF!</v>
      </c>
      <c r="W57" t="e">
        <f>AND(#REF!,"AAAAAF//6xY=")</f>
        <v>#REF!</v>
      </c>
      <c r="X57" t="e">
        <f>AND(#REF!,"AAAAAF//6xc=")</f>
        <v>#REF!</v>
      </c>
      <c r="Y57" t="e">
        <f>AND(#REF!,"AAAAAF//6xg=")</f>
        <v>#REF!</v>
      </c>
      <c r="Z57" t="e">
        <f>IF(#REF!,"AAAAAF//6xk=",0)</f>
        <v>#REF!</v>
      </c>
      <c r="AA57" t="e">
        <f>AND(#REF!,"AAAAAF//6xo=")</f>
        <v>#REF!</v>
      </c>
      <c r="AB57" t="e">
        <f>AND(#REF!,"AAAAAF//6xs=")</f>
        <v>#REF!</v>
      </c>
      <c r="AC57" t="e">
        <f>AND(#REF!,"AAAAAF//6xw=")</f>
        <v>#REF!</v>
      </c>
      <c r="AD57" t="e">
        <f>AND(#REF!,"AAAAAF//6x0=")</f>
        <v>#REF!</v>
      </c>
      <c r="AE57" t="e">
        <f>AND(#REF!,"AAAAAF//6x4=")</f>
        <v>#REF!</v>
      </c>
      <c r="AF57" t="e">
        <f>AND(#REF!,"AAAAAF//6x8=")</f>
        <v>#REF!</v>
      </c>
      <c r="AG57" t="e">
        <f>IF(#REF!,"AAAAAF//6yA=",0)</f>
        <v>#REF!</v>
      </c>
      <c r="AH57" t="e">
        <f>AND(#REF!,"AAAAAF//6yE=")</f>
        <v>#REF!</v>
      </c>
      <c r="AI57" t="e">
        <f>AND(#REF!,"AAAAAF//6yI=")</f>
        <v>#REF!</v>
      </c>
      <c r="AJ57" t="e">
        <f>AND(#REF!,"AAAAAF//6yM=")</f>
        <v>#REF!</v>
      </c>
      <c r="AK57" t="e">
        <f>AND(#REF!,"AAAAAF//6yQ=")</f>
        <v>#REF!</v>
      </c>
      <c r="AL57" t="e">
        <f>AND(#REF!,"AAAAAF//6yU=")</f>
        <v>#REF!</v>
      </c>
      <c r="AM57" t="e">
        <f>AND(#REF!,"AAAAAF//6yY=")</f>
        <v>#REF!</v>
      </c>
      <c r="AN57" t="e">
        <f>IF(#REF!,"AAAAAF//6yc=",0)</f>
        <v>#REF!</v>
      </c>
      <c r="AO57" t="e">
        <f>AND(#REF!,"AAAAAF//6yg=")</f>
        <v>#REF!</v>
      </c>
      <c r="AP57" t="e">
        <f>AND(#REF!,"AAAAAF//6yk=")</f>
        <v>#REF!</v>
      </c>
      <c r="AQ57" t="e">
        <f>AND(#REF!,"AAAAAF//6yo=")</f>
        <v>#REF!</v>
      </c>
      <c r="AR57" t="e">
        <f>AND(#REF!,"AAAAAF//6ys=")</f>
        <v>#REF!</v>
      </c>
      <c r="AS57" t="e">
        <f>AND(#REF!,"AAAAAF//6yw=")</f>
        <v>#REF!</v>
      </c>
      <c r="AT57" t="e">
        <f>AND(#REF!,"AAAAAF//6y0=")</f>
        <v>#REF!</v>
      </c>
      <c r="AU57" t="e">
        <f>IF(#REF!,"AAAAAF//6y4=",0)</f>
        <v>#REF!</v>
      </c>
      <c r="AV57" t="e">
        <f>AND(#REF!,"AAAAAF//6y8=")</f>
        <v>#REF!</v>
      </c>
      <c r="AW57" t="e">
        <f>AND(#REF!,"AAAAAF//6zA=")</f>
        <v>#REF!</v>
      </c>
      <c r="AX57" t="e">
        <f>AND(#REF!,"AAAAAF//6zE=")</f>
        <v>#REF!</v>
      </c>
      <c r="AY57" t="e">
        <f>AND(#REF!,"AAAAAF//6zI=")</f>
        <v>#REF!</v>
      </c>
      <c r="AZ57" t="e">
        <f>AND(#REF!,"AAAAAF//6zM=")</f>
        <v>#REF!</v>
      </c>
      <c r="BA57" t="e">
        <f>AND(#REF!,"AAAAAF//6zQ=")</f>
        <v>#REF!</v>
      </c>
      <c r="BB57" t="e">
        <f>IF(#REF!,"AAAAAF//6zU=",0)</f>
        <v>#REF!</v>
      </c>
      <c r="BC57" t="e">
        <f>AND(#REF!,"AAAAAF//6zY=")</f>
        <v>#REF!</v>
      </c>
      <c r="BD57" t="e">
        <f>AND(#REF!,"AAAAAF//6zc=")</f>
        <v>#REF!</v>
      </c>
      <c r="BE57" t="e">
        <f>AND(#REF!,"AAAAAF//6zg=")</f>
        <v>#REF!</v>
      </c>
      <c r="BF57" t="e">
        <f>AND(#REF!,"AAAAAF//6zk=")</f>
        <v>#REF!</v>
      </c>
      <c r="BG57" t="e">
        <f>AND(#REF!,"AAAAAF//6zo=")</f>
        <v>#REF!</v>
      </c>
      <c r="BH57" t="e">
        <f>AND(#REF!,"AAAAAF//6zs=")</f>
        <v>#REF!</v>
      </c>
      <c r="BI57" t="e">
        <f>IF(#REF!,"AAAAAF//6zw=",0)</f>
        <v>#REF!</v>
      </c>
      <c r="BJ57" t="e">
        <f>AND(#REF!,"AAAAAF//6z0=")</f>
        <v>#REF!</v>
      </c>
      <c r="BK57" t="e">
        <f>AND(#REF!,"AAAAAF//6z4=")</f>
        <v>#REF!</v>
      </c>
      <c r="BL57" t="e">
        <f>AND(#REF!,"AAAAAF//6z8=")</f>
        <v>#REF!</v>
      </c>
      <c r="BM57" t="e">
        <f>AND(#REF!,"AAAAAF//60A=")</f>
        <v>#REF!</v>
      </c>
      <c r="BN57" t="e">
        <f>AND(#REF!,"AAAAAF//60E=")</f>
        <v>#REF!</v>
      </c>
      <c r="BO57" t="e">
        <f>AND(#REF!,"AAAAAF//60I=")</f>
        <v>#REF!</v>
      </c>
      <c r="BP57" t="e">
        <f>IF(#REF!,"AAAAAF//60M=",0)</f>
        <v>#REF!</v>
      </c>
      <c r="BQ57" t="e">
        <f>AND(#REF!,"AAAAAF//60Q=")</f>
        <v>#REF!</v>
      </c>
      <c r="BR57" t="e">
        <f>AND(#REF!,"AAAAAF//60U=")</f>
        <v>#REF!</v>
      </c>
      <c r="BS57" t="e">
        <f>AND(#REF!,"AAAAAF//60Y=")</f>
        <v>#REF!</v>
      </c>
      <c r="BT57" t="e">
        <f>AND(#REF!,"AAAAAF//60c=")</f>
        <v>#REF!</v>
      </c>
      <c r="BU57" t="e">
        <f>AND(#REF!,"AAAAAF//60g=")</f>
        <v>#REF!</v>
      </c>
      <c r="BV57" t="e">
        <f>AND(#REF!,"AAAAAF//60k=")</f>
        <v>#REF!</v>
      </c>
      <c r="BW57" t="e">
        <f>IF(#REF!,"AAAAAF//60o=",0)</f>
        <v>#REF!</v>
      </c>
      <c r="BX57" t="e">
        <f>AND(#REF!,"AAAAAF//60s=")</f>
        <v>#REF!</v>
      </c>
      <c r="BY57" t="e">
        <f>AND(#REF!,"AAAAAF//60w=")</f>
        <v>#REF!</v>
      </c>
      <c r="BZ57" t="e">
        <f>AND(#REF!,"AAAAAF//600=")</f>
        <v>#REF!</v>
      </c>
      <c r="CA57" t="e">
        <f>AND(#REF!,"AAAAAF//604=")</f>
        <v>#REF!</v>
      </c>
      <c r="CB57" t="e">
        <f>AND(#REF!,"AAAAAF//608=")</f>
        <v>#REF!</v>
      </c>
      <c r="CC57" t="e">
        <f>AND(#REF!,"AAAAAF//61A=")</f>
        <v>#REF!</v>
      </c>
      <c r="CD57" t="e">
        <f>IF(#REF!,"AAAAAF//61E=",0)</f>
        <v>#REF!</v>
      </c>
      <c r="CE57" t="e">
        <f>AND(#REF!,"AAAAAF//61I=")</f>
        <v>#REF!</v>
      </c>
      <c r="CF57" t="e">
        <f>AND(#REF!,"AAAAAF//61M=")</f>
        <v>#REF!</v>
      </c>
      <c r="CG57" t="e">
        <f>AND(#REF!,"AAAAAF//61Q=")</f>
        <v>#REF!</v>
      </c>
      <c r="CH57" t="e">
        <f>AND(#REF!,"AAAAAF//61U=")</f>
        <v>#REF!</v>
      </c>
      <c r="CI57" t="e">
        <f>AND(#REF!,"AAAAAF//61Y=")</f>
        <v>#REF!</v>
      </c>
      <c r="CJ57" t="e">
        <f>AND(#REF!,"AAAAAF//61c=")</f>
        <v>#REF!</v>
      </c>
      <c r="CK57" t="e">
        <f>IF(#REF!,"AAAAAF//61g=",0)</f>
        <v>#REF!</v>
      </c>
      <c r="CL57" t="e">
        <f>AND(#REF!,"AAAAAF//61k=")</f>
        <v>#REF!</v>
      </c>
      <c r="CM57" t="e">
        <f>AND(#REF!,"AAAAAF//61o=")</f>
        <v>#REF!</v>
      </c>
      <c r="CN57" t="e">
        <f>AND(#REF!,"AAAAAF//61s=")</f>
        <v>#REF!</v>
      </c>
      <c r="CO57" t="e">
        <f>AND(#REF!,"AAAAAF//61w=")</f>
        <v>#REF!</v>
      </c>
      <c r="CP57" t="e">
        <f>AND(#REF!,"AAAAAF//610=")</f>
        <v>#REF!</v>
      </c>
      <c r="CQ57" t="e">
        <f>AND(#REF!,"AAAAAF//614=")</f>
        <v>#REF!</v>
      </c>
      <c r="CR57" t="e">
        <f>IF(#REF!,"AAAAAF//618=",0)</f>
        <v>#REF!</v>
      </c>
      <c r="CS57" t="e">
        <f>AND(#REF!,"AAAAAF//62A=")</f>
        <v>#REF!</v>
      </c>
      <c r="CT57" t="e">
        <f>AND(#REF!,"AAAAAF//62E=")</f>
        <v>#REF!</v>
      </c>
      <c r="CU57" t="e">
        <f>AND(#REF!,"AAAAAF//62I=")</f>
        <v>#REF!</v>
      </c>
      <c r="CV57" t="e">
        <f>AND(#REF!,"AAAAAF//62M=")</f>
        <v>#REF!</v>
      </c>
      <c r="CW57" t="e">
        <f>AND(#REF!,"AAAAAF//62Q=")</f>
        <v>#REF!</v>
      </c>
      <c r="CX57" t="e">
        <f>AND(#REF!,"AAAAAF//62U=")</f>
        <v>#REF!</v>
      </c>
      <c r="CY57" t="e">
        <f>IF(#REF!,"AAAAAF//62Y=",0)</f>
        <v>#REF!</v>
      </c>
      <c r="CZ57" t="e">
        <f>AND(#REF!,"AAAAAF//62c=")</f>
        <v>#REF!</v>
      </c>
      <c r="DA57" t="e">
        <f>AND(#REF!,"AAAAAF//62g=")</f>
        <v>#REF!</v>
      </c>
      <c r="DB57" t="e">
        <f>AND(#REF!,"AAAAAF//62k=")</f>
        <v>#REF!</v>
      </c>
      <c r="DC57" t="e">
        <f>AND(#REF!,"AAAAAF//62o=")</f>
        <v>#REF!</v>
      </c>
      <c r="DD57" t="e">
        <f>AND(#REF!,"AAAAAF//62s=")</f>
        <v>#REF!</v>
      </c>
      <c r="DE57" t="e">
        <f>AND(#REF!,"AAAAAF//62w=")</f>
        <v>#REF!</v>
      </c>
      <c r="DF57" t="e">
        <f>IF(#REF!,"AAAAAF//620=",0)</f>
        <v>#REF!</v>
      </c>
      <c r="DG57" t="e">
        <f>AND(#REF!,"AAAAAF//624=")</f>
        <v>#REF!</v>
      </c>
      <c r="DH57" t="e">
        <f>AND(#REF!,"AAAAAF//628=")</f>
        <v>#REF!</v>
      </c>
      <c r="DI57" t="e">
        <f>AND(#REF!,"AAAAAF//63A=")</f>
        <v>#REF!</v>
      </c>
      <c r="DJ57" t="e">
        <f>AND(#REF!,"AAAAAF//63E=")</f>
        <v>#REF!</v>
      </c>
      <c r="DK57" t="e">
        <f>AND(#REF!,"AAAAAF//63I=")</f>
        <v>#REF!</v>
      </c>
      <c r="DL57" t="e">
        <f>AND(#REF!,"AAAAAF//63M=")</f>
        <v>#REF!</v>
      </c>
      <c r="DM57" t="e">
        <f>IF(#REF!,"AAAAAF//63Q=",0)</f>
        <v>#REF!</v>
      </c>
      <c r="DN57" t="e">
        <f>AND(#REF!,"AAAAAF//63U=")</f>
        <v>#REF!</v>
      </c>
      <c r="DO57" t="e">
        <f>AND(#REF!,"AAAAAF//63Y=")</f>
        <v>#REF!</v>
      </c>
      <c r="DP57" t="e">
        <f>AND(#REF!,"AAAAAF//63c=")</f>
        <v>#REF!</v>
      </c>
      <c r="DQ57" t="e">
        <f>AND(#REF!,"AAAAAF//63g=")</f>
        <v>#REF!</v>
      </c>
      <c r="DR57" t="e">
        <f>AND(#REF!,"AAAAAF//63k=")</f>
        <v>#REF!</v>
      </c>
      <c r="DS57" t="e">
        <f>AND(#REF!,"AAAAAF//63o=")</f>
        <v>#REF!</v>
      </c>
      <c r="DT57" t="e">
        <f>IF(#REF!,"AAAAAF//63s=",0)</f>
        <v>#REF!</v>
      </c>
      <c r="DU57" t="e">
        <f>AND(#REF!,"AAAAAF//63w=")</f>
        <v>#REF!</v>
      </c>
      <c r="DV57" t="e">
        <f>AND(#REF!,"AAAAAF//630=")</f>
        <v>#REF!</v>
      </c>
      <c r="DW57" t="e">
        <f>AND(#REF!,"AAAAAF//634=")</f>
        <v>#REF!</v>
      </c>
      <c r="DX57" t="e">
        <f>AND(#REF!,"AAAAAF//638=")</f>
        <v>#REF!</v>
      </c>
      <c r="DY57" t="e">
        <f>AND(#REF!,"AAAAAF//64A=")</f>
        <v>#REF!</v>
      </c>
      <c r="DZ57" t="e">
        <f>AND(#REF!,"AAAAAF//64E=")</f>
        <v>#REF!</v>
      </c>
      <c r="EA57" t="e">
        <f>IF(#REF!,"AAAAAF//64I=",0)</f>
        <v>#REF!</v>
      </c>
      <c r="EB57" t="e">
        <f>AND(#REF!,"AAAAAF//64M=")</f>
        <v>#REF!</v>
      </c>
      <c r="EC57" t="e">
        <f>AND(#REF!,"AAAAAF//64Q=")</f>
        <v>#REF!</v>
      </c>
      <c r="ED57" t="e">
        <f>AND(#REF!,"AAAAAF//64U=")</f>
        <v>#REF!</v>
      </c>
      <c r="EE57" t="e">
        <f>AND(#REF!,"AAAAAF//64Y=")</f>
        <v>#REF!</v>
      </c>
      <c r="EF57" t="e">
        <f>AND(#REF!,"AAAAAF//64c=")</f>
        <v>#REF!</v>
      </c>
      <c r="EG57" t="e">
        <f>AND(#REF!,"AAAAAF//64g=")</f>
        <v>#REF!</v>
      </c>
      <c r="EH57" t="e">
        <f>IF(#REF!,"AAAAAF//64k=",0)</f>
        <v>#REF!</v>
      </c>
      <c r="EI57" t="e">
        <f>AND(#REF!,"AAAAAF//64o=")</f>
        <v>#REF!</v>
      </c>
      <c r="EJ57" t="e">
        <f>AND(#REF!,"AAAAAF//64s=")</f>
        <v>#REF!</v>
      </c>
      <c r="EK57" t="e">
        <f>AND(#REF!,"AAAAAF//64w=")</f>
        <v>#REF!</v>
      </c>
      <c r="EL57" t="e">
        <f>AND(#REF!,"AAAAAF//640=")</f>
        <v>#REF!</v>
      </c>
      <c r="EM57" t="e">
        <f>AND(#REF!,"AAAAAF//644=")</f>
        <v>#REF!</v>
      </c>
      <c r="EN57" t="e">
        <f>AND(#REF!,"AAAAAF//648=")</f>
        <v>#REF!</v>
      </c>
      <c r="EO57" t="e">
        <f>IF(#REF!,"AAAAAF//65A=",0)</f>
        <v>#REF!</v>
      </c>
      <c r="EP57" t="e">
        <f>AND(#REF!,"AAAAAF//65E=")</f>
        <v>#REF!</v>
      </c>
      <c r="EQ57" t="e">
        <f>AND(#REF!,"AAAAAF//65I=")</f>
        <v>#REF!</v>
      </c>
      <c r="ER57" t="e">
        <f>AND(#REF!,"AAAAAF//65M=")</f>
        <v>#REF!</v>
      </c>
      <c r="ES57" t="e">
        <f>AND(#REF!,"AAAAAF//65Q=")</f>
        <v>#REF!</v>
      </c>
      <c r="ET57" t="e">
        <f>AND(#REF!,"AAAAAF//65U=")</f>
        <v>#REF!</v>
      </c>
      <c r="EU57" t="e">
        <f>AND(#REF!,"AAAAAF//65Y=")</f>
        <v>#REF!</v>
      </c>
      <c r="EV57" t="e">
        <f>IF(#REF!,"AAAAAF//65c=",0)</f>
        <v>#REF!</v>
      </c>
      <c r="EW57" t="e">
        <f>AND(#REF!,"AAAAAF//65g=")</f>
        <v>#REF!</v>
      </c>
      <c r="EX57" t="e">
        <f>AND(#REF!,"AAAAAF//65k=")</f>
        <v>#REF!</v>
      </c>
      <c r="EY57" t="e">
        <f>AND(#REF!,"AAAAAF//65o=")</f>
        <v>#REF!</v>
      </c>
      <c r="EZ57" t="e">
        <f>AND(#REF!,"AAAAAF//65s=")</f>
        <v>#REF!</v>
      </c>
      <c r="FA57" t="e">
        <f>AND(#REF!,"AAAAAF//65w=")</f>
        <v>#REF!</v>
      </c>
      <c r="FB57" t="e">
        <f>AND(#REF!,"AAAAAF//650=")</f>
        <v>#REF!</v>
      </c>
      <c r="FC57" t="e">
        <f>IF(#REF!,"AAAAAF//654=",0)</f>
        <v>#REF!</v>
      </c>
      <c r="FD57" t="e">
        <f>AND(#REF!,"AAAAAF//658=")</f>
        <v>#REF!</v>
      </c>
      <c r="FE57" t="e">
        <f>AND(#REF!,"AAAAAF//66A=")</f>
        <v>#REF!</v>
      </c>
      <c r="FF57" t="e">
        <f>AND(#REF!,"AAAAAF//66E=")</f>
        <v>#REF!</v>
      </c>
      <c r="FG57" t="e">
        <f>AND(#REF!,"AAAAAF//66I=")</f>
        <v>#REF!</v>
      </c>
      <c r="FH57" t="e">
        <f>AND(#REF!,"AAAAAF//66M=")</f>
        <v>#REF!</v>
      </c>
      <c r="FI57" t="e">
        <f>AND(#REF!,"AAAAAF//66Q=")</f>
        <v>#REF!</v>
      </c>
      <c r="FJ57" t="e">
        <f>IF(#REF!,"AAAAAF//66U=",0)</f>
        <v>#REF!</v>
      </c>
      <c r="FK57" t="e">
        <f>AND(#REF!,"AAAAAF//66Y=")</f>
        <v>#REF!</v>
      </c>
      <c r="FL57" t="e">
        <f>AND(#REF!,"AAAAAF//66c=")</f>
        <v>#REF!</v>
      </c>
      <c r="FM57" t="e">
        <f>AND(#REF!,"AAAAAF//66g=")</f>
        <v>#REF!</v>
      </c>
      <c r="FN57" t="e">
        <f>AND(#REF!,"AAAAAF//66k=")</f>
        <v>#REF!</v>
      </c>
      <c r="FO57" t="e">
        <f>AND(#REF!,"AAAAAF//66o=")</f>
        <v>#REF!</v>
      </c>
      <c r="FP57" t="e">
        <f>AND(#REF!,"AAAAAF//66s=")</f>
        <v>#REF!</v>
      </c>
      <c r="FQ57" t="e">
        <f>IF(#REF!,"AAAAAF//66w=",0)</f>
        <v>#REF!</v>
      </c>
      <c r="FR57" t="e">
        <f>AND(#REF!,"AAAAAF//660=")</f>
        <v>#REF!</v>
      </c>
      <c r="FS57" t="e">
        <f>AND(#REF!,"AAAAAF//664=")</f>
        <v>#REF!</v>
      </c>
      <c r="FT57" t="e">
        <f>AND(#REF!,"AAAAAF//668=")</f>
        <v>#REF!</v>
      </c>
      <c r="FU57" t="e">
        <f>AND(#REF!,"AAAAAF//67A=")</f>
        <v>#REF!</v>
      </c>
      <c r="FV57" t="e">
        <f>AND(#REF!,"AAAAAF//67E=")</f>
        <v>#REF!</v>
      </c>
      <c r="FW57" t="e">
        <f>AND(#REF!,"AAAAAF//67I=")</f>
        <v>#REF!</v>
      </c>
      <c r="FX57" t="e">
        <f>IF(#REF!,"AAAAAF//67M=",0)</f>
        <v>#REF!</v>
      </c>
      <c r="FY57" t="e">
        <f>AND(#REF!,"AAAAAF//67Q=")</f>
        <v>#REF!</v>
      </c>
      <c r="FZ57" t="e">
        <f>AND(#REF!,"AAAAAF//67U=")</f>
        <v>#REF!</v>
      </c>
      <c r="GA57" t="e">
        <f>AND(#REF!,"AAAAAF//67Y=")</f>
        <v>#REF!</v>
      </c>
      <c r="GB57" t="e">
        <f>AND(#REF!,"AAAAAF//67c=")</f>
        <v>#REF!</v>
      </c>
      <c r="GC57" t="e">
        <f>AND(#REF!,"AAAAAF//67g=")</f>
        <v>#REF!</v>
      </c>
      <c r="GD57" t="e">
        <f>AND(#REF!,"AAAAAF//67k=")</f>
        <v>#REF!</v>
      </c>
      <c r="GE57" t="e">
        <f>IF(#REF!,"AAAAAF//67o=",0)</f>
        <v>#REF!</v>
      </c>
      <c r="GF57" t="e">
        <f>AND(#REF!,"AAAAAF//67s=")</f>
        <v>#REF!</v>
      </c>
      <c r="GG57" t="e">
        <f>AND(#REF!,"AAAAAF//67w=")</f>
        <v>#REF!</v>
      </c>
      <c r="GH57" t="e">
        <f>AND(#REF!,"AAAAAF//670=")</f>
        <v>#REF!</v>
      </c>
      <c r="GI57" t="e">
        <f>AND(#REF!,"AAAAAF//674=")</f>
        <v>#REF!</v>
      </c>
      <c r="GJ57" t="e">
        <f>AND(#REF!,"AAAAAF//678=")</f>
        <v>#REF!</v>
      </c>
      <c r="GK57" t="e">
        <f>AND(#REF!,"AAAAAF//68A=")</f>
        <v>#REF!</v>
      </c>
      <c r="GL57" t="e">
        <f>IF(#REF!,"AAAAAF//68E=",0)</f>
        <v>#REF!</v>
      </c>
      <c r="GM57" t="e">
        <f>AND(#REF!,"AAAAAF//68I=")</f>
        <v>#REF!</v>
      </c>
      <c r="GN57" t="e">
        <f>AND(#REF!,"AAAAAF//68M=")</f>
        <v>#REF!</v>
      </c>
      <c r="GO57" t="e">
        <f>AND(#REF!,"AAAAAF//68Q=")</f>
        <v>#REF!</v>
      </c>
      <c r="GP57" t="e">
        <f>AND(#REF!,"AAAAAF//68U=")</f>
        <v>#REF!</v>
      </c>
      <c r="GQ57" t="e">
        <f>AND(#REF!,"AAAAAF//68Y=")</f>
        <v>#REF!</v>
      </c>
      <c r="GR57" t="e">
        <f>AND(#REF!,"AAAAAF//68c=")</f>
        <v>#REF!</v>
      </c>
      <c r="GS57" t="e">
        <f>IF(#REF!,"AAAAAF//68g=",0)</f>
        <v>#REF!</v>
      </c>
      <c r="GT57" t="e">
        <f>AND(#REF!,"AAAAAF//68k=")</f>
        <v>#REF!</v>
      </c>
      <c r="GU57" t="e">
        <f>AND(#REF!,"AAAAAF//68o=")</f>
        <v>#REF!</v>
      </c>
      <c r="GV57" t="e">
        <f>AND(#REF!,"AAAAAF//68s=")</f>
        <v>#REF!</v>
      </c>
      <c r="GW57" t="e">
        <f>AND(#REF!,"AAAAAF//68w=")</f>
        <v>#REF!</v>
      </c>
      <c r="GX57" t="e">
        <f>AND(#REF!,"AAAAAF//680=")</f>
        <v>#REF!</v>
      </c>
      <c r="GY57" t="e">
        <f>AND(#REF!,"AAAAAF//684=")</f>
        <v>#REF!</v>
      </c>
      <c r="GZ57" t="e">
        <f>IF(#REF!,"AAAAAF//688=",0)</f>
        <v>#REF!</v>
      </c>
      <c r="HA57" t="e">
        <f>AND(#REF!,"AAAAAF//69A=")</f>
        <v>#REF!</v>
      </c>
      <c r="HB57" t="e">
        <f>AND(#REF!,"AAAAAF//69E=")</f>
        <v>#REF!</v>
      </c>
      <c r="HC57" t="e">
        <f>AND(#REF!,"AAAAAF//69I=")</f>
        <v>#REF!</v>
      </c>
      <c r="HD57" t="e">
        <f>AND(#REF!,"AAAAAF//69M=")</f>
        <v>#REF!</v>
      </c>
      <c r="HE57" t="e">
        <f>AND(#REF!,"AAAAAF//69Q=")</f>
        <v>#REF!</v>
      </c>
      <c r="HF57" t="e">
        <f>AND(#REF!,"AAAAAF//69U=")</f>
        <v>#REF!</v>
      </c>
      <c r="HG57" t="e">
        <f>IF(#REF!,"AAAAAF//69Y=",0)</f>
        <v>#REF!</v>
      </c>
      <c r="HH57" t="e">
        <f>AND(#REF!,"AAAAAF//69c=")</f>
        <v>#REF!</v>
      </c>
      <c r="HI57" t="e">
        <f>AND(#REF!,"AAAAAF//69g=")</f>
        <v>#REF!</v>
      </c>
      <c r="HJ57" t="e">
        <f>AND(#REF!,"AAAAAF//69k=")</f>
        <v>#REF!</v>
      </c>
      <c r="HK57" t="e">
        <f>AND(#REF!,"AAAAAF//69o=")</f>
        <v>#REF!</v>
      </c>
      <c r="HL57" t="e">
        <f>AND(#REF!,"AAAAAF//69s=")</f>
        <v>#REF!</v>
      </c>
      <c r="HM57" t="e">
        <f>AND(#REF!,"AAAAAF//69w=")</f>
        <v>#REF!</v>
      </c>
      <c r="HN57" t="e">
        <f>IF(#REF!,"AAAAAF//690=",0)</f>
        <v>#REF!</v>
      </c>
      <c r="HO57" t="e">
        <f>AND(#REF!,"AAAAAF//694=")</f>
        <v>#REF!</v>
      </c>
      <c r="HP57" t="e">
        <f>AND(#REF!,"AAAAAF//698=")</f>
        <v>#REF!</v>
      </c>
      <c r="HQ57" t="e">
        <f>AND(#REF!,"AAAAAF//6+A=")</f>
        <v>#REF!</v>
      </c>
      <c r="HR57" t="e">
        <f>AND(#REF!,"AAAAAF//6+E=")</f>
        <v>#REF!</v>
      </c>
      <c r="HS57" t="e">
        <f>AND(#REF!,"AAAAAF//6+I=")</f>
        <v>#REF!</v>
      </c>
      <c r="HT57" t="e">
        <f>AND(#REF!,"AAAAAF//6+M=")</f>
        <v>#REF!</v>
      </c>
      <c r="HU57" t="e">
        <f>IF(#REF!,"AAAAAF//6+Q=",0)</f>
        <v>#REF!</v>
      </c>
      <c r="HV57" t="e">
        <f>AND(#REF!,"AAAAAF//6+U=")</f>
        <v>#REF!</v>
      </c>
      <c r="HW57" t="e">
        <f>AND(#REF!,"AAAAAF//6+Y=")</f>
        <v>#REF!</v>
      </c>
      <c r="HX57" t="e">
        <f>AND(#REF!,"AAAAAF//6+c=")</f>
        <v>#REF!</v>
      </c>
      <c r="HY57" t="e">
        <f>AND(#REF!,"AAAAAF//6+g=")</f>
        <v>#REF!</v>
      </c>
      <c r="HZ57" t="e">
        <f>AND(#REF!,"AAAAAF//6+k=")</f>
        <v>#REF!</v>
      </c>
      <c r="IA57" t="e">
        <f>AND(#REF!,"AAAAAF//6+o=")</f>
        <v>#REF!</v>
      </c>
      <c r="IB57" t="e">
        <f>IF(#REF!,"AAAAAF//6+s=",0)</f>
        <v>#REF!</v>
      </c>
      <c r="IC57" t="e">
        <f>AND(#REF!,"AAAAAF//6+w=")</f>
        <v>#REF!</v>
      </c>
      <c r="ID57" t="e">
        <f>AND(#REF!,"AAAAAF//6+0=")</f>
        <v>#REF!</v>
      </c>
      <c r="IE57" t="e">
        <f>AND(#REF!,"AAAAAF//6+4=")</f>
        <v>#REF!</v>
      </c>
      <c r="IF57" t="e">
        <f>AND(#REF!,"AAAAAF//6+8=")</f>
        <v>#REF!</v>
      </c>
      <c r="IG57" t="e">
        <f>AND(#REF!,"AAAAAF//6/A=")</f>
        <v>#REF!</v>
      </c>
      <c r="IH57" t="e">
        <f>AND(#REF!,"AAAAAF//6/E=")</f>
        <v>#REF!</v>
      </c>
      <c r="II57" t="e">
        <f>IF(#REF!,"AAAAAF//6/I=",0)</f>
        <v>#REF!</v>
      </c>
      <c r="IJ57" t="e">
        <f>AND(#REF!,"AAAAAF//6/M=")</f>
        <v>#REF!</v>
      </c>
      <c r="IK57" t="e">
        <f>AND(#REF!,"AAAAAF//6/Q=")</f>
        <v>#REF!</v>
      </c>
      <c r="IL57" t="e">
        <f>AND(#REF!,"AAAAAF//6/U=")</f>
        <v>#REF!</v>
      </c>
      <c r="IM57" t="e">
        <f>AND(#REF!,"AAAAAF//6/Y=")</f>
        <v>#REF!</v>
      </c>
      <c r="IN57" t="e">
        <f>AND(#REF!,"AAAAAF//6/c=")</f>
        <v>#REF!</v>
      </c>
      <c r="IO57" t="e">
        <f>AND(#REF!,"AAAAAF//6/g=")</f>
        <v>#REF!</v>
      </c>
      <c r="IP57" t="e">
        <f>IF(#REF!,"AAAAAF//6/k=",0)</f>
        <v>#REF!</v>
      </c>
      <c r="IQ57" t="e">
        <f>AND(#REF!,"AAAAAF//6/o=")</f>
        <v>#REF!</v>
      </c>
      <c r="IR57" t="e">
        <f>AND(#REF!,"AAAAAF//6/s=")</f>
        <v>#REF!</v>
      </c>
      <c r="IS57" t="e">
        <f>AND(#REF!,"AAAAAF//6/w=")</f>
        <v>#REF!</v>
      </c>
      <c r="IT57" t="e">
        <f>AND(#REF!,"AAAAAF//6/0=")</f>
        <v>#REF!</v>
      </c>
      <c r="IU57" t="e">
        <f>AND(#REF!,"AAAAAF//6/4=")</f>
        <v>#REF!</v>
      </c>
      <c r="IV57" t="e">
        <f>AND(#REF!,"AAAAAF//6/8=")</f>
        <v>#REF!</v>
      </c>
    </row>
    <row r="58" spans="1:256" x14ac:dyDescent="0.25">
      <c r="A58" t="e">
        <f>IF(#REF!,"AAAAAF/dTwA=",0)</f>
        <v>#REF!</v>
      </c>
      <c r="B58" t="e">
        <f>AND(#REF!,"AAAAAF/dTwE=")</f>
        <v>#REF!</v>
      </c>
      <c r="C58" t="e">
        <f>AND(#REF!,"AAAAAF/dTwI=")</f>
        <v>#REF!</v>
      </c>
      <c r="D58" t="e">
        <f>AND(#REF!,"AAAAAF/dTwM=")</f>
        <v>#REF!</v>
      </c>
      <c r="E58" t="e">
        <f>AND(#REF!,"AAAAAF/dTwQ=")</f>
        <v>#REF!</v>
      </c>
      <c r="F58" t="e">
        <f>AND(#REF!,"AAAAAF/dTwU=")</f>
        <v>#REF!</v>
      </c>
      <c r="G58" t="e">
        <f>AND(#REF!,"AAAAAF/dTwY=")</f>
        <v>#REF!</v>
      </c>
      <c r="H58" t="e">
        <f>IF(#REF!,"AAAAAF/dTwc=",0)</f>
        <v>#REF!</v>
      </c>
      <c r="I58" t="e">
        <f>AND(#REF!,"AAAAAF/dTwg=")</f>
        <v>#REF!</v>
      </c>
      <c r="J58" t="e">
        <f>AND(#REF!,"AAAAAF/dTwk=")</f>
        <v>#REF!</v>
      </c>
      <c r="K58" t="e">
        <f>AND(#REF!,"AAAAAF/dTwo=")</f>
        <v>#REF!</v>
      </c>
      <c r="L58" t="e">
        <f>AND(#REF!,"AAAAAF/dTws=")</f>
        <v>#REF!</v>
      </c>
      <c r="M58" t="e">
        <f>AND(#REF!,"AAAAAF/dTww=")</f>
        <v>#REF!</v>
      </c>
      <c r="N58" t="e">
        <f>AND(#REF!,"AAAAAF/dTw0=")</f>
        <v>#REF!</v>
      </c>
      <c r="O58" t="e">
        <f>IF(#REF!,"AAAAAF/dTw4=",0)</f>
        <v>#REF!</v>
      </c>
      <c r="P58" t="e">
        <f>AND(#REF!,"AAAAAF/dTw8=")</f>
        <v>#REF!</v>
      </c>
      <c r="Q58" t="e">
        <f>AND(#REF!,"AAAAAF/dTxA=")</f>
        <v>#REF!</v>
      </c>
      <c r="R58" t="e">
        <f>AND(#REF!,"AAAAAF/dTxE=")</f>
        <v>#REF!</v>
      </c>
      <c r="S58" t="e">
        <f>AND(#REF!,"AAAAAF/dTxI=")</f>
        <v>#REF!</v>
      </c>
      <c r="T58" t="e">
        <f>AND(#REF!,"AAAAAF/dTxM=")</f>
        <v>#REF!</v>
      </c>
      <c r="U58" t="e">
        <f>AND(#REF!,"AAAAAF/dTxQ=")</f>
        <v>#REF!</v>
      </c>
      <c r="V58" t="e">
        <f>IF(#REF!,"AAAAAF/dTxU=",0)</f>
        <v>#REF!</v>
      </c>
      <c r="W58" t="e">
        <f>AND(#REF!,"AAAAAF/dTxY=")</f>
        <v>#REF!</v>
      </c>
      <c r="X58" t="e">
        <f>AND(#REF!,"AAAAAF/dTxc=")</f>
        <v>#REF!</v>
      </c>
      <c r="Y58" t="e">
        <f>AND(#REF!,"AAAAAF/dTxg=")</f>
        <v>#REF!</v>
      </c>
      <c r="Z58" t="e">
        <f>AND(#REF!,"AAAAAF/dTxk=")</f>
        <v>#REF!</v>
      </c>
      <c r="AA58" t="e">
        <f>AND(#REF!,"AAAAAF/dTxo=")</f>
        <v>#REF!</v>
      </c>
      <c r="AB58" t="e">
        <f>AND(#REF!,"AAAAAF/dTxs=")</f>
        <v>#REF!</v>
      </c>
      <c r="AC58" t="e">
        <f>IF(#REF!,"AAAAAF/dTxw=",0)</f>
        <v>#REF!</v>
      </c>
      <c r="AD58" t="e">
        <f>AND(#REF!,"AAAAAF/dTx0=")</f>
        <v>#REF!</v>
      </c>
      <c r="AE58" t="e">
        <f>AND(#REF!,"AAAAAF/dTx4=")</f>
        <v>#REF!</v>
      </c>
      <c r="AF58" t="e">
        <f>AND(#REF!,"AAAAAF/dTx8=")</f>
        <v>#REF!</v>
      </c>
      <c r="AG58" t="e">
        <f>AND(#REF!,"AAAAAF/dTyA=")</f>
        <v>#REF!</v>
      </c>
      <c r="AH58" t="e">
        <f>AND(#REF!,"AAAAAF/dTyE=")</f>
        <v>#REF!</v>
      </c>
      <c r="AI58" t="e">
        <f>AND(#REF!,"AAAAAF/dTyI=")</f>
        <v>#REF!</v>
      </c>
      <c r="AJ58" t="e">
        <f>IF(#REF!,"AAAAAF/dTyM=",0)</f>
        <v>#REF!</v>
      </c>
      <c r="AK58" t="e">
        <f>AND(#REF!,"AAAAAF/dTyQ=")</f>
        <v>#REF!</v>
      </c>
      <c r="AL58" t="e">
        <f>AND(#REF!,"AAAAAF/dTyU=")</f>
        <v>#REF!</v>
      </c>
      <c r="AM58" t="e">
        <f>AND(#REF!,"AAAAAF/dTyY=")</f>
        <v>#REF!</v>
      </c>
      <c r="AN58" t="e">
        <f>AND(#REF!,"AAAAAF/dTyc=")</f>
        <v>#REF!</v>
      </c>
      <c r="AO58" t="e">
        <f>AND(#REF!,"AAAAAF/dTyg=")</f>
        <v>#REF!</v>
      </c>
      <c r="AP58" t="e">
        <f>AND(#REF!,"AAAAAF/dTyk=")</f>
        <v>#REF!</v>
      </c>
      <c r="AQ58" t="e">
        <f>IF(#REF!,"AAAAAF/dTyo=",0)</f>
        <v>#REF!</v>
      </c>
      <c r="AR58" t="e">
        <f>AND(#REF!,"AAAAAF/dTys=")</f>
        <v>#REF!</v>
      </c>
      <c r="AS58" t="e">
        <f>AND(#REF!,"AAAAAF/dTyw=")</f>
        <v>#REF!</v>
      </c>
      <c r="AT58" t="e">
        <f>AND(#REF!,"AAAAAF/dTy0=")</f>
        <v>#REF!</v>
      </c>
      <c r="AU58" t="e">
        <f>AND(#REF!,"AAAAAF/dTy4=")</f>
        <v>#REF!</v>
      </c>
      <c r="AV58" t="e">
        <f>AND(#REF!,"AAAAAF/dTy8=")</f>
        <v>#REF!</v>
      </c>
      <c r="AW58" t="e">
        <f>AND(#REF!,"AAAAAF/dTzA=")</f>
        <v>#REF!</v>
      </c>
      <c r="AX58" t="e">
        <f>IF(#REF!,"AAAAAF/dTzE=",0)</f>
        <v>#REF!</v>
      </c>
      <c r="AY58" t="e">
        <f>AND(#REF!,"AAAAAF/dTzI=")</f>
        <v>#REF!</v>
      </c>
      <c r="AZ58" t="e">
        <f>AND(#REF!,"AAAAAF/dTzM=")</f>
        <v>#REF!</v>
      </c>
      <c r="BA58" t="e">
        <f>AND(#REF!,"AAAAAF/dTzQ=")</f>
        <v>#REF!</v>
      </c>
      <c r="BB58" t="e">
        <f>AND(#REF!,"AAAAAF/dTzU=")</f>
        <v>#REF!</v>
      </c>
      <c r="BC58" t="e">
        <f>AND(#REF!,"AAAAAF/dTzY=")</f>
        <v>#REF!</v>
      </c>
      <c r="BD58" t="e">
        <f>AND(#REF!,"AAAAAF/dTzc=")</f>
        <v>#REF!</v>
      </c>
      <c r="BE58" t="e">
        <f>IF(#REF!,"AAAAAF/dTzg=",0)</f>
        <v>#REF!</v>
      </c>
      <c r="BF58" t="e">
        <f>AND(#REF!,"AAAAAF/dTzk=")</f>
        <v>#REF!</v>
      </c>
      <c r="BG58" t="e">
        <f>AND(#REF!,"AAAAAF/dTzo=")</f>
        <v>#REF!</v>
      </c>
      <c r="BH58" t="e">
        <f>AND(#REF!,"AAAAAF/dTzs=")</f>
        <v>#REF!</v>
      </c>
      <c r="BI58" t="e">
        <f>AND(#REF!,"AAAAAF/dTzw=")</f>
        <v>#REF!</v>
      </c>
      <c r="BJ58" t="e">
        <f>AND(#REF!,"AAAAAF/dTz0=")</f>
        <v>#REF!</v>
      </c>
      <c r="BK58" t="e">
        <f>AND(#REF!,"AAAAAF/dTz4=")</f>
        <v>#REF!</v>
      </c>
      <c r="BL58" t="e">
        <f>IF(#REF!,"AAAAAF/dTz8=",0)</f>
        <v>#REF!</v>
      </c>
      <c r="BM58" t="e">
        <f>AND(#REF!,"AAAAAF/dT0A=")</f>
        <v>#REF!</v>
      </c>
      <c r="BN58" t="e">
        <f>AND(#REF!,"AAAAAF/dT0E=")</f>
        <v>#REF!</v>
      </c>
      <c r="BO58" t="e">
        <f>AND(#REF!,"AAAAAF/dT0I=")</f>
        <v>#REF!</v>
      </c>
      <c r="BP58" t="e">
        <f>AND(#REF!,"AAAAAF/dT0M=")</f>
        <v>#REF!</v>
      </c>
      <c r="BQ58" t="e">
        <f>AND(#REF!,"AAAAAF/dT0Q=")</f>
        <v>#REF!</v>
      </c>
      <c r="BR58" t="e">
        <f>AND(#REF!,"AAAAAF/dT0U=")</f>
        <v>#REF!</v>
      </c>
      <c r="BS58" t="e">
        <f>IF(#REF!,"AAAAAF/dT0Y=",0)</f>
        <v>#REF!</v>
      </c>
      <c r="BT58" t="e">
        <f>AND(#REF!,"AAAAAF/dT0c=")</f>
        <v>#REF!</v>
      </c>
      <c r="BU58" t="e">
        <f>AND(#REF!,"AAAAAF/dT0g=")</f>
        <v>#REF!</v>
      </c>
      <c r="BV58" t="e">
        <f>AND(#REF!,"AAAAAF/dT0k=")</f>
        <v>#REF!</v>
      </c>
      <c r="BW58" t="e">
        <f>AND(#REF!,"AAAAAF/dT0o=")</f>
        <v>#REF!</v>
      </c>
      <c r="BX58" t="e">
        <f>AND(#REF!,"AAAAAF/dT0s=")</f>
        <v>#REF!</v>
      </c>
      <c r="BY58" t="e">
        <f>AND(#REF!,"AAAAAF/dT0w=")</f>
        <v>#REF!</v>
      </c>
      <c r="BZ58" t="e">
        <f>IF(#REF!,"AAAAAF/dT00=",0)</f>
        <v>#REF!</v>
      </c>
      <c r="CA58" t="e">
        <f>AND(#REF!,"AAAAAF/dT04=")</f>
        <v>#REF!</v>
      </c>
      <c r="CB58" t="e">
        <f>AND(#REF!,"AAAAAF/dT08=")</f>
        <v>#REF!</v>
      </c>
      <c r="CC58" t="e">
        <f>AND(#REF!,"AAAAAF/dT1A=")</f>
        <v>#REF!</v>
      </c>
      <c r="CD58" t="e">
        <f>AND(#REF!,"AAAAAF/dT1E=")</f>
        <v>#REF!</v>
      </c>
      <c r="CE58" t="e">
        <f>AND(#REF!,"AAAAAF/dT1I=")</f>
        <v>#REF!</v>
      </c>
      <c r="CF58" t="e">
        <f>AND(#REF!,"AAAAAF/dT1M=")</f>
        <v>#REF!</v>
      </c>
      <c r="CG58" t="e">
        <f>IF(#REF!,"AAAAAF/dT1Q=",0)</f>
        <v>#REF!</v>
      </c>
      <c r="CH58" t="e">
        <f>AND(#REF!,"AAAAAF/dT1U=")</f>
        <v>#REF!</v>
      </c>
      <c r="CI58" t="e">
        <f>AND(#REF!,"AAAAAF/dT1Y=")</f>
        <v>#REF!</v>
      </c>
      <c r="CJ58" t="e">
        <f>AND(#REF!,"AAAAAF/dT1c=")</f>
        <v>#REF!</v>
      </c>
      <c r="CK58" t="e">
        <f>AND(#REF!,"AAAAAF/dT1g=")</f>
        <v>#REF!</v>
      </c>
      <c r="CL58" t="e">
        <f>AND(#REF!,"AAAAAF/dT1k=")</f>
        <v>#REF!</v>
      </c>
      <c r="CM58" t="e">
        <f>AND(#REF!,"AAAAAF/dT1o=")</f>
        <v>#REF!</v>
      </c>
      <c r="CN58" t="e">
        <f>IF(#REF!,"AAAAAF/dT1s=",0)</f>
        <v>#REF!</v>
      </c>
      <c r="CO58" t="e">
        <f>AND(#REF!,"AAAAAF/dT1w=")</f>
        <v>#REF!</v>
      </c>
      <c r="CP58" t="e">
        <f>AND(#REF!,"AAAAAF/dT10=")</f>
        <v>#REF!</v>
      </c>
      <c r="CQ58" t="e">
        <f>AND(#REF!,"AAAAAF/dT14=")</f>
        <v>#REF!</v>
      </c>
      <c r="CR58" t="e">
        <f>AND(#REF!,"AAAAAF/dT18=")</f>
        <v>#REF!</v>
      </c>
      <c r="CS58" t="e">
        <f>AND(#REF!,"AAAAAF/dT2A=")</f>
        <v>#REF!</v>
      </c>
      <c r="CT58" t="e">
        <f>AND(#REF!,"AAAAAF/dT2E=")</f>
        <v>#REF!</v>
      </c>
      <c r="CU58" t="e">
        <f>IF(#REF!,"AAAAAF/dT2I=",0)</f>
        <v>#REF!</v>
      </c>
      <c r="CV58" t="e">
        <f>AND(#REF!,"AAAAAF/dT2M=")</f>
        <v>#REF!</v>
      </c>
      <c r="CW58" t="e">
        <f>AND(#REF!,"AAAAAF/dT2Q=")</f>
        <v>#REF!</v>
      </c>
      <c r="CX58" t="e">
        <f>AND(#REF!,"AAAAAF/dT2U=")</f>
        <v>#REF!</v>
      </c>
      <c r="CY58" t="e">
        <f>AND(#REF!,"AAAAAF/dT2Y=")</f>
        <v>#REF!</v>
      </c>
      <c r="CZ58" t="e">
        <f>AND(#REF!,"AAAAAF/dT2c=")</f>
        <v>#REF!</v>
      </c>
      <c r="DA58" t="e">
        <f>AND(#REF!,"AAAAAF/dT2g=")</f>
        <v>#REF!</v>
      </c>
      <c r="DB58" t="e">
        <f>IF(#REF!,"AAAAAF/dT2k=",0)</f>
        <v>#REF!</v>
      </c>
      <c r="DC58" t="e">
        <f>AND(#REF!,"AAAAAF/dT2o=")</f>
        <v>#REF!</v>
      </c>
      <c r="DD58" t="e">
        <f>AND(#REF!,"AAAAAF/dT2s=")</f>
        <v>#REF!</v>
      </c>
      <c r="DE58" t="e">
        <f>AND(#REF!,"AAAAAF/dT2w=")</f>
        <v>#REF!</v>
      </c>
      <c r="DF58" t="e">
        <f>AND(#REF!,"AAAAAF/dT20=")</f>
        <v>#REF!</v>
      </c>
      <c r="DG58" t="e">
        <f>AND(#REF!,"AAAAAF/dT24=")</f>
        <v>#REF!</v>
      </c>
      <c r="DH58" t="e">
        <f>AND(#REF!,"AAAAAF/dT28=")</f>
        <v>#REF!</v>
      </c>
      <c r="DI58" t="e">
        <f>IF(#REF!,"AAAAAF/dT3A=",0)</f>
        <v>#REF!</v>
      </c>
      <c r="DJ58" t="e">
        <f>AND(#REF!,"AAAAAF/dT3E=")</f>
        <v>#REF!</v>
      </c>
      <c r="DK58" t="e">
        <f>AND(#REF!,"AAAAAF/dT3I=")</f>
        <v>#REF!</v>
      </c>
      <c r="DL58" t="e">
        <f>AND(#REF!,"AAAAAF/dT3M=")</f>
        <v>#REF!</v>
      </c>
      <c r="DM58" t="e">
        <f>AND(#REF!,"AAAAAF/dT3Q=")</f>
        <v>#REF!</v>
      </c>
      <c r="DN58" t="e">
        <f>AND(#REF!,"AAAAAF/dT3U=")</f>
        <v>#REF!</v>
      </c>
      <c r="DO58" t="e">
        <f>AND(#REF!,"AAAAAF/dT3Y=")</f>
        <v>#REF!</v>
      </c>
      <c r="DP58" t="e">
        <f>IF(#REF!,"AAAAAF/dT3c=",0)</f>
        <v>#REF!</v>
      </c>
      <c r="DQ58" t="e">
        <f>AND(#REF!,"AAAAAF/dT3g=")</f>
        <v>#REF!</v>
      </c>
      <c r="DR58" t="e">
        <f>AND(#REF!,"AAAAAF/dT3k=")</f>
        <v>#REF!</v>
      </c>
      <c r="DS58" t="e">
        <f>AND(#REF!,"AAAAAF/dT3o=")</f>
        <v>#REF!</v>
      </c>
      <c r="DT58" t="e">
        <f>AND(#REF!,"AAAAAF/dT3s=")</f>
        <v>#REF!</v>
      </c>
      <c r="DU58" t="e">
        <f>AND(#REF!,"AAAAAF/dT3w=")</f>
        <v>#REF!</v>
      </c>
      <c r="DV58" t="e">
        <f>AND(#REF!,"AAAAAF/dT30=")</f>
        <v>#REF!</v>
      </c>
      <c r="DW58" t="e">
        <f>IF(#REF!,"AAAAAF/dT34=",0)</f>
        <v>#REF!</v>
      </c>
      <c r="DX58" t="e">
        <f>AND(#REF!,"AAAAAF/dT38=")</f>
        <v>#REF!</v>
      </c>
      <c r="DY58" t="e">
        <f>AND(#REF!,"AAAAAF/dT4A=")</f>
        <v>#REF!</v>
      </c>
      <c r="DZ58" t="e">
        <f>AND(#REF!,"AAAAAF/dT4E=")</f>
        <v>#REF!</v>
      </c>
      <c r="EA58" t="e">
        <f>AND(#REF!,"AAAAAF/dT4I=")</f>
        <v>#REF!</v>
      </c>
      <c r="EB58" t="e">
        <f>AND(#REF!,"AAAAAF/dT4M=")</f>
        <v>#REF!</v>
      </c>
      <c r="EC58" t="e">
        <f>AND(#REF!,"AAAAAF/dT4Q=")</f>
        <v>#REF!</v>
      </c>
      <c r="ED58" t="e">
        <f>IF(#REF!,"AAAAAF/dT4U=",0)</f>
        <v>#REF!</v>
      </c>
      <c r="EE58" t="e">
        <f>AND(#REF!,"AAAAAF/dT4Y=")</f>
        <v>#REF!</v>
      </c>
      <c r="EF58" t="e">
        <f>AND(#REF!,"AAAAAF/dT4c=")</f>
        <v>#REF!</v>
      </c>
      <c r="EG58" t="e">
        <f>AND(#REF!,"AAAAAF/dT4g=")</f>
        <v>#REF!</v>
      </c>
      <c r="EH58" t="e">
        <f>AND(#REF!,"AAAAAF/dT4k=")</f>
        <v>#REF!</v>
      </c>
      <c r="EI58" t="e">
        <f>AND(#REF!,"AAAAAF/dT4o=")</f>
        <v>#REF!</v>
      </c>
      <c r="EJ58" t="e">
        <f>AND(#REF!,"AAAAAF/dT4s=")</f>
        <v>#REF!</v>
      </c>
      <c r="EK58" t="e">
        <f>IF(#REF!,"AAAAAF/dT4w=",0)</f>
        <v>#REF!</v>
      </c>
      <c r="EL58" t="e">
        <f>AND(#REF!,"AAAAAF/dT40=")</f>
        <v>#REF!</v>
      </c>
      <c r="EM58" t="e">
        <f>AND(#REF!,"AAAAAF/dT44=")</f>
        <v>#REF!</v>
      </c>
      <c r="EN58" t="e">
        <f>AND(#REF!,"AAAAAF/dT48=")</f>
        <v>#REF!</v>
      </c>
      <c r="EO58" t="e">
        <f>AND(#REF!,"AAAAAF/dT5A=")</f>
        <v>#REF!</v>
      </c>
      <c r="EP58" t="e">
        <f>AND(#REF!,"AAAAAF/dT5E=")</f>
        <v>#REF!</v>
      </c>
      <c r="EQ58" t="e">
        <f>AND(#REF!,"AAAAAF/dT5I=")</f>
        <v>#REF!</v>
      </c>
      <c r="ER58" t="e">
        <f>IF(#REF!,"AAAAAF/dT5M=",0)</f>
        <v>#REF!</v>
      </c>
      <c r="ES58" t="e">
        <f>AND(#REF!,"AAAAAF/dT5Q=")</f>
        <v>#REF!</v>
      </c>
      <c r="ET58" t="e">
        <f>AND(#REF!,"AAAAAF/dT5U=")</f>
        <v>#REF!</v>
      </c>
      <c r="EU58" t="e">
        <f>AND(#REF!,"AAAAAF/dT5Y=")</f>
        <v>#REF!</v>
      </c>
      <c r="EV58" t="e">
        <f>AND(#REF!,"AAAAAF/dT5c=")</f>
        <v>#REF!</v>
      </c>
      <c r="EW58" t="e">
        <f>AND(#REF!,"AAAAAF/dT5g=")</f>
        <v>#REF!</v>
      </c>
      <c r="EX58" t="e">
        <f>AND(#REF!,"AAAAAF/dT5k=")</f>
        <v>#REF!</v>
      </c>
      <c r="EY58" t="e">
        <f>IF(#REF!,"AAAAAF/dT5o=",0)</f>
        <v>#REF!</v>
      </c>
      <c r="EZ58" t="e">
        <f>AND(#REF!,"AAAAAF/dT5s=")</f>
        <v>#REF!</v>
      </c>
      <c r="FA58" t="e">
        <f>AND(#REF!,"AAAAAF/dT5w=")</f>
        <v>#REF!</v>
      </c>
      <c r="FB58" t="e">
        <f>AND(#REF!,"AAAAAF/dT50=")</f>
        <v>#REF!</v>
      </c>
      <c r="FC58" t="e">
        <f>AND(#REF!,"AAAAAF/dT54=")</f>
        <v>#REF!</v>
      </c>
      <c r="FD58" t="e">
        <f>AND(#REF!,"AAAAAF/dT58=")</f>
        <v>#REF!</v>
      </c>
      <c r="FE58" t="e">
        <f>AND(#REF!,"AAAAAF/dT6A=")</f>
        <v>#REF!</v>
      </c>
      <c r="FF58" t="e">
        <f>IF(#REF!,"AAAAAF/dT6E=",0)</f>
        <v>#REF!</v>
      </c>
      <c r="FG58" t="e">
        <f>AND(#REF!,"AAAAAF/dT6I=")</f>
        <v>#REF!</v>
      </c>
      <c r="FH58" t="e">
        <f>AND(#REF!,"AAAAAF/dT6M=")</f>
        <v>#REF!</v>
      </c>
      <c r="FI58" t="e">
        <f>AND(#REF!,"AAAAAF/dT6Q=")</f>
        <v>#REF!</v>
      </c>
      <c r="FJ58" t="e">
        <f>AND(#REF!,"AAAAAF/dT6U=")</f>
        <v>#REF!</v>
      </c>
      <c r="FK58" t="e">
        <f>AND(#REF!,"AAAAAF/dT6Y=")</f>
        <v>#REF!</v>
      </c>
      <c r="FL58" t="e">
        <f>AND(#REF!,"AAAAAF/dT6c=")</f>
        <v>#REF!</v>
      </c>
      <c r="FM58" t="e">
        <f>IF(#REF!,"AAAAAF/dT6g=",0)</f>
        <v>#REF!</v>
      </c>
      <c r="FN58" t="e">
        <f>AND(#REF!,"AAAAAF/dT6k=")</f>
        <v>#REF!</v>
      </c>
      <c r="FO58" t="e">
        <f>AND(#REF!,"AAAAAF/dT6o=")</f>
        <v>#REF!</v>
      </c>
      <c r="FP58" t="e">
        <f>AND(#REF!,"AAAAAF/dT6s=")</f>
        <v>#REF!</v>
      </c>
      <c r="FQ58" t="e">
        <f>AND(#REF!,"AAAAAF/dT6w=")</f>
        <v>#REF!</v>
      </c>
      <c r="FR58" t="e">
        <f>AND(#REF!,"AAAAAF/dT60=")</f>
        <v>#REF!</v>
      </c>
      <c r="FS58" t="e">
        <f>AND(#REF!,"AAAAAF/dT64=")</f>
        <v>#REF!</v>
      </c>
      <c r="FT58" t="e">
        <f>IF(#REF!,"AAAAAF/dT68=",0)</f>
        <v>#REF!</v>
      </c>
      <c r="FU58" t="e">
        <f>AND(#REF!,"AAAAAF/dT7A=")</f>
        <v>#REF!</v>
      </c>
      <c r="FV58" t="e">
        <f>AND(#REF!,"AAAAAF/dT7E=")</f>
        <v>#REF!</v>
      </c>
      <c r="FW58" t="e">
        <f>AND(#REF!,"AAAAAF/dT7I=")</f>
        <v>#REF!</v>
      </c>
      <c r="FX58" t="e">
        <f>AND(#REF!,"AAAAAF/dT7M=")</f>
        <v>#REF!</v>
      </c>
      <c r="FY58" t="e">
        <f>AND(#REF!,"AAAAAF/dT7Q=")</f>
        <v>#REF!</v>
      </c>
      <c r="FZ58" t="e">
        <f>AND(#REF!,"AAAAAF/dT7U=")</f>
        <v>#REF!</v>
      </c>
      <c r="GA58" t="e">
        <f>IF(#REF!,"AAAAAF/dT7Y=",0)</f>
        <v>#REF!</v>
      </c>
      <c r="GB58" t="e">
        <f>AND(#REF!,"AAAAAF/dT7c=")</f>
        <v>#REF!</v>
      </c>
      <c r="GC58" t="e">
        <f>AND(#REF!,"AAAAAF/dT7g=")</f>
        <v>#REF!</v>
      </c>
      <c r="GD58" t="e">
        <f>AND(#REF!,"AAAAAF/dT7k=")</f>
        <v>#REF!</v>
      </c>
      <c r="GE58" t="e">
        <f>AND(#REF!,"AAAAAF/dT7o=")</f>
        <v>#REF!</v>
      </c>
      <c r="GF58" t="e">
        <f>AND(#REF!,"AAAAAF/dT7s=")</f>
        <v>#REF!</v>
      </c>
      <c r="GG58" t="e">
        <f>AND(#REF!,"AAAAAF/dT7w=")</f>
        <v>#REF!</v>
      </c>
      <c r="GH58" t="e">
        <f>IF(#REF!,"AAAAAF/dT70=",0)</f>
        <v>#REF!</v>
      </c>
      <c r="GI58" t="e">
        <f>AND(#REF!,"AAAAAF/dT74=")</f>
        <v>#REF!</v>
      </c>
      <c r="GJ58" t="e">
        <f>AND(#REF!,"AAAAAF/dT78=")</f>
        <v>#REF!</v>
      </c>
      <c r="GK58" t="e">
        <f>AND(#REF!,"AAAAAF/dT8A=")</f>
        <v>#REF!</v>
      </c>
      <c r="GL58" t="e">
        <f>AND(#REF!,"AAAAAF/dT8E=")</f>
        <v>#REF!</v>
      </c>
      <c r="GM58" t="e">
        <f>AND(#REF!,"AAAAAF/dT8I=")</f>
        <v>#REF!</v>
      </c>
      <c r="GN58" t="e">
        <f>AND(#REF!,"AAAAAF/dT8M=")</f>
        <v>#REF!</v>
      </c>
      <c r="GO58" t="e">
        <f>IF(#REF!,"AAAAAF/dT8Q=",0)</f>
        <v>#REF!</v>
      </c>
      <c r="GP58" t="e">
        <f>AND(#REF!,"AAAAAF/dT8U=")</f>
        <v>#REF!</v>
      </c>
      <c r="GQ58" t="e">
        <f>AND(#REF!,"AAAAAF/dT8Y=")</f>
        <v>#REF!</v>
      </c>
      <c r="GR58" t="e">
        <f>AND(#REF!,"AAAAAF/dT8c=")</f>
        <v>#REF!</v>
      </c>
      <c r="GS58" t="e">
        <f>AND(#REF!,"AAAAAF/dT8g=")</f>
        <v>#REF!</v>
      </c>
      <c r="GT58" t="e">
        <f>AND(#REF!,"AAAAAF/dT8k=")</f>
        <v>#REF!</v>
      </c>
      <c r="GU58" t="e">
        <f>AND(#REF!,"AAAAAF/dT8o=")</f>
        <v>#REF!</v>
      </c>
      <c r="GV58" t="e">
        <f>IF(#REF!,"AAAAAF/dT8s=",0)</f>
        <v>#REF!</v>
      </c>
      <c r="GW58" t="e">
        <f>AND(#REF!,"AAAAAF/dT8w=")</f>
        <v>#REF!</v>
      </c>
      <c r="GX58" t="e">
        <f>AND(#REF!,"AAAAAF/dT80=")</f>
        <v>#REF!</v>
      </c>
      <c r="GY58" t="e">
        <f>AND(#REF!,"AAAAAF/dT84=")</f>
        <v>#REF!</v>
      </c>
      <c r="GZ58" t="e">
        <f>AND(#REF!,"AAAAAF/dT88=")</f>
        <v>#REF!</v>
      </c>
      <c r="HA58" t="e">
        <f>AND(#REF!,"AAAAAF/dT9A=")</f>
        <v>#REF!</v>
      </c>
      <c r="HB58" t="e">
        <f>AND(#REF!,"AAAAAF/dT9E=")</f>
        <v>#REF!</v>
      </c>
      <c r="HC58" t="e">
        <f>IF(#REF!,"AAAAAF/dT9I=",0)</f>
        <v>#REF!</v>
      </c>
      <c r="HD58" t="e">
        <f>AND(#REF!,"AAAAAF/dT9M=")</f>
        <v>#REF!</v>
      </c>
      <c r="HE58" t="e">
        <f>AND(#REF!,"AAAAAF/dT9Q=")</f>
        <v>#REF!</v>
      </c>
      <c r="HF58" t="e">
        <f>AND(#REF!,"AAAAAF/dT9U=")</f>
        <v>#REF!</v>
      </c>
      <c r="HG58" t="e">
        <f>AND(#REF!,"AAAAAF/dT9Y=")</f>
        <v>#REF!</v>
      </c>
      <c r="HH58" t="e">
        <f>AND(#REF!,"AAAAAF/dT9c=")</f>
        <v>#REF!</v>
      </c>
      <c r="HI58" t="e">
        <f>AND(#REF!,"AAAAAF/dT9g=")</f>
        <v>#REF!</v>
      </c>
      <c r="HJ58" t="e">
        <f>IF(#REF!,"AAAAAF/dT9k=",0)</f>
        <v>#REF!</v>
      </c>
      <c r="HK58" t="e">
        <f>AND(#REF!,"AAAAAF/dT9o=")</f>
        <v>#REF!</v>
      </c>
      <c r="HL58" t="e">
        <f>AND(#REF!,"AAAAAF/dT9s=")</f>
        <v>#REF!</v>
      </c>
      <c r="HM58" t="e">
        <f>AND(#REF!,"AAAAAF/dT9w=")</f>
        <v>#REF!</v>
      </c>
      <c r="HN58" t="e">
        <f>AND(#REF!,"AAAAAF/dT90=")</f>
        <v>#REF!</v>
      </c>
      <c r="HO58" t="e">
        <f>AND(#REF!,"AAAAAF/dT94=")</f>
        <v>#REF!</v>
      </c>
      <c r="HP58" t="e">
        <f>AND(#REF!,"AAAAAF/dT98=")</f>
        <v>#REF!</v>
      </c>
      <c r="HQ58" t="e">
        <f>IF(#REF!,"AAAAAF/dT+A=",0)</f>
        <v>#REF!</v>
      </c>
      <c r="HR58" t="e">
        <f>AND(#REF!,"AAAAAF/dT+E=")</f>
        <v>#REF!</v>
      </c>
      <c r="HS58" t="e">
        <f>AND(#REF!,"AAAAAF/dT+I=")</f>
        <v>#REF!</v>
      </c>
      <c r="HT58" t="e">
        <f>AND(#REF!,"AAAAAF/dT+M=")</f>
        <v>#REF!</v>
      </c>
      <c r="HU58" t="e">
        <f>AND(#REF!,"AAAAAF/dT+Q=")</f>
        <v>#REF!</v>
      </c>
      <c r="HV58" t="e">
        <f>AND(#REF!,"AAAAAF/dT+U=")</f>
        <v>#REF!</v>
      </c>
      <c r="HW58" t="e">
        <f>AND(#REF!,"AAAAAF/dT+Y=")</f>
        <v>#REF!</v>
      </c>
      <c r="HX58" t="e">
        <f>IF(#REF!,"AAAAAF/dT+c=",0)</f>
        <v>#REF!</v>
      </c>
      <c r="HY58" t="e">
        <f>AND(#REF!,"AAAAAF/dT+g=")</f>
        <v>#REF!</v>
      </c>
      <c r="HZ58" t="e">
        <f>AND(#REF!,"AAAAAF/dT+k=")</f>
        <v>#REF!</v>
      </c>
      <c r="IA58" t="e">
        <f>AND(#REF!,"AAAAAF/dT+o=")</f>
        <v>#REF!</v>
      </c>
      <c r="IB58" t="e">
        <f>AND(#REF!,"AAAAAF/dT+s=")</f>
        <v>#REF!</v>
      </c>
      <c r="IC58" t="e">
        <f>AND(#REF!,"AAAAAF/dT+w=")</f>
        <v>#REF!</v>
      </c>
      <c r="ID58" t="e">
        <f>AND(#REF!,"AAAAAF/dT+0=")</f>
        <v>#REF!</v>
      </c>
      <c r="IE58" t="e">
        <f>IF(#REF!,"AAAAAF/dT+4=",0)</f>
        <v>#REF!</v>
      </c>
      <c r="IF58" t="e">
        <f>AND(#REF!,"AAAAAF/dT+8=")</f>
        <v>#REF!</v>
      </c>
      <c r="IG58" t="e">
        <f>AND(#REF!,"AAAAAF/dT/A=")</f>
        <v>#REF!</v>
      </c>
      <c r="IH58" t="e">
        <f>AND(#REF!,"AAAAAF/dT/E=")</f>
        <v>#REF!</v>
      </c>
      <c r="II58" t="e">
        <f>AND(#REF!,"AAAAAF/dT/I=")</f>
        <v>#REF!</v>
      </c>
      <c r="IJ58" t="e">
        <f>AND(#REF!,"AAAAAF/dT/M=")</f>
        <v>#REF!</v>
      </c>
      <c r="IK58" t="e">
        <f>AND(#REF!,"AAAAAF/dT/Q=")</f>
        <v>#REF!</v>
      </c>
      <c r="IL58" t="e">
        <f>IF(#REF!,"AAAAAF/dT/U=",0)</f>
        <v>#REF!</v>
      </c>
      <c r="IM58" t="e">
        <f>AND(#REF!,"AAAAAF/dT/Y=")</f>
        <v>#REF!</v>
      </c>
      <c r="IN58" t="e">
        <f>AND(#REF!,"AAAAAF/dT/c=")</f>
        <v>#REF!</v>
      </c>
      <c r="IO58" t="e">
        <f>AND(#REF!,"AAAAAF/dT/g=")</f>
        <v>#REF!</v>
      </c>
      <c r="IP58" t="e">
        <f>AND(#REF!,"AAAAAF/dT/k=")</f>
        <v>#REF!</v>
      </c>
      <c r="IQ58" t="e">
        <f>AND(#REF!,"AAAAAF/dT/o=")</f>
        <v>#REF!</v>
      </c>
      <c r="IR58" t="e">
        <f>AND(#REF!,"AAAAAF/dT/s=")</f>
        <v>#REF!</v>
      </c>
      <c r="IS58" t="e">
        <f>IF(#REF!,"AAAAAF/dT/w=",0)</f>
        <v>#REF!</v>
      </c>
      <c r="IT58" t="e">
        <f>AND(#REF!,"AAAAAF/dT/0=")</f>
        <v>#REF!</v>
      </c>
      <c r="IU58" t="e">
        <f>AND(#REF!,"AAAAAF/dT/4=")</f>
        <v>#REF!</v>
      </c>
      <c r="IV58" t="e">
        <f>AND(#REF!,"AAAAAF/dT/8=")</f>
        <v>#REF!</v>
      </c>
    </row>
    <row r="59" spans="1:256" x14ac:dyDescent="0.25">
      <c r="A59" t="e">
        <f>AND(#REF!,"AAAAAF+7uwA=")</f>
        <v>#REF!</v>
      </c>
      <c r="B59" t="e">
        <f>AND(#REF!,"AAAAAF+7uwE=")</f>
        <v>#REF!</v>
      </c>
      <c r="C59" t="e">
        <f>AND(#REF!,"AAAAAF+7uwI=")</f>
        <v>#REF!</v>
      </c>
      <c r="D59" t="e">
        <f>IF(#REF!,"AAAAAF+7uwM=",0)</f>
        <v>#REF!</v>
      </c>
      <c r="E59" t="e">
        <f>AND(#REF!,"AAAAAF+7uwQ=")</f>
        <v>#REF!</v>
      </c>
      <c r="F59" t="e">
        <f>AND(#REF!,"AAAAAF+7uwU=")</f>
        <v>#REF!</v>
      </c>
      <c r="G59" t="e">
        <f>AND(#REF!,"AAAAAF+7uwY=")</f>
        <v>#REF!</v>
      </c>
      <c r="H59" t="e">
        <f>AND(#REF!,"AAAAAF+7uwc=")</f>
        <v>#REF!</v>
      </c>
      <c r="I59" t="e">
        <f>AND(#REF!,"AAAAAF+7uwg=")</f>
        <v>#REF!</v>
      </c>
      <c r="J59" t="e">
        <f>AND(#REF!,"AAAAAF+7uwk=")</f>
        <v>#REF!</v>
      </c>
      <c r="K59" t="e">
        <f>IF(#REF!,"AAAAAF+7uwo=",0)</f>
        <v>#REF!</v>
      </c>
      <c r="L59" t="e">
        <f>AND(#REF!,"AAAAAF+7uws=")</f>
        <v>#REF!</v>
      </c>
      <c r="M59" t="e">
        <f>AND(#REF!,"AAAAAF+7uww=")</f>
        <v>#REF!</v>
      </c>
      <c r="N59" t="e">
        <f>AND(#REF!,"AAAAAF+7uw0=")</f>
        <v>#REF!</v>
      </c>
      <c r="O59" t="e">
        <f>AND(#REF!,"AAAAAF+7uw4=")</f>
        <v>#REF!</v>
      </c>
      <c r="P59" t="e">
        <f>AND(#REF!,"AAAAAF+7uw8=")</f>
        <v>#REF!</v>
      </c>
      <c r="Q59" t="e">
        <f>AND(#REF!,"AAAAAF+7uxA=")</f>
        <v>#REF!</v>
      </c>
      <c r="R59" t="e">
        <f>IF(#REF!,"AAAAAF+7uxE=",0)</f>
        <v>#REF!</v>
      </c>
      <c r="S59" t="e">
        <f>AND(#REF!,"AAAAAF+7uxI=")</f>
        <v>#REF!</v>
      </c>
      <c r="T59" t="e">
        <f>AND(#REF!,"AAAAAF+7uxM=")</f>
        <v>#REF!</v>
      </c>
      <c r="U59" t="e">
        <f>AND(#REF!,"AAAAAF+7uxQ=")</f>
        <v>#REF!</v>
      </c>
      <c r="V59" t="e">
        <f>AND(#REF!,"AAAAAF+7uxU=")</f>
        <v>#REF!</v>
      </c>
      <c r="W59" t="e">
        <f>AND(#REF!,"AAAAAF+7uxY=")</f>
        <v>#REF!</v>
      </c>
      <c r="X59" t="e">
        <f>AND(#REF!,"AAAAAF+7uxc=")</f>
        <v>#REF!</v>
      </c>
      <c r="Y59" t="e">
        <f>IF(#REF!,"AAAAAF+7uxg=",0)</f>
        <v>#REF!</v>
      </c>
      <c r="Z59" t="e">
        <f>AND(#REF!,"AAAAAF+7uxk=")</f>
        <v>#REF!</v>
      </c>
      <c r="AA59" t="e">
        <f>AND(#REF!,"AAAAAF+7uxo=")</f>
        <v>#REF!</v>
      </c>
      <c r="AB59" t="e">
        <f>AND(#REF!,"AAAAAF+7uxs=")</f>
        <v>#REF!</v>
      </c>
      <c r="AC59" t="e">
        <f>AND(#REF!,"AAAAAF+7uxw=")</f>
        <v>#REF!</v>
      </c>
      <c r="AD59" t="e">
        <f>AND(#REF!,"AAAAAF+7ux0=")</f>
        <v>#REF!</v>
      </c>
      <c r="AE59" t="e">
        <f>AND(#REF!,"AAAAAF+7ux4=")</f>
        <v>#REF!</v>
      </c>
      <c r="AF59" t="e">
        <f>IF(#REF!,"AAAAAF+7ux8=",0)</f>
        <v>#REF!</v>
      </c>
      <c r="AG59" t="e">
        <f>AND(#REF!,"AAAAAF+7uyA=")</f>
        <v>#REF!</v>
      </c>
      <c r="AH59" t="e">
        <f>AND(#REF!,"AAAAAF+7uyE=")</f>
        <v>#REF!</v>
      </c>
      <c r="AI59" t="e">
        <f>AND(#REF!,"AAAAAF+7uyI=")</f>
        <v>#REF!</v>
      </c>
      <c r="AJ59" t="e">
        <f>AND(#REF!,"AAAAAF+7uyM=")</f>
        <v>#REF!</v>
      </c>
      <c r="AK59" t="e">
        <f>AND(#REF!,"AAAAAF+7uyQ=")</f>
        <v>#REF!</v>
      </c>
      <c r="AL59" t="e">
        <f>AND(#REF!,"AAAAAF+7uyU=")</f>
        <v>#REF!</v>
      </c>
      <c r="AM59" t="e">
        <f>IF(#REF!,"AAAAAF+7uyY=",0)</f>
        <v>#REF!</v>
      </c>
      <c r="AN59" t="e">
        <f>AND(#REF!,"AAAAAF+7uyc=")</f>
        <v>#REF!</v>
      </c>
      <c r="AO59" t="e">
        <f>AND(#REF!,"AAAAAF+7uyg=")</f>
        <v>#REF!</v>
      </c>
      <c r="AP59" t="e">
        <f>AND(#REF!,"AAAAAF+7uyk=")</f>
        <v>#REF!</v>
      </c>
      <c r="AQ59" t="e">
        <f>AND(#REF!,"AAAAAF+7uyo=")</f>
        <v>#REF!</v>
      </c>
      <c r="AR59" t="e">
        <f>AND(#REF!,"AAAAAF+7uys=")</f>
        <v>#REF!</v>
      </c>
      <c r="AS59" t="e">
        <f>AND(#REF!,"AAAAAF+7uyw=")</f>
        <v>#REF!</v>
      </c>
      <c r="AT59" t="e">
        <f>IF(#REF!,"AAAAAF+7uy0=",0)</f>
        <v>#REF!</v>
      </c>
      <c r="AU59" t="e">
        <f>AND(#REF!,"AAAAAF+7uy4=")</f>
        <v>#REF!</v>
      </c>
      <c r="AV59" t="e">
        <f>AND(#REF!,"AAAAAF+7uy8=")</f>
        <v>#REF!</v>
      </c>
      <c r="AW59" t="e">
        <f>AND(#REF!,"AAAAAF+7uzA=")</f>
        <v>#REF!</v>
      </c>
      <c r="AX59" t="e">
        <f>AND(#REF!,"AAAAAF+7uzE=")</f>
        <v>#REF!</v>
      </c>
      <c r="AY59" t="e">
        <f>AND(#REF!,"AAAAAF+7uzI=")</f>
        <v>#REF!</v>
      </c>
      <c r="AZ59" t="e">
        <f>AND(#REF!,"AAAAAF+7uzM=")</f>
        <v>#REF!</v>
      </c>
      <c r="BA59" t="e">
        <f>IF(#REF!,"AAAAAF+7uzQ=",0)</f>
        <v>#REF!</v>
      </c>
      <c r="BB59" t="e">
        <f>AND(#REF!,"AAAAAF+7uzU=")</f>
        <v>#REF!</v>
      </c>
      <c r="BC59" t="e">
        <f>AND(#REF!,"AAAAAF+7uzY=")</f>
        <v>#REF!</v>
      </c>
      <c r="BD59" t="e">
        <f>AND(#REF!,"AAAAAF+7uzc=")</f>
        <v>#REF!</v>
      </c>
      <c r="BE59" t="e">
        <f>AND(#REF!,"AAAAAF+7uzg=")</f>
        <v>#REF!</v>
      </c>
      <c r="BF59" t="e">
        <f>AND(#REF!,"AAAAAF+7uzk=")</f>
        <v>#REF!</v>
      </c>
      <c r="BG59" t="e">
        <f>AND(#REF!,"AAAAAF+7uzo=")</f>
        <v>#REF!</v>
      </c>
      <c r="BH59" t="e">
        <f>IF(#REF!,"AAAAAF+7uzs=",0)</f>
        <v>#REF!</v>
      </c>
      <c r="BI59" t="e">
        <f>AND(#REF!,"AAAAAF+7uzw=")</f>
        <v>#REF!</v>
      </c>
      <c r="BJ59" t="e">
        <f>AND(#REF!,"AAAAAF+7uz0=")</f>
        <v>#REF!</v>
      </c>
      <c r="BK59" t="e">
        <f>AND(#REF!,"AAAAAF+7uz4=")</f>
        <v>#REF!</v>
      </c>
      <c r="BL59" t="e">
        <f>AND(#REF!,"AAAAAF+7uz8=")</f>
        <v>#REF!</v>
      </c>
      <c r="BM59" t="e">
        <f>AND(#REF!,"AAAAAF+7u0A=")</f>
        <v>#REF!</v>
      </c>
      <c r="BN59" t="e">
        <f>AND(#REF!,"AAAAAF+7u0E=")</f>
        <v>#REF!</v>
      </c>
      <c r="BO59" t="e">
        <f>IF(#REF!,"AAAAAF+7u0I=",0)</f>
        <v>#REF!</v>
      </c>
      <c r="BP59" t="e">
        <f>AND(#REF!,"AAAAAF+7u0M=")</f>
        <v>#REF!</v>
      </c>
      <c r="BQ59" t="e">
        <f>AND(#REF!,"AAAAAF+7u0Q=")</f>
        <v>#REF!</v>
      </c>
      <c r="BR59" t="e">
        <f>AND(#REF!,"AAAAAF+7u0U=")</f>
        <v>#REF!</v>
      </c>
      <c r="BS59" t="e">
        <f>AND(#REF!,"AAAAAF+7u0Y=")</f>
        <v>#REF!</v>
      </c>
      <c r="BT59" t="e">
        <f>AND(#REF!,"AAAAAF+7u0c=")</f>
        <v>#REF!</v>
      </c>
      <c r="BU59" t="e">
        <f>AND(#REF!,"AAAAAF+7u0g=")</f>
        <v>#REF!</v>
      </c>
      <c r="BV59" t="e">
        <f>IF(#REF!,"AAAAAF+7u0k=",0)</f>
        <v>#REF!</v>
      </c>
      <c r="BW59" t="e">
        <f>AND(#REF!,"AAAAAF+7u0o=")</f>
        <v>#REF!</v>
      </c>
      <c r="BX59" t="e">
        <f>AND(#REF!,"AAAAAF+7u0s=")</f>
        <v>#REF!</v>
      </c>
      <c r="BY59" t="e">
        <f>AND(#REF!,"AAAAAF+7u0w=")</f>
        <v>#REF!</v>
      </c>
      <c r="BZ59" t="e">
        <f>AND(#REF!,"AAAAAF+7u00=")</f>
        <v>#REF!</v>
      </c>
      <c r="CA59" t="e">
        <f>AND(#REF!,"AAAAAF+7u04=")</f>
        <v>#REF!</v>
      </c>
      <c r="CB59" t="e">
        <f>AND(#REF!,"AAAAAF+7u08=")</f>
        <v>#REF!</v>
      </c>
      <c r="CC59" t="e">
        <f>IF(#REF!,"AAAAAF+7u1A=",0)</f>
        <v>#REF!</v>
      </c>
      <c r="CD59" t="e">
        <f>AND(#REF!,"AAAAAF+7u1E=")</f>
        <v>#REF!</v>
      </c>
      <c r="CE59" t="e">
        <f>AND(#REF!,"AAAAAF+7u1I=")</f>
        <v>#REF!</v>
      </c>
      <c r="CF59" t="e">
        <f>AND(#REF!,"AAAAAF+7u1M=")</f>
        <v>#REF!</v>
      </c>
      <c r="CG59" t="e">
        <f>AND(#REF!,"AAAAAF+7u1Q=")</f>
        <v>#REF!</v>
      </c>
      <c r="CH59" t="e">
        <f>AND(#REF!,"AAAAAF+7u1U=")</f>
        <v>#REF!</v>
      </c>
      <c r="CI59" t="e">
        <f>AND(#REF!,"AAAAAF+7u1Y=")</f>
        <v>#REF!</v>
      </c>
      <c r="CJ59" t="e">
        <f>IF(#REF!,"AAAAAF+7u1c=",0)</f>
        <v>#REF!</v>
      </c>
      <c r="CK59" t="e">
        <f>AND(#REF!,"AAAAAF+7u1g=")</f>
        <v>#REF!</v>
      </c>
      <c r="CL59" t="e">
        <f>AND(#REF!,"AAAAAF+7u1k=")</f>
        <v>#REF!</v>
      </c>
      <c r="CM59" t="e">
        <f>AND(#REF!,"AAAAAF+7u1o=")</f>
        <v>#REF!</v>
      </c>
      <c r="CN59" t="e">
        <f>AND(#REF!,"AAAAAF+7u1s=")</f>
        <v>#REF!</v>
      </c>
      <c r="CO59" t="e">
        <f>AND(#REF!,"AAAAAF+7u1w=")</f>
        <v>#REF!</v>
      </c>
      <c r="CP59" t="e">
        <f>AND(#REF!,"AAAAAF+7u10=")</f>
        <v>#REF!</v>
      </c>
      <c r="CQ59" t="e">
        <f>IF(#REF!,"AAAAAF+7u14=",0)</f>
        <v>#REF!</v>
      </c>
      <c r="CR59" t="e">
        <f>AND(#REF!,"AAAAAF+7u18=")</f>
        <v>#REF!</v>
      </c>
      <c r="CS59" t="e">
        <f>AND(#REF!,"AAAAAF+7u2A=")</f>
        <v>#REF!</v>
      </c>
      <c r="CT59" t="e">
        <f>AND(#REF!,"AAAAAF+7u2E=")</f>
        <v>#REF!</v>
      </c>
      <c r="CU59" t="e">
        <f>AND(#REF!,"AAAAAF+7u2I=")</f>
        <v>#REF!</v>
      </c>
      <c r="CV59" t="e">
        <f>AND(#REF!,"AAAAAF+7u2M=")</f>
        <v>#REF!</v>
      </c>
      <c r="CW59" t="e">
        <f>AND(#REF!,"AAAAAF+7u2Q=")</f>
        <v>#REF!</v>
      </c>
      <c r="CX59" t="e">
        <f>IF(#REF!,"AAAAAF+7u2U=",0)</f>
        <v>#REF!</v>
      </c>
      <c r="CY59" t="e">
        <f>AND(#REF!,"AAAAAF+7u2Y=")</f>
        <v>#REF!</v>
      </c>
      <c r="CZ59" t="e">
        <f>AND(#REF!,"AAAAAF+7u2c=")</f>
        <v>#REF!</v>
      </c>
      <c r="DA59" t="e">
        <f>AND(#REF!,"AAAAAF+7u2g=")</f>
        <v>#REF!</v>
      </c>
      <c r="DB59" t="e">
        <f>AND(#REF!,"AAAAAF+7u2k=")</f>
        <v>#REF!</v>
      </c>
      <c r="DC59" t="e">
        <f>AND(#REF!,"AAAAAF+7u2o=")</f>
        <v>#REF!</v>
      </c>
      <c r="DD59" t="e">
        <f>AND(#REF!,"AAAAAF+7u2s=")</f>
        <v>#REF!</v>
      </c>
      <c r="DE59" t="e">
        <f>IF(#REF!,"AAAAAF+7u2w=",0)</f>
        <v>#REF!</v>
      </c>
      <c r="DF59" t="e">
        <f>AND(#REF!,"AAAAAF+7u20=")</f>
        <v>#REF!</v>
      </c>
      <c r="DG59" t="e">
        <f>AND(#REF!,"AAAAAF+7u24=")</f>
        <v>#REF!</v>
      </c>
      <c r="DH59" t="e">
        <f>AND(#REF!,"AAAAAF+7u28=")</f>
        <v>#REF!</v>
      </c>
      <c r="DI59" t="e">
        <f>AND(#REF!,"AAAAAF+7u3A=")</f>
        <v>#REF!</v>
      </c>
      <c r="DJ59" t="e">
        <f>AND(#REF!,"AAAAAF+7u3E=")</f>
        <v>#REF!</v>
      </c>
      <c r="DK59" t="e">
        <f>AND(#REF!,"AAAAAF+7u3I=")</f>
        <v>#REF!</v>
      </c>
      <c r="DL59" t="e">
        <f>IF(#REF!,"AAAAAF+7u3M=",0)</f>
        <v>#REF!</v>
      </c>
      <c r="DM59" t="e">
        <f>AND(#REF!,"AAAAAF+7u3Q=")</f>
        <v>#REF!</v>
      </c>
      <c r="DN59" t="e">
        <f>AND(#REF!,"AAAAAF+7u3U=")</f>
        <v>#REF!</v>
      </c>
      <c r="DO59" t="e">
        <f>AND(#REF!,"AAAAAF+7u3Y=")</f>
        <v>#REF!</v>
      </c>
      <c r="DP59" t="e">
        <f>AND(#REF!,"AAAAAF+7u3c=")</f>
        <v>#REF!</v>
      </c>
      <c r="DQ59" t="e">
        <f>AND(#REF!,"AAAAAF+7u3g=")</f>
        <v>#REF!</v>
      </c>
      <c r="DR59" t="e">
        <f>AND(#REF!,"AAAAAF+7u3k=")</f>
        <v>#REF!</v>
      </c>
      <c r="DS59" t="e">
        <f>IF(#REF!,"AAAAAF+7u3o=",0)</f>
        <v>#REF!</v>
      </c>
      <c r="DT59" t="e">
        <f>AND(#REF!,"AAAAAF+7u3s=")</f>
        <v>#REF!</v>
      </c>
      <c r="DU59" t="e">
        <f>AND(#REF!,"AAAAAF+7u3w=")</f>
        <v>#REF!</v>
      </c>
      <c r="DV59" t="e">
        <f>AND(#REF!,"AAAAAF+7u30=")</f>
        <v>#REF!</v>
      </c>
      <c r="DW59" t="e">
        <f>AND(#REF!,"AAAAAF+7u34=")</f>
        <v>#REF!</v>
      </c>
      <c r="DX59" t="e">
        <f>AND(#REF!,"AAAAAF+7u38=")</f>
        <v>#REF!</v>
      </c>
      <c r="DY59" t="e">
        <f>AND(#REF!,"AAAAAF+7u4A=")</f>
        <v>#REF!</v>
      </c>
      <c r="DZ59" t="e">
        <f>IF(#REF!,"AAAAAF+7u4E=",0)</f>
        <v>#REF!</v>
      </c>
      <c r="EA59" t="e">
        <f>AND(#REF!,"AAAAAF+7u4I=")</f>
        <v>#REF!</v>
      </c>
      <c r="EB59" t="e">
        <f>AND(#REF!,"AAAAAF+7u4M=")</f>
        <v>#REF!</v>
      </c>
      <c r="EC59" t="e">
        <f>AND(#REF!,"AAAAAF+7u4Q=")</f>
        <v>#REF!</v>
      </c>
      <c r="ED59" t="e">
        <f>AND(#REF!,"AAAAAF+7u4U=")</f>
        <v>#REF!</v>
      </c>
      <c r="EE59" t="e">
        <f>AND(#REF!,"AAAAAF+7u4Y=")</f>
        <v>#REF!</v>
      </c>
      <c r="EF59" t="e">
        <f>AND(#REF!,"AAAAAF+7u4c=")</f>
        <v>#REF!</v>
      </c>
      <c r="EG59" t="e">
        <f>IF(#REF!,"AAAAAF+7u4g=",0)</f>
        <v>#REF!</v>
      </c>
      <c r="EH59" t="e">
        <f>AND(#REF!,"AAAAAF+7u4k=")</f>
        <v>#REF!</v>
      </c>
      <c r="EI59" t="e">
        <f>AND(#REF!,"AAAAAF+7u4o=")</f>
        <v>#REF!</v>
      </c>
      <c r="EJ59" t="e">
        <f>AND(#REF!,"AAAAAF+7u4s=")</f>
        <v>#REF!</v>
      </c>
      <c r="EK59" t="e">
        <f>AND(#REF!,"AAAAAF+7u4w=")</f>
        <v>#REF!</v>
      </c>
      <c r="EL59" t="e">
        <f>AND(#REF!,"AAAAAF+7u40=")</f>
        <v>#REF!</v>
      </c>
      <c r="EM59" t="e">
        <f>AND(#REF!,"AAAAAF+7u44=")</f>
        <v>#REF!</v>
      </c>
      <c r="EN59" t="e">
        <f>IF(#REF!,"AAAAAF+7u48=",0)</f>
        <v>#REF!</v>
      </c>
      <c r="EO59" t="e">
        <f>AND(#REF!,"AAAAAF+7u5A=")</f>
        <v>#REF!</v>
      </c>
      <c r="EP59" t="e">
        <f>AND(#REF!,"AAAAAF+7u5E=")</f>
        <v>#REF!</v>
      </c>
      <c r="EQ59" t="e">
        <f>AND(#REF!,"AAAAAF+7u5I=")</f>
        <v>#REF!</v>
      </c>
      <c r="ER59" t="e">
        <f>AND(#REF!,"AAAAAF+7u5M=")</f>
        <v>#REF!</v>
      </c>
      <c r="ES59" t="e">
        <f>AND(#REF!,"AAAAAF+7u5Q=")</f>
        <v>#REF!</v>
      </c>
      <c r="ET59" t="e">
        <f>AND(#REF!,"AAAAAF+7u5U=")</f>
        <v>#REF!</v>
      </c>
      <c r="EU59" t="e">
        <f>IF(#REF!,"AAAAAF+7u5Y=",0)</f>
        <v>#REF!</v>
      </c>
      <c r="EV59" t="e">
        <f>AND(#REF!,"AAAAAF+7u5c=")</f>
        <v>#REF!</v>
      </c>
      <c r="EW59" t="e">
        <f>AND(#REF!,"AAAAAF+7u5g=")</f>
        <v>#REF!</v>
      </c>
      <c r="EX59" t="e">
        <f>AND(#REF!,"AAAAAF+7u5k=")</f>
        <v>#REF!</v>
      </c>
      <c r="EY59" t="e">
        <f>AND(#REF!,"AAAAAF+7u5o=")</f>
        <v>#REF!</v>
      </c>
      <c r="EZ59" t="e">
        <f>AND(#REF!,"AAAAAF+7u5s=")</f>
        <v>#REF!</v>
      </c>
      <c r="FA59" t="e">
        <f>AND(#REF!,"AAAAAF+7u5w=")</f>
        <v>#REF!</v>
      </c>
      <c r="FB59" t="e">
        <f>IF(#REF!,"AAAAAF+7u50=",0)</f>
        <v>#REF!</v>
      </c>
      <c r="FC59" t="e">
        <f>AND(#REF!,"AAAAAF+7u54=")</f>
        <v>#REF!</v>
      </c>
      <c r="FD59" t="e">
        <f>AND(#REF!,"AAAAAF+7u58=")</f>
        <v>#REF!</v>
      </c>
      <c r="FE59" t="e">
        <f>AND(#REF!,"AAAAAF+7u6A=")</f>
        <v>#REF!</v>
      </c>
      <c r="FF59" t="e">
        <f>AND(#REF!,"AAAAAF+7u6E=")</f>
        <v>#REF!</v>
      </c>
      <c r="FG59" t="e">
        <f>AND(#REF!,"AAAAAF+7u6I=")</f>
        <v>#REF!</v>
      </c>
      <c r="FH59" t="e">
        <f>AND(#REF!,"AAAAAF+7u6M=")</f>
        <v>#REF!</v>
      </c>
      <c r="FI59" t="e">
        <f>IF(#REF!,"AAAAAF+7u6Q=",0)</f>
        <v>#REF!</v>
      </c>
      <c r="FJ59" t="e">
        <f>AND(#REF!,"AAAAAF+7u6U=")</f>
        <v>#REF!</v>
      </c>
      <c r="FK59" t="e">
        <f>AND(#REF!,"AAAAAF+7u6Y=")</f>
        <v>#REF!</v>
      </c>
      <c r="FL59" t="e">
        <f>AND(#REF!,"AAAAAF+7u6c=")</f>
        <v>#REF!</v>
      </c>
      <c r="FM59" t="e">
        <f>AND(#REF!,"AAAAAF+7u6g=")</f>
        <v>#REF!</v>
      </c>
      <c r="FN59" t="e">
        <f>AND(#REF!,"AAAAAF+7u6k=")</f>
        <v>#REF!</v>
      </c>
      <c r="FO59" t="e">
        <f>AND(#REF!,"AAAAAF+7u6o=")</f>
        <v>#REF!</v>
      </c>
      <c r="FP59" t="e">
        <f>IF(#REF!,"AAAAAF+7u6s=",0)</f>
        <v>#REF!</v>
      </c>
      <c r="FQ59" t="e">
        <f>AND(#REF!,"AAAAAF+7u6w=")</f>
        <v>#REF!</v>
      </c>
      <c r="FR59" t="e">
        <f>AND(#REF!,"AAAAAF+7u60=")</f>
        <v>#REF!</v>
      </c>
      <c r="FS59" t="e">
        <f>AND(#REF!,"AAAAAF+7u64=")</f>
        <v>#REF!</v>
      </c>
      <c r="FT59" t="e">
        <f>AND(#REF!,"AAAAAF+7u68=")</f>
        <v>#REF!</v>
      </c>
      <c r="FU59" t="e">
        <f>AND(#REF!,"AAAAAF+7u7A=")</f>
        <v>#REF!</v>
      </c>
      <c r="FV59" t="e">
        <f>AND(#REF!,"AAAAAF+7u7E=")</f>
        <v>#REF!</v>
      </c>
      <c r="FW59" t="e">
        <f>IF(#REF!,"AAAAAF+7u7I=",0)</f>
        <v>#REF!</v>
      </c>
      <c r="FX59" t="e">
        <f>AND(#REF!,"AAAAAF+7u7M=")</f>
        <v>#REF!</v>
      </c>
      <c r="FY59" t="e">
        <f>AND(#REF!,"AAAAAF+7u7Q=")</f>
        <v>#REF!</v>
      </c>
      <c r="FZ59" t="e">
        <f>AND(#REF!,"AAAAAF+7u7U=")</f>
        <v>#REF!</v>
      </c>
      <c r="GA59" t="e">
        <f>AND(#REF!,"AAAAAF+7u7Y=")</f>
        <v>#REF!</v>
      </c>
      <c r="GB59" t="e">
        <f>AND(#REF!,"AAAAAF+7u7c=")</f>
        <v>#REF!</v>
      </c>
      <c r="GC59" t="e">
        <f>AND(#REF!,"AAAAAF+7u7g=")</f>
        <v>#REF!</v>
      </c>
      <c r="GD59" t="e">
        <f>IF(#REF!,"AAAAAF+7u7k=",0)</f>
        <v>#REF!</v>
      </c>
      <c r="GE59" t="e">
        <f>AND(#REF!,"AAAAAF+7u7o=")</f>
        <v>#REF!</v>
      </c>
      <c r="GF59" t="e">
        <f>AND(#REF!,"AAAAAF+7u7s=")</f>
        <v>#REF!</v>
      </c>
      <c r="GG59" t="e">
        <f>AND(#REF!,"AAAAAF+7u7w=")</f>
        <v>#REF!</v>
      </c>
      <c r="GH59" t="e">
        <f>AND(#REF!,"AAAAAF+7u70=")</f>
        <v>#REF!</v>
      </c>
      <c r="GI59" t="e">
        <f>AND(#REF!,"AAAAAF+7u74=")</f>
        <v>#REF!</v>
      </c>
      <c r="GJ59" t="e">
        <f>AND(#REF!,"AAAAAF+7u78=")</f>
        <v>#REF!</v>
      </c>
      <c r="GK59" t="e">
        <f>IF(#REF!,"AAAAAF+7u8A=",0)</f>
        <v>#REF!</v>
      </c>
      <c r="GL59" t="e">
        <f>AND(#REF!,"AAAAAF+7u8E=")</f>
        <v>#REF!</v>
      </c>
      <c r="GM59" t="e">
        <f>AND(#REF!,"AAAAAF+7u8I=")</f>
        <v>#REF!</v>
      </c>
      <c r="GN59" t="e">
        <f>AND(#REF!,"AAAAAF+7u8M=")</f>
        <v>#REF!</v>
      </c>
      <c r="GO59" t="e">
        <f>AND(#REF!,"AAAAAF+7u8Q=")</f>
        <v>#REF!</v>
      </c>
      <c r="GP59" t="e">
        <f>AND(#REF!,"AAAAAF+7u8U=")</f>
        <v>#REF!</v>
      </c>
      <c r="GQ59" t="e">
        <f>AND(#REF!,"AAAAAF+7u8Y=")</f>
        <v>#REF!</v>
      </c>
      <c r="GR59" t="e">
        <f>IF(#REF!,"AAAAAF+7u8c=",0)</f>
        <v>#REF!</v>
      </c>
      <c r="GS59" t="e">
        <f>AND(#REF!,"AAAAAF+7u8g=")</f>
        <v>#REF!</v>
      </c>
      <c r="GT59" t="e">
        <f>AND(#REF!,"AAAAAF+7u8k=")</f>
        <v>#REF!</v>
      </c>
      <c r="GU59" t="e">
        <f>AND(#REF!,"AAAAAF+7u8o=")</f>
        <v>#REF!</v>
      </c>
      <c r="GV59" t="e">
        <f>AND(#REF!,"AAAAAF+7u8s=")</f>
        <v>#REF!</v>
      </c>
      <c r="GW59" t="e">
        <f>AND(#REF!,"AAAAAF+7u8w=")</f>
        <v>#REF!</v>
      </c>
      <c r="GX59" t="e">
        <f>AND(#REF!,"AAAAAF+7u80=")</f>
        <v>#REF!</v>
      </c>
      <c r="GY59" t="e">
        <f>IF(#REF!,"AAAAAF+7u84=",0)</f>
        <v>#REF!</v>
      </c>
      <c r="GZ59" t="e">
        <f>AND(#REF!,"AAAAAF+7u88=")</f>
        <v>#REF!</v>
      </c>
      <c r="HA59" t="e">
        <f>AND(#REF!,"AAAAAF+7u9A=")</f>
        <v>#REF!</v>
      </c>
      <c r="HB59" t="e">
        <f>AND(#REF!,"AAAAAF+7u9E=")</f>
        <v>#REF!</v>
      </c>
      <c r="HC59" t="e">
        <f>AND(#REF!,"AAAAAF+7u9I=")</f>
        <v>#REF!</v>
      </c>
      <c r="HD59" t="e">
        <f>AND(#REF!,"AAAAAF+7u9M=")</f>
        <v>#REF!</v>
      </c>
      <c r="HE59" t="e">
        <f>AND(#REF!,"AAAAAF+7u9Q=")</f>
        <v>#REF!</v>
      </c>
      <c r="HF59" t="e">
        <f>IF(#REF!,"AAAAAF+7u9U=",0)</f>
        <v>#REF!</v>
      </c>
      <c r="HG59" t="e">
        <f>AND(#REF!,"AAAAAF+7u9Y=")</f>
        <v>#REF!</v>
      </c>
      <c r="HH59" t="e">
        <f>AND(#REF!,"AAAAAF+7u9c=")</f>
        <v>#REF!</v>
      </c>
      <c r="HI59" t="e">
        <f>AND(#REF!,"AAAAAF+7u9g=")</f>
        <v>#REF!</v>
      </c>
      <c r="HJ59" t="e">
        <f>AND(#REF!,"AAAAAF+7u9k=")</f>
        <v>#REF!</v>
      </c>
      <c r="HK59" t="e">
        <f>AND(#REF!,"AAAAAF+7u9o=")</f>
        <v>#REF!</v>
      </c>
      <c r="HL59" t="e">
        <f>AND(#REF!,"AAAAAF+7u9s=")</f>
        <v>#REF!</v>
      </c>
      <c r="HM59" t="e">
        <f>IF(#REF!,"AAAAAF+7u9w=",0)</f>
        <v>#REF!</v>
      </c>
      <c r="HN59" t="e">
        <f>AND(#REF!,"AAAAAF+7u90=")</f>
        <v>#REF!</v>
      </c>
      <c r="HO59" t="e">
        <f>AND(#REF!,"AAAAAF+7u94=")</f>
        <v>#REF!</v>
      </c>
      <c r="HP59" t="e">
        <f>AND(#REF!,"AAAAAF+7u98=")</f>
        <v>#REF!</v>
      </c>
      <c r="HQ59" t="e">
        <f>AND(#REF!,"AAAAAF+7u+A=")</f>
        <v>#REF!</v>
      </c>
      <c r="HR59" t="e">
        <f>AND(#REF!,"AAAAAF+7u+E=")</f>
        <v>#REF!</v>
      </c>
      <c r="HS59" t="e">
        <f>AND(#REF!,"AAAAAF+7u+I=")</f>
        <v>#REF!</v>
      </c>
      <c r="HT59" t="e">
        <f>IF(#REF!,"AAAAAF+7u+M=",0)</f>
        <v>#REF!</v>
      </c>
      <c r="HU59" t="e">
        <f>AND(#REF!,"AAAAAF+7u+Q=")</f>
        <v>#REF!</v>
      </c>
      <c r="HV59" t="e">
        <f>AND(#REF!,"AAAAAF+7u+U=")</f>
        <v>#REF!</v>
      </c>
      <c r="HW59" t="e">
        <f>AND(#REF!,"AAAAAF+7u+Y=")</f>
        <v>#REF!</v>
      </c>
      <c r="HX59" t="e">
        <f>AND(#REF!,"AAAAAF+7u+c=")</f>
        <v>#REF!</v>
      </c>
      <c r="HY59" t="e">
        <f>AND(#REF!,"AAAAAF+7u+g=")</f>
        <v>#REF!</v>
      </c>
      <c r="HZ59" t="e">
        <f>AND(#REF!,"AAAAAF+7u+k=")</f>
        <v>#REF!</v>
      </c>
      <c r="IA59" t="e">
        <f>IF(#REF!,"AAAAAF+7u+o=",0)</f>
        <v>#REF!</v>
      </c>
      <c r="IB59" t="e">
        <f>AND(#REF!,"AAAAAF+7u+s=")</f>
        <v>#REF!</v>
      </c>
      <c r="IC59" t="e">
        <f>AND(#REF!,"AAAAAF+7u+w=")</f>
        <v>#REF!</v>
      </c>
      <c r="ID59" t="e">
        <f>AND(#REF!,"AAAAAF+7u+0=")</f>
        <v>#REF!</v>
      </c>
      <c r="IE59" t="e">
        <f>AND(#REF!,"AAAAAF+7u+4=")</f>
        <v>#REF!</v>
      </c>
      <c r="IF59" t="e">
        <f>AND(#REF!,"AAAAAF+7u+8=")</f>
        <v>#REF!</v>
      </c>
      <c r="IG59" t="e">
        <f>AND(#REF!,"AAAAAF+7u/A=")</f>
        <v>#REF!</v>
      </c>
      <c r="IH59" t="e">
        <f>IF(#REF!,"AAAAAF+7u/E=",0)</f>
        <v>#REF!</v>
      </c>
      <c r="II59" t="e">
        <f>AND(#REF!,"AAAAAF+7u/I=")</f>
        <v>#REF!</v>
      </c>
      <c r="IJ59" t="e">
        <f>AND(#REF!,"AAAAAF+7u/M=")</f>
        <v>#REF!</v>
      </c>
      <c r="IK59" t="e">
        <f>AND(#REF!,"AAAAAF+7u/Q=")</f>
        <v>#REF!</v>
      </c>
      <c r="IL59" t="e">
        <f>AND(#REF!,"AAAAAF+7u/U=")</f>
        <v>#REF!</v>
      </c>
      <c r="IM59" t="e">
        <f>AND(#REF!,"AAAAAF+7u/Y=")</f>
        <v>#REF!</v>
      </c>
      <c r="IN59" t="e">
        <f>AND(#REF!,"AAAAAF+7u/c=")</f>
        <v>#REF!</v>
      </c>
      <c r="IO59" t="e">
        <f>IF(#REF!,"AAAAAF+7u/g=",0)</f>
        <v>#REF!</v>
      </c>
      <c r="IP59" t="e">
        <f>AND(#REF!,"AAAAAF+7u/k=")</f>
        <v>#REF!</v>
      </c>
      <c r="IQ59" t="e">
        <f>AND(#REF!,"AAAAAF+7u/o=")</f>
        <v>#REF!</v>
      </c>
      <c r="IR59" t="e">
        <f>AND(#REF!,"AAAAAF+7u/s=")</f>
        <v>#REF!</v>
      </c>
      <c r="IS59" t="e">
        <f>AND(#REF!,"AAAAAF+7u/w=")</f>
        <v>#REF!</v>
      </c>
      <c r="IT59" t="e">
        <f>AND(#REF!,"AAAAAF+7u/0=")</f>
        <v>#REF!</v>
      </c>
      <c r="IU59" t="e">
        <f>AND(#REF!,"AAAAAF+7u/4=")</f>
        <v>#REF!</v>
      </c>
      <c r="IV59" t="e">
        <f>IF(#REF!,"AAAAAF+7u/8=",0)</f>
        <v>#REF!</v>
      </c>
    </row>
    <row r="60" spans="1:256" x14ac:dyDescent="0.25">
      <c r="A60" t="e">
        <f>AND(#REF!,"AAAAAH7//gA=")</f>
        <v>#REF!</v>
      </c>
      <c r="B60" t="e">
        <f>AND(#REF!,"AAAAAH7//gE=")</f>
        <v>#REF!</v>
      </c>
      <c r="C60" t="e">
        <f>AND(#REF!,"AAAAAH7//gI=")</f>
        <v>#REF!</v>
      </c>
      <c r="D60" t="e">
        <f>AND(#REF!,"AAAAAH7//gM=")</f>
        <v>#REF!</v>
      </c>
      <c r="E60" t="e">
        <f>AND(#REF!,"AAAAAH7//gQ=")</f>
        <v>#REF!</v>
      </c>
      <c r="F60" t="e">
        <f>AND(#REF!,"AAAAAH7//gU=")</f>
        <v>#REF!</v>
      </c>
      <c r="G60" t="e">
        <f>IF(#REF!,"AAAAAH7//gY=",0)</f>
        <v>#REF!</v>
      </c>
      <c r="H60" t="e">
        <f>AND(#REF!,"AAAAAH7//gc=")</f>
        <v>#REF!</v>
      </c>
      <c r="I60" t="e">
        <f>AND(#REF!,"AAAAAH7//gg=")</f>
        <v>#REF!</v>
      </c>
      <c r="J60" t="e">
        <f>AND(#REF!,"AAAAAH7//gk=")</f>
        <v>#REF!</v>
      </c>
      <c r="K60" t="e">
        <f>AND(#REF!,"AAAAAH7//go=")</f>
        <v>#REF!</v>
      </c>
      <c r="L60" t="e">
        <f>AND(#REF!,"AAAAAH7//gs=")</f>
        <v>#REF!</v>
      </c>
      <c r="M60" t="e">
        <f>AND(#REF!,"AAAAAH7//gw=")</f>
        <v>#REF!</v>
      </c>
      <c r="N60" t="e">
        <f>IF(#REF!,"AAAAAH7//g0=",0)</f>
        <v>#REF!</v>
      </c>
      <c r="O60" t="e">
        <f>AND(#REF!,"AAAAAH7//g4=")</f>
        <v>#REF!</v>
      </c>
      <c r="P60" t="e">
        <f>AND(#REF!,"AAAAAH7//g8=")</f>
        <v>#REF!</v>
      </c>
      <c r="Q60" t="e">
        <f>AND(#REF!,"AAAAAH7//hA=")</f>
        <v>#REF!</v>
      </c>
      <c r="R60" t="e">
        <f>AND(#REF!,"AAAAAH7//hE=")</f>
        <v>#REF!</v>
      </c>
      <c r="S60" t="e">
        <f>AND(#REF!,"AAAAAH7//hI=")</f>
        <v>#REF!</v>
      </c>
      <c r="T60" t="e">
        <f>AND(#REF!,"AAAAAH7//hM=")</f>
        <v>#REF!</v>
      </c>
      <c r="U60" t="e">
        <f>IF(#REF!,"AAAAAH7//hQ=",0)</f>
        <v>#REF!</v>
      </c>
      <c r="V60" t="e">
        <f>AND(#REF!,"AAAAAH7//hU=")</f>
        <v>#REF!</v>
      </c>
      <c r="W60" t="e">
        <f>AND(#REF!,"AAAAAH7//hY=")</f>
        <v>#REF!</v>
      </c>
      <c r="X60" t="e">
        <f>AND(#REF!,"AAAAAH7//hc=")</f>
        <v>#REF!</v>
      </c>
      <c r="Y60" t="e">
        <f>AND(#REF!,"AAAAAH7//hg=")</f>
        <v>#REF!</v>
      </c>
      <c r="Z60" t="e">
        <f>AND(#REF!,"AAAAAH7//hk=")</f>
        <v>#REF!</v>
      </c>
      <c r="AA60" t="e">
        <f>AND(#REF!,"AAAAAH7//ho=")</f>
        <v>#REF!</v>
      </c>
      <c r="AB60" t="e">
        <f>IF(#REF!,"AAAAAH7//hs=",0)</f>
        <v>#REF!</v>
      </c>
      <c r="AC60" t="e">
        <f>AND(#REF!,"AAAAAH7//hw=")</f>
        <v>#REF!</v>
      </c>
      <c r="AD60" t="e">
        <f>AND(#REF!,"AAAAAH7//h0=")</f>
        <v>#REF!</v>
      </c>
      <c r="AE60" t="e">
        <f>AND(#REF!,"AAAAAH7//h4=")</f>
        <v>#REF!</v>
      </c>
      <c r="AF60" t="e">
        <f>AND(#REF!,"AAAAAH7//h8=")</f>
        <v>#REF!</v>
      </c>
      <c r="AG60" t="e">
        <f>AND(#REF!,"AAAAAH7//iA=")</f>
        <v>#REF!</v>
      </c>
      <c r="AH60" t="e">
        <f>AND(#REF!,"AAAAAH7//iE=")</f>
        <v>#REF!</v>
      </c>
      <c r="AI60" t="e">
        <f>IF(#REF!,"AAAAAH7//iI=",0)</f>
        <v>#REF!</v>
      </c>
      <c r="AJ60" t="e">
        <f>AND(#REF!,"AAAAAH7//iM=")</f>
        <v>#REF!</v>
      </c>
      <c r="AK60" t="e">
        <f>AND(#REF!,"AAAAAH7//iQ=")</f>
        <v>#REF!</v>
      </c>
      <c r="AL60" t="e">
        <f>AND(#REF!,"AAAAAH7//iU=")</f>
        <v>#REF!</v>
      </c>
      <c r="AM60" t="e">
        <f>AND(#REF!,"AAAAAH7//iY=")</f>
        <v>#REF!</v>
      </c>
      <c r="AN60" t="e">
        <f>AND(#REF!,"AAAAAH7//ic=")</f>
        <v>#REF!</v>
      </c>
      <c r="AO60" t="e">
        <f>AND(#REF!,"AAAAAH7//ig=")</f>
        <v>#REF!</v>
      </c>
      <c r="AP60" t="e">
        <f>IF(#REF!,"AAAAAH7//ik=",0)</f>
        <v>#REF!</v>
      </c>
      <c r="AQ60" t="e">
        <f>AND(#REF!,"AAAAAH7//io=")</f>
        <v>#REF!</v>
      </c>
      <c r="AR60" t="e">
        <f>AND(#REF!,"AAAAAH7//is=")</f>
        <v>#REF!</v>
      </c>
      <c r="AS60" t="e">
        <f>AND(#REF!,"AAAAAH7//iw=")</f>
        <v>#REF!</v>
      </c>
      <c r="AT60" t="e">
        <f>AND(#REF!,"AAAAAH7//i0=")</f>
        <v>#REF!</v>
      </c>
      <c r="AU60" t="e">
        <f>AND(#REF!,"AAAAAH7//i4=")</f>
        <v>#REF!</v>
      </c>
      <c r="AV60" t="e">
        <f>AND(#REF!,"AAAAAH7//i8=")</f>
        <v>#REF!</v>
      </c>
      <c r="AW60" t="e">
        <f>IF(#REF!,"AAAAAH7//jA=",0)</f>
        <v>#REF!</v>
      </c>
      <c r="AX60" t="e">
        <f>AND(#REF!,"AAAAAH7//jE=")</f>
        <v>#REF!</v>
      </c>
      <c r="AY60" t="e">
        <f>AND(#REF!,"AAAAAH7//jI=")</f>
        <v>#REF!</v>
      </c>
      <c r="AZ60" t="e">
        <f>AND(#REF!,"AAAAAH7//jM=")</f>
        <v>#REF!</v>
      </c>
      <c r="BA60" t="e">
        <f>AND(#REF!,"AAAAAH7//jQ=")</f>
        <v>#REF!</v>
      </c>
      <c r="BB60" t="e">
        <f>AND(#REF!,"AAAAAH7//jU=")</f>
        <v>#REF!</v>
      </c>
      <c r="BC60" t="e">
        <f>AND(#REF!,"AAAAAH7//jY=")</f>
        <v>#REF!</v>
      </c>
      <c r="BD60" t="e">
        <f>IF(#REF!,"AAAAAH7//jc=",0)</f>
        <v>#REF!</v>
      </c>
      <c r="BE60" t="e">
        <f>AND(#REF!,"AAAAAH7//jg=")</f>
        <v>#REF!</v>
      </c>
      <c r="BF60" t="e">
        <f>AND(#REF!,"AAAAAH7//jk=")</f>
        <v>#REF!</v>
      </c>
      <c r="BG60" t="e">
        <f>AND(#REF!,"AAAAAH7//jo=")</f>
        <v>#REF!</v>
      </c>
      <c r="BH60" t="e">
        <f>AND(#REF!,"AAAAAH7//js=")</f>
        <v>#REF!</v>
      </c>
      <c r="BI60" t="e">
        <f>AND(#REF!,"AAAAAH7//jw=")</f>
        <v>#REF!</v>
      </c>
      <c r="BJ60" t="e">
        <f>AND(#REF!,"AAAAAH7//j0=")</f>
        <v>#REF!</v>
      </c>
      <c r="BK60" t="e">
        <f>IF(#REF!,"AAAAAH7//j4=",0)</f>
        <v>#REF!</v>
      </c>
      <c r="BL60" t="e">
        <f>AND(#REF!,"AAAAAH7//j8=")</f>
        <v>#REF!</v>
      </c>
      <c r="BM60" t="e">
        <f>AND(#REF!,"AAAAAH7//kA=")</f>
        <v>#REF!</v>
      </c>
      <c r="BN60" t="e">
        <f>AND(#REF!,"AAAAAH7//kE=")</f>
        <v>#REF!</v>
      </c>
      <c r="BO60" t="e">
        <f>AND(#REF!,"AAAAAH7//kI=")</f>
        <v>#REF!</v>
      </c>
      <c r="BP60" t="e">
        <f>AND(#REF!,"AAAAAH7//kM=")</f>
        <v>#REF!</v>
      </c>
      <c r="BQ60" t="e">
        <f>AND(#REF!,"AAAAAH7//kQ=")</f>
        <v>#REF!</v>
      </c>
      <c r="BR60" t="e">
        <f>IF(#REF!,"AAAAAH7//kU=",0)</f>
        <v>#REF!</v>
      </c>
      <c r="BS60" t="e">
        <f>AND(#REF!,"AAAAAH7//kY=")</f>
        <v>#REF!</v>
      </c>
      <c r="BT60" t="e">
        <f>AND(#REF!,"AAAAAH7//kc=")</f>
        <v>#REF!</v>
      </c>
      <c r="BU60" t="e">
        <f>AND(#REF!,"AAAAAH7//kg=")</f>
        <v>#REF!</v>
      </c>
      <c r="BV60" t="e">
        <f>AND(#REF!,"AAAAAH7//kk=")</f>
        <v>#REF!</v>
      </c>
      <c r="BW60" t="e">
        <f>AND(#REF!,"AAAAAH7//ko=")</f>
        <v>#REF!</v>
      </c>
      <c r="BX60" t="e">
        <f>AND(#REF!,"AAAAAH7//ks=")</f>
        <v>#REF!</v>
      </c>
      <c r="BY60" t="e">
        <f>IF(#REF!,"AAAAAH7//kw=",0)</f>
        <v>#REF!</v>
      </c>
      <c r="BZ60" t="e">
        <f>AND(#REF!,"AAAAAH7//k0=")</f>
        <v>#REF!</v>
      </c>
      <c r="CA60" t="e">
        <f>AND(#REF!,"AAAAAH7//k4=")</f>
        <v>#REF!</v>
      </c>
      <c r="CB60" t="e">
        <f>AND(#REF!,"AAAAAH7//k8=")</f>
        <v>#REF!</v>
      </c>
      <c r="CC60" t="e">
        <f>AND(#REF!,"AAAAAH7//lA=")</f>
        <v>#REF!</v>
      </c>
      <c r="CD60" t="e">
        <f>AND(#REF!,"AAAAAH7//lE=")</f>
        <v>#REF!</v>
      </c>
      <c r="CE60" t="e">
        <f>AND(#REF!,"AAAAAH7//lI=")</f>
        <v>#REF!</v>
      </c>
      <c r="CF60" t="e">
        <f>IF(#REF!,"AAAAAH7//lM=",0)</f>
        <v>#REF!</v>
      </c>
      <c r="CG60" t="e">
        <f>AND(#REF!,"AAAAAH7//lQ=")</f>
        <v>#REF!</v>
      </c>
      <c r="CH60" t="e">
        <f>AND(#REF!,"AAAAAH7//lU=")</f>
        <v>#REF!</v>
      </c>
      <c r="CI60" t="e">
        <f>AND(#REF!,"AAAAAH7//lY=")</f>
        <v>#REF!</v>
      </c>
      <c r="CJ60" t="e">
        <f>AND(#REF!,"AAAAAH7//lc=")</f>
        <v>#REF!</v>
      </c>
      <c r="CK60" t="e">
        <f>AND(#REF!,"AAAAAH7//lg=")</f>
        <v>#REF!</v>
      </c>
      <c r="CL60" t="e">
        <f>AND(#REF!,"AAAAAH7//lk=")</f>
        <v>#REF!</v>
      </c>
      <c r="CM60" t="e">
        <f>IF(#REF!,"AAAAAH7//lo=",0)</f>
        <v>#REF!</v>
      </c>
      <c r="CN60" t="e">
        <f>AND(#REF!,"AAAAAH7//ls=")</f>
        <v>#REF!</v>
      </c>
      <c r="CO60" t="e">
        <f>AND(#REF!,"AAAAAH7//lw=")</f>
        <v>#REF!</v>
      </c>
      <c r="CP60" t="e">
        <f>AND(#REF!,"AAAAAH7//l0=")</f>
        <v>#REF!</v>
      </c>
      <c r="CQ60" t="e">
        <f>AND(#REF!,"AAAAAH7//l4=")</f>
        <v>#REF!</v>
      </c>
      <c r="CR60" t="e">
        <f>AND(#REF!,"AAAAAH7//l8=")</f>
        <v>#REF!</v>
      </c>
      <c r="CS60" t="e">
        <f>AND(#REF!,"AAAAAH7//mA=")</f>
        <v>#REF!</v>
      </c>
      <c r="CT60" t="e">
        <f>IF(#REF!,"AAAAAH7//mE=",0)</f>
        <v>#REF!</v>
      </c>
      <c r="CU60" t="e">
        <f>AND(#REF!,"AAAAAH7//mI=")</f>
        <v>#REF!</v>
      </c>
      <c r="CV60" t="e">
        <f>AND(#REF!,"AAAAAH7//mM=")</f>
        <v>#REF!</v>
      </c>
      <c r="CW60" t="e">
        <f>AND(#REF!,"AAAAAH7//mQ=")</f>
        <v>#REF!</v>
      </c>
      <c r="CX60" t="e">
        <f>AND(#REF!,"AAAAAH7//mU=")</f>
        <v>#REF!</v>
      </c>
      <c r="CY60" t="e">
        <f>AND(#REF!,"AAAAAH7//mY=")</f>
        <v>#REF!</v>
      </c>
      <c r="CZ60" t="e">
        <f>AND(#REF!,"AAAAAH7//mc=")</f>
        <v>#REF!</v>
      </c>
      <c r="DA60" t="e">
        <f>IF(#REF!,"AAAAAH7//mg=",0)</f>
        <v>#REF!</v>
      </c>
      <c r="DB60" t="e">
        <f>AND(#REF!,"AAAAAH7//mk=")</f>
        <v>#REF!</v>
      </c>
      <c r="DC60" t="e">
        <f>AND(#REF!,"AAAAAH7//mo=")</f>
        <v>#REF!</v>
      </c>
      <c r="DD60" t="e">
        <f>AND(#REF!,"AAAAAH7//ms=")</f>
        <v>#REF!</v>
      </c>
      <c r="DE60" t="e">
        <f>AND(#REF!,"AAAAAH7//mw=")</f>
        <v>#REF!</v>
      </c>
      <c r="DF60" t="e">
        <f>AND(#REF!,"AAAAAH7//m0=")</f>
        <v>#REF!</v>
      </c>
      <c r="DG60" t="e">
        <f>AND(#REF!,"AAAAAH7//m4=")</f>
        <v>#REF!</v>
      </c>
      <c r="DH60" t="e">
        <f>IF(#REF!,"AAAAAH7//m8=",0)</f>
        <v>#REF!</v>
      </c>
      <c r="DI60" t="e">
        <f>AND(#REF!,"AAAAAH7//nA=")</f>
        <v>#REF!</v>
      </c>
      <c r="DJ60" t="e">
        <f>AND(#REF!,"AAAAAH7//nE=")</f>
        <v>#REF!</v>
      </c>
      <c r="DK60" t="e">
        <f>AND(#REF!,"AAAAAH7//nI=")</f>
        <v>#REF!</v>
      </c>
      <c r="DL60" t="e">
        <f>AND(#REF!,"AAAAAH7//nM=")</f>
        <v>#REF!</v>
      </c>
      <c r="DM60" t="e">
        <f>AND(#REF!,"AAAAAH7//nQ=")</f>
        <v>#REF!</v>
      </c>
      <c r="DN60" t="e">
        <f>AND(#REF!,"AAAAAH7//nU=")</f>
        <v>#REF!</v>
      </c>
      <c r="DO60" t="e">
        <f>IF(#REF!,"AAAAAH7//nY=",0)</f>
        <v>#REF!</v>
      </c>
      <c r="DP60" t="e">
        <f>AND(#REF!,"AAAAAH7//nc=")</f>
        <v>#REF!</v>
      </c>
      <c r="DQ60" t="e">
        <f>AND(#REF!,"AAAAAH7//ng=")</f>
        <v>#REF!</v>
      </c>
      <c r="DR60" t="e">
        <f>AND(#REF!,"AAAAAH7//nk=")</f>
        <v>#REF!</v>
      </c>
      <c r="DS60" t="e">
        <f>AND(#REF!,"AAAAAH7//no=")</f>
        <v>#REF!</v>
      </c>
      <c r="DT60" t="e">
        <f>AND(#REF!,"AAAAAH7//ns=")</f>
        <v>#REF!</v>
      </c>
      <c r="DU60" t="e">
        <f>AND(#REF!,"AAAAAH7//nw=")</f>
        <v>#REF!</v>
      </c>
      <c r="DV60" t="e">
        <f>IF(#REF!,"AAAAAH7//n0=",0)</f>
        <v>#REF!</v>
      </c>
      <c r="DW60" t="e">
        <f>AND(#REF!,"AAAAAH7//n4=")</f>
        <v>#REF!</v>
      </c>
      <c r="DX60" t="e">
        <f>AND(#REF!,"AAAAAH7//n8=")</f>
        <v>#REF!</v>
      </c>
      <c r="DY60" t="e">
        <f>AND(#REF!,"AAAAAH7//oA=")</f>
        <v>#REF!</v>
      </c>
      <c r="DZ60" t="e">
        <f>AND(#REF!,"AAAAAH7//oE=")</f>
        <v>#REF!</v>
      </c>
      <c r="EA60" t="e">
        <f>AND(#REF!,"AAAAAH7//oI=")</f>
        <v>#REF!</v>
      </c>
      <c r="EB60" t="e">
        <f>AND(#REF!,"AAAAAH7//oM=")</f>
        <v>#REF!</v>
      </c>
      <c r="EC60" t="e">
        <f>IF(#REF!,"AAAAAH7//oQ=",0)</f>
        <v>#REF!</v>
      </c>
      <c r="ED60" t="e">
        <f>AND(#REF!,"AAAAAH7//oU=")</f>
        <v>#REF!</v>
      </c>
      <c r="EE60" t="e">
        <f>AND(#REF!,"AAAAAH7//oY=")</f>
        <v>#REF!</v>
      </c>
      <c r="EF60" t="e">
        <f>AND(#REF!,"AAAAAH7//oc=")</f>
        <v>#REF!</v>
      </c>
      <c r="EG60" t="e">
        <f>AND(#REF!,"AAAAAH7//og=")</f>
        <v>#REF!</v>
      </c>
      <c r="EH60" t="e">
        <f>AND(#REF!,"AAAAAH7//ok=")</f>
        <v>#REF!</v>
      </c>
      <c r="EI60" t="e">
        <f>AND(#REF!,"AAAAAH7//oo=")</f>
        <v>#REF!</v>
      </c>
      <c r="EJ60" t="e">
        <f>IF(#REF!,"AAAAAH7//os=",0)</f>
        <v>#REF!</v>
      </c>
      <c r="EK60" t="e">
        <f>AND(#REF!,"AAAAAH7//ow=")</f>
        <v>#REF!</v>
      </c>
      <c r="EL60" t="e">
        <f>AND(#REF!,"AAAAAH7//o0=")</f>
        <v>#REF!</v>
      </c>
      <c r="EM60" t="e">
        <f>AND(#REF!,"AAAAAH7//o4=")</f>
        <v>#REF!</v>
      </c>
      <c r="EN60" t="e">
        <f>AND(#REF!,"AAAAAH7//o8=")</f>
        <v>#REF!</v>
      </c>
      <c r="EO60" t="e">
        <f>AND(#REF!,"AAAAAH7//pA=")</f>
        <v>#REF!</v>
      </c>
      <c r="EP60" t="e">
        <f>AND(#REF!,"AAAAAH7//pE=")</f>
        <v>#REF!</v>
      </c>
      <c r="EQ60" t="e">
        <f>IF(#REF!,"AAAAAH7//pI=",0)</f>
        <v>#REF!</v>
      </c>
      <c r="ER60" t="e">
        <f>AND(#REF!,"AAAAAH7//pM=")</f>
        <v>#REF!</v>
      </c>
      <c r="ES60" t="e">
        <f>AND(#REF!,"AAAAAH7//pQ=")</f>
        <v>#REF!</v>
      </c>
      <c r="ET60" t="e">
        <f>AND(#REF!,"AAAAAH7//pU=")</f>
        <v>#REF!</v>
      </c>
      <c r="EU60" t="e">
        <f>AND(#REF!,"AAAAAH7//pY=")</f>
        <v>#REF!</v>
      </c>
      <c r="EV60" t="e">
        <f>AND(#REF!,"AAAAAH7//pc=")</f>
        <v>#REF!</v>
      </c>
      <c r="EW60" t="e">
        <f>AND(#REF!,"AAAAAH7//pg=")</f>
        <v>#REF!</v>
      </c>
      <c r="EX60" t="e">
        <f>IF(#REF!,"AAAAAH7//pk=",0)</f>
        <v>#REF!</v>
      </c>
      <c r="EY60" t="e">
        <f>AND(#REF!,"AAAAAH7//po=")</f>
        <v>#REF!</v>
      </c>
      <c r="EZ60" t="e">
        <f>AND(#REF!,"AAAAAH7//ps=")</f>
        <v>#REF!</v>
      </c>
      <c r="FA60" t="e">
        <f>AND(#REF!,"AAAAAH7//pw=")</f>
        <v>#REF!</v>
      </c>
      <c r="FB60" t="e">
        <f>AND(#REF!,"AAAAAH7//p0=")</f>
        <v>#REF!</v>
      </c>
      <c r="FC60" t="e">
        <f>AND(#REF!,"AAAAAH7//p4=")</f>
        <v>#REF!</v>
      </c>
      <c r="FD60" t="e">
        <f>AND(#REF!,"AAAAAH7//p8=")</f>
        <v>#REF!</v>
      </c>
      <c r="FE60" t="e">
        <f>IF(#REF!,"AAAAAH7//qA=",0)</f>
        <v>#REF!</v>
      </c>
      <c r="FF60" t="e">
        <f>AND(#REF!,"AAAAAH7//qE=")</f>
        <v>#REF!</v>
      </c>
      <c r="FG60" t="e">
        <f>AND(#REF!,"AAAAAH7//qI=")</f>
        <v>#REF!</v>
      </c>
      <c r="FH60" t="e">
        <f>AND(#REF!,"AAAAAH7//qM=")</f>
        <v>#REF!</v>
      </c>
      <c r="FI60" t="e">
        <f>AND(#REF!,"AAAAAH7//qQ=")</f>
        <v>#REF!</v>
      </c>
      <c r="FJ60" t="e">
        <f>AND(#REF!,"AAAAAH7//qU=")</f>
        <v>#REF!</v>
      </c>
      <c r="FK60" t="e">
        <f>AND(#REF!,"AAAAAH7//qY=")</f>
        <v>#REF!</v>
      </c>
      <c r="FL60" t="e">
        <f>IF(#REF!,"AAAAAH7//qc=",0)</f>
        <v>#REF!</v>
      </c>
      <c r="FM60" t="e">
        <f>AND(#REF!,"AAAAAH7//qg=")</f>
        <v>#REF!</v>
      </c>
      <c r="FN60" t="e">
        <f>AND(#REF!,"AAAAAH7//qk=")</f>
        <v>#REF!</v>
      </c>
      <c r="FO60" t="e">
        <f>AND(#REF!,"AAAAAH7//qo=")</f>
        <v>#REF!</v>
      </c>
      <c r="FP60" t="e">
        <f>AND(#REF!,"AAAAAH7//qs=")</f>
        <v>#REF!</v>
      </c>
      <c r="FQ60" t="e">
        <f>AND(#REF!,"AAAAAH7//qw=")</f>
        <v>#REF!</v>
      </c>
      <c r="FR60" t="e">
        <f>AND(#REF!,"AAAAAH7//q0=")</f>
        <v>#REF!</v>
      </c>
      <c r="FS60" t="e">
        <f>IF(#REF!,"AAAAAH7//q4=",0)</f>
        <v>#REF!</v>
      </c>
      <c r="FT60" t="e">
        <f>AND(#REF!,"AAAAAH7//q8=")</f>
        <v>#REF!</v>
      </c>
      <c r="FU60" t="e">
        <f>AND(#REF!,"AAAAAH7//rA=")</f>
        <v>#REF!</v>
      </c>
      <c r="FV60" t="e">
        <f>AND(#REF!,"AAAAAH7//rE=")</f>
        <v>#REF!</v>
      </c>
      <c r="FW60" t="e">
        <f>AND(#REF!,"AAAAAH7//rI=")</f>
        <v>#REF!</v>
      </c>
      <c r="FX60" t="e">
        <f>AND(#REF!,"AAAAAH7//rM=")</f>
        <v>#REF!</v>
      </c>
      <c r="FY60" t="e">
        <f>AND(#REF!,"AAAAAH7//rQ=")</f>
        <v>#REF!</v>
      </c>
      <c r="FZ60" t="e">
        <f>IF(#REF!,"AAAAAH7//rU=",0)</f>
        <v>#REF!</v>
      </c>
      <c r="GA60" t="e">
        <f>AND(#REF!,"AAAAAH7//rY=")</f>
        <v>#REF!</v>
      </c>
      <c r="GB60" t="e">
        <f>AND(#REF!,"AAAAAH7//rc=")</f>
        <v>#REF!</v>
      </c>
      <c r="GC60" t="e">
        <f>AND(#REF!,"AAAAAH7//rg=")</f>
        <v>#REF!</v>
      </c>
      <c r="GD60" t="e">
        <f>AND(#REF!,"AAAAAH7//rk=")</f>
        <v>#REF!</v>
      </c>
      <c r="GE60" t="e">
        <f>AND(#REF!,"AAAAAH7//ro=")</f>
        <v>#REF!</v>
      </c>
      <c r="GF60" t="e">
        <f>AND(#REF!,"AAAAAH7//rs=")</f>
        <v>#REF!</v>
      </c>
      <c r="GG60" t="e">
        <f>IF(#REF!,"AAAAAH7//rw=",0)</f>
        <v>#REF!</v>
      </c>
      <c r="GH60" t="e">
        <f>AND(#REF!,"AAAAAH7//r0=")</f>
        <v>#REF!</v>
      </c>
      <c r="GI60" t="e">
        <f>AND(#REF!,"AAAAAH7//r4=")</f>
        <v>#REF!</v>
      </c>
      <c r="GJ60" t="e">
        <f>AND(#REF!,"AAAAAH7//r8=")</f>
        <v>#REF!</v>
      </c>
      <c r="GK60" t="e">
        <f>AND(#REF!,"AAAAAH7//sA=")</f>
        <v>#REF!</v>
      </c>
      <c r="GL60" t="e">
        <f>AND(#REF!,"AAAAAH7//sE=")</f>
        <v>#REF!</v>
      </c>
      <c r="GM60" t="e">
        <f>AND(#REF!,"AAAAAH7//sI=")</f>
        <v>#REF!</v>
      </c>
      <c r="GN60" t="e">
        <f>IF(#REF!,"AAAAAH7//sM=",0)</f>
        <v>#REF!</v>
      </c>
      <c r="GO60" t="e">
        <f>AND(#REF!,"AAAAAH7//sQ=")</f>
        <v>#REF!</v>
      </c>
      <c r="GP60" t="e">
        <f>AND(#REF!,"AAAAAH7//sU=")</f>
        <v>#REF!</v>
      </c>
      <c r="GQ60" t="e">
        <f>AND(#REF!,"AAAAAH7//sY=")</f>
        <v>#REF!</v>
      </c>
      <c r="GR60" t="e">
        <f>AND(#REF!,"AAAAAH7//sc=")</f>
        <v>#REF!</v>
      </c>
      <c r="GS60" t="e">
        <f>AND(#REF!,"AAAAAH7//sg=")</f>
        <v>#REF!</v>
      </c>
      <c r="GT60" t="e">
        <f>AND(#REF!,"AAAAAH7//sk=")</f>
        <v>#REF!</v>
      </c>
      <c r="GU60" t="e">
        <f>IF(#REF!,"AAAAAH7//so=",0)</f>
        <v>#REF!</v>
      </c>
      <c r="GV60" t="e">
        <f>AND(#REF!,"AAAAAH7//ss=")</f>
        <v>#REF!</v>
      </c>
      <c r="GW60" t="e">
        <f>AND(#REF!,"AAAAAH7//sw=")</f>
        <v>#REF!</v>
      </c>
      <c r="GX60" t="e">
        <f>AND(#REF!,"AAAAAH7//s0=")</f>
        <v>#REF!</v>
      </c>
      <c r="GY60" t="e">
        <f>AND(#REF!,"AAAAAH7//s4=")</f>
        <v>#REF!</v>
      </c>
      <c r="GZ60" t="e">
        <f>AND(#REF!,"AAAAAH7//s8=")</f>
        <v>#REF!</v>
      </c>
      <c r="HA60" t="e">
        <f>AND(#REF!,"AAAAAH7//tA=")</f>
        <v>#REF!</v>
      </c>
      <c r="HB60" t="e">
        <f>IF(#REF!,"AAAAAH7//tE=",0)</f>
        <v>#REF!</v>
      </c>
      <c r="HC60" t="e">
        <f>AND(#REF!,"AAAAAH7//tI=")</f>
        <v>#REF!</v>
      </c>
      <c r="HD60" t="e">
        <f>AND(#REF!,"AAAAAH7//tM=")</f>
        <v>#REF!</v>
      </c>
      <c r="HE60" t="e">
        <f>AND(#REF!,"AAAAAH7//tQ=")</f>
        <v>#REF!</v>
      </c>
      <c r="HF60" t="e">
        <f>AND(#REF!,"AAAAAH7//tU=")</f>
        <v>#REF!</v>
      </c>
      <c r="HG60" t="e">
        <f>AND(#REF!,"AAAAAH7//tY=")</f>
        <v>#REF!</v>
      </c>
      <c r="HH60" t="e">
        <f>AND(#REF!,"AAAAAH7//tc=")</f>
        <v>#REF!</v>
      </c>
      <c r="HI60" t="e">
        <f>IF(#REF!,"AAAAAH7//tg=",0)</f>
        <v>#REF!</v>
      </c>
      <c r="HJ60" t="e">
        <f>AND(#REF!,"AAAAAH7//tk=")</f>
        <v>#REF!</v>
      </c>
      <c r="HK60" t="e">
        <f>AND(#REF!,"AAAAAH7//to=")</f>
        <v>#REF!</v>
      </c>
      <c r="HL60" t="e">
        <f>AND(#REF!,"AAAAAH7//ts=")</f>
        <v>#REF!</v>
      </c>
      <c r="HM60" t="e">
        <f>AND(#REF!,"AAAAAH7//tw=")</f>
        <v>#REF!</v>
      </c>
      <c r="HN60" t="e">
        <f>AND(#REF!,"AAAAAH7//t0=")</f>
        <v>#REF!</v>
      </c>
      <c r="HO60" t="e">
        <f>AND(#REF!,"AAAAAH7//t4=")</f>
        <v>#REF!</v>
      </c>
      <c r="HP60" t="e">
        <f>IF(#REF!,"AAAAAH7//t8=",0)</f>
        <v>#REF!</v>
      </c>
      <c r="HQ60" t="e">
        <f>AND(#REF!,"AAAAAH7//uA=")</f>
        <v>#REF!</v>
      </c>
      <c r="HR60" t="e">
        <f>AND(#REF!,"AAAAAH7//uE=")</f>
        <v>#REF!</v>
      </c>
      <c r="HS60" t="e">
        <f>AND(#REF!,"AAAAAH7//uI=")</f>
        <v>#REF!</v>
      </c>
      <c r="HT60" t="e">
        <f>AND(#REF!,"AAAAAH7//uM=")</f>
        <v>#REF!</v>
      </c>
      <c r="HU60" t="e">
        <f>AND(#REF!,"AAAAAH7//uQ=")</f>
        <v>#REF!</v>
      </c>
      <c r="HV60" t="e">
        <f>AND(#REF!,"AAAAAH7//uU=")</f>
        <v>#REF!</v>
      </c>
      <c r="HW60" t="e">
        <f>IF(#REF!,"AAAAAH7//uY=",0)</f>
        <v>#REF!</v>
      </c>
      <c r="HX60" t="e">
        <f>AND(#REF!,"AAAAAH7//uc=")</f>
        <v>#REF!</v>
      </c>
      <c r="HY60" t="e">
        <f>AND(#REF!,"AAAAAH7//ug=")</f>
        <v>#REF!</v>
      </c>
      <c r="HZ60" t="e">
        <f>AND(#REF!,"AAAAAH7//uk=")</f>
        <v>#REF!</v>
      </c>
      <c r="IA60" t="e">
        <f>AND(#REF!,"AAAAAH7//uo=")</f>
        <v>#REF!</v>
      </c>
      <c r="IB60" t="e">
        <f>AND(#REF!,"AAAAAH7//us=")</f>
        <v>#REF!</v>
      </c>
      <c r="IC60" t="e">
        <f>AND(#REF!,"AAAAAH7//uw=")</f>
        <v>#REF!</v>
      </c>
      <c r="ID60" t="e">
        <f>IF(#REF!,"AAAAAH7//u0=",0)</f>
        <v>#REF!</v>
      </c>
      <c r="IE60" t="e">
        <f>AND(#REF!,"AAAAAH7//u4=")</f>
        <v>#REF!</v>
      </c>
      <c r="IF60" t="e">
        <f>AND(#REF!,"AAAAAH7//u8=")</f>
        <v>#REF!</v>
      </c>
      <c r="IG60" t="e">
        <f>AND(#REF!,"AAAAAH7//vA=")</f>
        <v>#REF!</v>
      </c>
      <c r="IH60" t="e">
        <f>AND(#REF!,"AAAAAH7//vE=")</f>
        <v>#REF!</v>
      </c>
      <c r="II60" t="e">
        <f>AND(#REF!,"AAAAAH7//vI=")</f>
        <v>#REF!</v>
      </c>
      <c r="IJ60" t="e">
        <f>AND(#REF!,"AAAAAH7//vM=")</f>
        <v>#REF!</v>
      </c>
      <c r="IK60" t="e">
        <f>IF(#REF!,"AAAAAH7//vQ=",0)</f>
        <v>#REF!</v>
      </c>
      <c r="IL60" t="e">
        <f>AND(#REF!,"AAAAAH7//vU=")</f>
        <v>#REF!</v>
      </c>
      <c r="IM60" t="e">
        <f>AND(#REF!,"AAAAAH7//vY=")</f>
        <v>#REF!</v>
      </c>
      <c r="IN60" t="e">
        <f>AND(#REF!,"AAAAAH7//vc=")</f>
        <v>#REF!</v>
      </c>
      <c r="IO60" t="e">
        <f>AND(#REF!,"AAAAAH7//vg=")</f>
        <v>#REF!</v>
      </c>
      <c r="IP60" t="e">
        <f>AND(#REF!,"AAAAAH7//vk=")</f>
        <v>#REF!</v>
      </c>
      <c r="IQ60" t="e">
        <f>AND(#REF!,"AAAAAH7//vo=")</f>
        <v>#REF!</v>
      </c>
      <c r="IR60" t="e">
        <f>IF(#REF!,"AAAAAH7//vs=",0)</f>
        <v>#REF!</v>
      </c>
      <c r="IS60" t="e">
        <f>AND(#REF!,"AAAAAH7//vw=")</f>
        <v>#REF!</v>
      </c>
      <c r="IT60" t="e">
        <f>AND(#REF!,"AAAAAH7//v0=")</f>
        <v>#REF!</v>
      </c>
      <c r="IU60" t="e">
        <f>AND(#REF!,"AAAAAH7//v4=")</f>
        <v>#REF!</v>
      </c>
      <c r="IV60" t="e">
        <f>AND(#REF!,"AAAAAH7//v8=")</f>
        <v>#REF!</v>
      </c>
    </row>
    <row r="61" spans="1:256" x14ac:dyDescent="0.25">
      <c r="A61" t="e">
        <f>AND(#REF!,"AAAAAF/E3wA=")</f>
        <v>#REF!</v>
      </c>
      <c r="B61" t="e">
        <f>AND(#REF!,"AAAAAF/E3wE=")</f>
        <v>#REF!</v>
      </c>
      <c r="C61" t="e">
        <f>IF(#REF!,"AAAAAF/E3wI=",0)</f>
        <v>#REF!</v>
      </c>
      <c r="D61" t="e">
        <f>AND(#REF!,"AAAAAF/E3wM=")</f>
        <v>#REF!</v>
      </c>
      <c r="E61" t="e">
        <f>AND(#REF!,"AAAAAF/E3wQ=")</f>
        <v>#REF!</v>
      </c>
      <c r="F61" t="e">
        <f>AND(#REF!,"AAAAAF/E3wU=")</f>
        <v>#REF!</v>
      </c>
      <c r="G61" t="e">
        <f>AND(#REF!,"AAAAAF/E3wY=")</f>
        <v>#REF!</v>
      </c>
      <c r="H61" t="e">
        <f>AND(#REF!,"AAAAAF/E3wc=")</f>
        <v>#REF!</v>
      </c>
      <c r="I61" t="e">
        <f>AND(#REF!,"AAAAAF/E3wg=")</f>
        <v>#REF!</v>
      </c>
      <c r="J61" t="e">
        <f>IF(#REF!,"AAAAAF/E3wk=",0)</f>
        <v>#REF!</v>
      </c>
      <c r="K61" t="e">
        <f>AND(#REF!,"AAAAAF/E3wo=")</f>
        <v>#REF!</v>
      </c>
      <c r="L61" t="e">
        <f>AND(#REF!,"AAAAAF/E3ws=")</f>
        <v>#REF!</v>
      </c>
      <c r="M61" t="e">
        <f>AND(#REF!,"AAAAAF/E3ww=")</f>
        <v>#REF!</v>
      </c>
      <c r="N61" t="e">
        <f>AND(#REF!,"AAAAAF/E3w0=")</f>
        <v>#REF!</v>
      </c>
      <c r="O61" t="e">
        <f>AND(#REF!,"AAAAAF/E3w4=")</f>
        <v>#REF!</v>
      </c>
      <c r="P61" t="e">
        <f>AND(#REF!,"AAAAAF/E3w8=")</f>
        <v>#REF!</v>
      </c>
      <c r="Q61" t="e">
        <f>IF(#REF!,"AAAAAF/E3xA=",0)</f>
        <v>#REF!</v>
      </c>
      <c r="R61" t="e">
        <f>AND(#REF!,"AAAAAF/E3xE=")</f>
        <v>#REF!</v>
      </c>
      <c r="S61" t="e">
        <f>AND(#REF!,"AAAAAF/E3xI=")</f>
        <v>#REF!</v>
      </c>
      <c r="T61" t="e">
        <f>AND(#REF!,"AAAAAF/E3xM=")</f>
        <v>#REF!</v>
      </c>
      <c r="U61" t="e">
        <f>AND(#REF!,"AAAAAF/E3xQ=")</f>
        <v>#REF!</v>
      </c>
      <c r="V61" t="e">
        <f>AND(#REF!,"AAAAAF/E3xU=")</f>
        <v>#REF!</v>
      </c>
      <c r="W61" t="e">
        <f>AND(#REF!,"AAAAAF/E3xY=")</f>
        <v>#REF!</v>
      </c>
      <c r="X61" t="e">
        <f>IF(#REF!,"AAAAAF/E3xc=",0)</f>
        <v>#REF!</v>
      </c>
      <c r="Y61" t="e">
        <f>AND(#REF!,"AAAAAF/E3xg=")</f>
        <v>#REF!</v>
      </c>
      <c r="Z61" t="e">
        <f>AND(#REF!,"AAAAAF/E3xk=")</f>
        <v>#REF!</v>
      </c>
      <c r="AA61" t="e">
        <f>AND(#REF!,"AAAAAF/E3xo=")</f>
        <v>#REF!</v>
      </c>
      <c r="AB61" t="e">
        <f>AND(#REF!,"AAAAAF/E3xs=")</f>
        <v>#REF!</v>
      </c>
      <c r="AC61" t="e">
        <f>AND(#REF!,"AAAAAF/E3xw=")</f>
        <v>#REF!</v>
      </c>
      <c r="AD61" t="e">
        <f>AND(#REF!,"AAAAAF/E3x0=")</f>
        <v>#REF!</v>
      </c>
      <c r="AE61" t="e">
        <f>IF(#REF!,"AAAAAF/E3x4=",0)</f>
        <v>#REF!</v>
      </c>
      <c r="AF61" t="e">
        <f>AND(#REF!,"AAAAAF/E3x8=")</f>
        <v>#REF!</v>
      </c>
      <c r="AG61" t="e">
        <f>AND(#REF!,"AAAAAF/E3yA=")</f>
        <v>#REF!</v>
      </c>
      <c r="AH61" t="e">
        <f>AND(#REF!,"AAAAAF/E3yE=")</f>
        <v>#REF!</v>
      </c>
      <c r="AI61" t="e">
        <f>AND(#REF!,"AAAAAF/E3yI=")</f>
        <v>#REF!</v>
      </c>
      <c r="AJ61" t="e">
        <f>AND(#REF!,"AAAAAF/E3yM=")</f>
        <v>#REF!</v>
      </c>
      <c r="AK61" t="e">
        <f>AND(#REF!,"AAAAAF/E3yQ=")</f>
        <v>#REF!</v>
      </c>
      <c r="AL61" t="e">
        <f>IF(#REF!,"AAAAAF/E3yU=",0)</f>
        <v>#REF!</v>
      </c>
      <c r="AM61" t="e">
        <f>AND(#REF!,"AAAAAF/E3yY=")</f>
        <v>#REF!</v>
      </c>
      <c r="AN61" t="e">
        <f>AND(#REF!,"AAAAAF/E3yc=")</f>
        <v>#REF!</v>
      </c>
      <c r="AO61" t="e">
        <f>AND(#REF!,"AAAAAF/E3yg=")</f>
        <v>#REF!</v>
      </c>
      <c r="AP61" t="e">
        <f>AND(#REF!,"AAAAAF/E3yk=")</f>
        <v>#REF!</v>
      </c>
      <c r="AQ61" t="e">
        <f>AND(#REF!,"AAAAAF/E3yo=")</f>
        <v>#REF!</v>
      </c>
      <c r="AR61" t="e">
        <f>AND(#REF!,"AAAAAF/E3ys=")</f>
        <v>#REF!</v>
      </c>
      <c r="AS61" t="e">
        <f>IF(#REF!,"AAAAAF/E3yw=",0)</f>
        <v>#REF!</v>
      </c>
      <c r="AT61" t="e">
        <f>AND(#REF!,"AAAAAF/E3y0=")</f>
        <v>#REF!</v>
      </c>
      <c r="AU61" t="e">
        <f>AND(#REF!,"AAAAAF/E3y4=")</f>
        <v>#REF!</v>
      </c>
      <c r="AV61" t="e">
        <f>AND(#REF!,"AAAAAF/E3y8=")</f>
        <v>#REF!</v>
      </c>
      <c r="AW61" t="e">
        <f>AND(#REF!,"AAAAAF/E3zA=")</f>
        <v>#REF!</v>
      </c>
      <c r="AX61" t="e">
        <f>AND(#REF!,"AAAAAF/E3zE=")</f>
        <v>#REF!</v>
      </c>
      <c r="AY61" t="e">
        <f>AND(#REF!,"AAAAAF/E3zI=")</f>
        <v>#REF!</v>
      </c>
      <c r="AZ61" t="e">
        <f>IF(#REF!,"AAAAAF/E3zM=",0)</f>
        <v>#REF!</v>
      </c>
      <c r="BA61" t="e">
        <f>AND(#REF!,"AAAAAF/E3zQ=")</f>
        <v>#REF!</v>
      </c>
      <c r="BB61" t="e">
        <f>AND(#REF!,"AAAAAF/E3zU=")</f>
        <v>#REF!</v>
      </c>
      <c r="BC61" t="e">
        <f>AND(#REF!,"AAAAAF/E3zY=")</f>
        <v>#REF!</v>
      </c>
      <c r="BD61" t="e">
        <f>AND(#REF!,"AAAAAF/E3zc=")</f>
        <v>#REF!</v>
      </c>
      <c r="BE61" t="e">
        <f>AND(#REF!,"AAAAAF/E3zg=")</f>
        <v>#REF!</v>
      </c>
      <c r="BF61" t="e">
        <f>AND(#REF!,"AAAAAF/E3zk=")</f>
        <v>#REF!</v>
      </c>
      <c r="BG61" t="e">
        <f>IF(#REF!,"AAAAAF/E3zo=",0)</f>
        <v>#REF!</v>
      </c>
      <c r="BH61" t="e">
        <f>AND(#REF!,"AAAAAF/E3zs=")</f>
        <v>#REF!</v>
      </c>
      <c r="BI61" t="e">
        <f>AND(#REF!,"AAAAAF/E3zw=")</f>
        <v>#REF!</v>
      </c>
      <c r="BJ61" t="e">
        <f>AND(#REF!,"AAAAAF/E3z0=")</f>
        <v>#REF!</v>
      </c>
      <c r="BK61" t="e">
        <f>AND(#REF!,"AAAAAF/E3z4=")</f>
        <v>#REF!</v>
      </c>
      <c r="BL61" t="e">
        <f>AND(#REF!,"AAAAAF/E3z8=")</f>
        <v>#REF!</v>
      </c>
      <c r="BM61" t="e">
        <f>AND(#REF!,"AAAAAF/E30A=")</f>
        <v>#REF!</v>
      </c>
      <c r="BN61" t="e">
        <f>IF(#REF!,"AAAAAF/E30E=",0)</f>
        <v>#REF!</v>
      </c>
      <c r="BO61" t="e">
        <f>AND(#REF!,"AAAAAF/E30I=")</f>
        <v>#REF!</v>
      </c>
      <c r="BP61" t="e">
        <f>AND(#REF!,"AAAAAF/E30M=")</f>
        <v>#REF!</v>
      </c>
      <c r="BQ61" t="e">
        <f>AND(#REF!,"AAAAAF/E30Q=")</f>
        <v>#REF!</v>
      </c>
      <c r="BR61" t="e">
        <f>AND(#REF!,"AAAAAF/E30U=")</f>
        <v>#REF!</v>
      </c>
      <c r="BS61" t="e">
        <f>AND(#REF!,"AAAAAF/E30Y=")</f>
        <v>#REF!</v>
      </c>
      <c r="BT61" t="e">
        <f>AND(#REF!,"AAAAAF/E30c=")</f>
        <v>#REF!</v>
      </c>
      <c r="BU61" t="e">
        <f>IF(#REF!,"AAAAAF/E30g=",0)</f>
        <v>#REF!</v>
      </c>
      <c r="BV61" t="e">
        <f>AND(#REF!,"AAAAAF/E30k=")</f>
        <v>#REF!</v>
      </c>
      <c r="BW61" t="e">
        <f>AND(#REF!,"AAAAAF/E30o=")</f>
        <v>#REF!</v>
      </c>
      <c r="BX61" t="e">
        <f>AND(#REF!,"AAAAAF/E30s=")</f>
        <v>#REF!</v>
      </c>
      <c r="BY61" t="e">
        <f>AND(#REF!,"AAAAAF/E30w=")</f>
        <v>#REF!</v>
      </c>
      <c r="BZ61" t="e">
        <f>AND(#REF!,"AAAAAF/E300=")</f>
        <v>#REF!</v>
      </c>
      <c r="CA61" t="e">
        <f>AND(#REF!,"AAAAAF/E304=")</f>
        <v>#REF!</v>
      </c>
      <c r="CB61" t="e">
        <f>IF(#REF!,"AAAAAF/E308=",0)</f>
        <v>#REF!</v>
      </c>
      <c r="CC61" t="e">
        <f>AND(#REF!,"AAAAAF/E31A=")</f>
        <v>#REF!</v>
      </c>
      <c r="CD61" t="e">
        <f>AND(#REF!,"AAAAAF/E31E=")</f>
        <v>#REF!</v>
      </c>
      <c r="CE61" t="e">
        <f>AND(#REF!,"AAAAAF/E31I=")</f>
        <v>#REF!</v>
      </c>
      <c r="CF61" t="e">
        <f>AND(#REF!,"AAAAAF/E31M=")</f>
        <v>#REF!</v>
      </c>
      <c r="CG61" t="e">
        <f>AND(#REF!,"AAAAAF/E31Q=")</f>
        <v>#REF!</v>
      </c>
      <c r="CH61" t="e">
        <f>AND(#REF!,"AAAAAF/E31U=")</f>
        <v>#REF!</v>
      </c>
      <c r="CI61" t="e">
        <f>IF(#REF!,"AAAAAF/E31Y=",0)</f>
        <v>#REF!</v>
      </c>
      <c r="CJ61" t="e">
        <f>AND(#REF!,"AAAAAF/E31c=")</f>
        <v>#REF!</v>
      </c>
      <c r="CK61" t="e">
        <f>AND(#REF!,"AAAAAF/E31g=")</f>
        <v>#REF!</v>
      </c>
      <c r="CL61" t="e">
        <f>AND(#REF!,"AAAAAF/E31k=")</f>
        <v>#REF!</v>
      </c>
      <c r="CM61" t="e">
        <f>AND(#REF!,"AAAAAF/E31o=")</f>
        <v>#REF!</v>
      </c>
      <c r="CN61" t="e">
        <f>AND(#REF!,"AAAAAF/E31s=")</f>
        <v>#REF!</v>
      </c>
      <c r="CO61" t="e">
        <f>AND(#REF!,"AAAAAF/E31w=")</f>
        <v>#REF!</v>
      </c>
      <c r="CP61" t="e">
        <f>IF(#REF!,"AAAAAF/E310=",0)</f>
        <v>#REF!</v>
      </c>
      <c r="CQ61" t="e">
        <f>AND(#REF!,"AAAAAF/E314=")</f>
        <v>#REF!</v>
      </c>
      <c r="CR61" t="e">
        <f>AND(#REF!,"AAAAAF/E318=")</f>
        <v>#REF!</v>
      </c>
      <c r="CS61" t="e">
        <f>AND(#REF!,"AAAAAF/E32A=")</f>
        <v>#REF!</v>
      </c>
      <c r="CT61" t="e">
        <f>AND(#REF!,"AAAAAF/E32E=")</f>
        <v>#REF!</v>
      </c>
      <c r="CU61" t="e">
        <f>AND(#REF!,"AAAAAF/E32I=")</f>
        <v>#REF!</v>
      </c>
      <c r="CV61" t="e">
        <f>AND(#REF!,"AAAAAF/E32M=")</f>
        <v>#REF!</v>
      </c>
      <c r="CW61" t="e">
        <f>IF(#REF!,"AAAAAF/E32Q=",0)</f>
        <v>#REF!</v>
      </c>
      <c r="CX61" t="e">
        <f>AND(#REF!,"AAAAAF/E32U=")</f>
        <v>#REF!</v>
      </c>
      <c r="CY61" t="e">
        <f>AND(#REF!,"AAAAAF/E32Y=")</f>
        <v>#REF!</v>
      </c>
      <c r="CZ61" t="e">
        <f>AND(#REF!,"AAAAAF/E32c=")</f>
        <v>#REF!</v>
      </c>
      <c r="DA61" t="e">
        <f>AND(#REF!,"AAAAAF/E32g=")</f>
        <v>#REF!</v>
      </c>
      <c r="DB61" t="e">
        <f>AND(#REF!,"AAAAAF/E32k=")</f>
        <v>#REF!</v>
      </c>
      <c r="DC61" t="e">
        <f>AND(#REF!,"AAAAAF/E32o=")</f>
        <v>#REF!</v>
      </c>
      <c r="DD61" t="e">
        <f>IF(#REF!,"AAAAAF/E32s=",0)</f>
        <v>#REF!</v>
      </c>
      <c r="DE61" t="e">
        <f>AND(#REF!,"AAAAAF/E32w=")</f>
        <v>#REF!</v>
      </c>
      <c r="DF61" t="e">
        <f>AND(#REF!,"AAAAAF/E320=")</f>
        <v>#REF!</v>
      </c>
      <c r="DG61" t="e">
        <f>AND(#REF!,"AAAAAF/E324=")</f>
        <v>#REF!</v>
      </c>
      <c r="DH61" t="e">
        <f>AND(#REF!,"AAAAAF/E328=")</f>
        <v>#REF!</v>
      </c>
      <c r="DI61" t="e">
        <f>AND(#REF!,"AAAAAF/E33A=")</f>
        <v>#REF!</v>
      </c>
      <c r="DJ61" t="e">
        <f>AND(#REF!,"AAAAAF/E33E=")</f>
        <v>#REF!</v>
      </c>
      <c r="DK61" t="e">
        <f>IF(#REF!,"AAAAAF/E33I=",0)</f>
        <v>#REF!</v>
      </c>
      <c r="DL61" t="e">
        <f>AND(#REF!,"AAAAAF/E33M=")</f>
        <v>#REF!</v>
      </c>
      <c r="DM61" t="e">
        <f>AND(#REF!,"AAAAAF/E33Q=")</f>
        <v>#REF!</v>
      </c>
      <c r="DN61" t="e">
        <f>AND(#REF!,"AAAAAF/E33U=")</f>
        <v>#REF!</v>
      </c>
      <c r="DO61" t="e">
        <f>AND(#REF!,"AAAAAF/E33Y=")</f>
        <v>#REF!</v>
      </c>
      <c r="DP61" t="e">
        <f>AND(#REF!,"AAAAAF/E33c=")</f>
        <v>#REF!</v>
      </c>
      <c r="DQ61" t="e">
        <f>AND(#REF!,"AAAAAF/E33g=")</f>
        <v>#REF!</v>
      </c>
      <c r="DR61" t="e">
        <f>IF(#REF!,"AAAAAF/E33k=",0)</f>
        <v>#REF!</v>
      </c>
      <c r="DS61" t="e">
        <f>AND(#REF!,"AAAAAF/E33o=")</f>
        <v>#REF!</v>
      </c>
      <c r="DT61" t="e">
        <f>AND(#REF!,"AAAAAF/E33s=")</f>
        <v>#REF!</v>
      </c>
      <c r="DU61" t="e">
        <f>AND(#REF!,"AAAAAF/E33w=")</f>
        <v>#REF!</v>
      </c>
      <c r="DV61" t="e">
        <f>AND(#REF!,"AAAAAF/E330=")</f>
        <v>#REF!</v>
      </c>
      <c r="DW61" t="e">
        <f>AND(#REF!,"AAAAAF/E334=")</f>
        <v>#REF!</v>
      </c>
      <c r="DX61" t="e">
        <f>AND(#REF!,"AAAAAF/E338=")</f>
        <v>#REF!</v>
      </c>
      <c r="DY61" t="e">
        <f>IF(#REF!,"AAAAAF/E34A=",0)</f>
        <v>#REF!</v>
      </c>
      <c r="DZ61" t="e">
        <f>AND(#REF!,"AAAAAF/E34E=")</f>
        <v>#REF!</v>
      </c>
      <c r="EA61" t="e">
        <f>AND(#REF!,"AAAAAF/E34I=")</f>
        <v>#REF!</v>
      </c>
      <c r="EB61" t="e">
        <f>AND(#REF!,"AAAAAF/E34M=")</f>
        <v>#REF!</v>
      </c>
      <c r="EC61" t="e">
        <f>AND(#REF!,"AAAAAF/E34Q=")</f>
        <v>#REF!</v>
      </c>
      <c r="ED61" t="e">
        <f>AND(#REF!,"AAAAAF/E34U=")</f>
        <v>#REF!</v>
      </c>
      <c r="EE61" t="e">
        <f>AND(#REF!,"AAAAAF/E34Y=")</f>
        <v>#REF!</v>
      </c>
      <c r="EF61" t="e">
        <f>IF(#REF!,"AAAAAF/E34c=",0)</f>
        <v>#REF!</v>
      </c>
      <c r="EG61" t="e">
        <f>AND(#REF!,"AAAAAF/E34g=")</f>
        <v>#REF!</v>
      </c>
      <c r="EH61" t="e">
        <f>AND(#REF!,"AAAAAF/E34k=")</f>
        <v>#REF!</v>
      </c>
      <c r="EI61" t="e">
        <f>AND(#REF!,"AAAAAF/E34o=")</f>
        <v>#REF!</v>
      </c>
      <c r="EJ61" t="e">
        <f>AND(#REF!,"AAAAAF/E34s=")</f>
        <v>#REF!</v>
      </c>
      <c r="EK61" t="e">
        <f>AND(#REF!,"AAAAAF/E34w=")</f>
        <v>#REF!</v>
      </c>
      <c r="EL61" t="e">
        <f>AND(#REF!,"AAAAAF/E340=")</f>
        <v>#REF!</v>
      </c>
      <c r="EM61" t="e">
        <f>IF(#REF!,"AAAAAF/E344=",0)</f>
        <v>#REF!</v>
      </c>
      <c r="EN61" t="e">
        <f>AND(#REF!,"AAAAAF/E348=")</f>
        <v>#REF!</v>
      </c>
      <c r="EO61" t="e">
        <f>AND(#REF!,"AAAAAF/E35A=")</f>
        <v>#REF!</v>
      </c>
      <c r="EP61" t="e">
        <f>AND(#REF!,"AAAAAF/E35E=")</f>
        <v>#REF!</v>
      </c>
      <c r="EQ61" t="e">
        <f>AND(#REF!,"AAAAAF/E35I=")</f>
        <v>#REF!</v>
      </c>
      <c r="ER61" t="e">
        <f>AND(#REF!,"AAAAAF/E35M=")</f>
        <v>#REF!</v>
      </c>
      <c r="ES61" t="e">
        <f>AND(#REF!,"AAAAAF/E35Q=")</f>
        <v>#REF!</v>
      </c>
      <c r="ET61" t="e">
        <f>IF(#REF!,"AAAAAF/E35U=",0)</f>
        <v>#REF!</v>
      </c>
      <c r="EU61" t="e">
        <f>AND(#REF!,"AAAAAF/E35Y=")</f>
        <v>#REF!</v>
      </c>
      <c r="EV61" t="e">
        <f>AND(#REF!,"AAAAAF/E35c=")</f>
        <v>#REF!</v>
      </c>
      <c r="EW61" t="e">
        <f>AND(#REF!,"AAAAAF/E35g=")</f>
        <v>#REF!</v>
      </c>
      <c r="EX61" t="e">
        <f>AND(#REF!,"AAAAAF/E35k=")</f>
        <v>#REF!</v>
      </c>
      <c r="EY61" t="e">
        <f>AND(#REF!,"AAAAAF/E35o=")</f>
        <v>#REF!</v>
      </c>
      <c r="EZ61" t="e">
        <f>AND(#REF!,"AAAAAF/E35s=")</f>
        <v>#REF!</v>
      </c>
      <c r="FA61" t="e">
        <f>IF(#REF!,"AAAAAF/E35w=",0)</f>
        <v>#REF!</v>
      </c>
      <c r="FB61" t="e">
        <f>AND(#REF!,"AAAAAF/E350=")</f>
        <v>#REF!</v>
      </c>
      <c r="FC61" t="e">
        <f>AND(#REF!,"AAAAAF/E354=")</f>
        <v>#REF!</v>
      </c>
      <c r="FD61" t="e">
        <f>AND(#REF!,"AAAAAF/E358=")</f>
        <v>#REF!</v>
      </c>
      <c r="FE61" t="e">
        <f>AND(#REF!,"AAAAAF/E36A=")</f>
        <v>#REF!</v>
      </c>
      <c r="FF61" t="e">
        <f>AND(#REF!,"AAAAAF/E36E=")</f>
        <v>#REF!</v>
      </c>
      <c r="FG61" t="e">
        <f>AND(#REF!,"AAAAAF/E36I=")</f>
        <v>#REF!</v>
      </c>
      <c r="FH61" t="e">
        <f>IF(#REF!,"AAAAAF/E36M=",0)</f>
        <v>#REF!</v>
      </c>
      <c r="FI61" t="e">
        <f>AND(#REF!,"AAAAAF/E36Q=")</f>
        <v>#REF!</v>
      </c>
      <c r="FJ61" t="e">
        <f>AND(#REF!,"AAAAAF/E36U=")</f>
        <v>#REF!</v>
      </c>
      <c r="FK61" t="e">
        <f>AND(#REF!,"AAAAAF/E36Y=")</f>
        <v>#REF!</v>
      </c>
      <c r="FL61" t="e">
        <f>AND(#REF!,"AAAAAF/E36c=")</f>
        <v>#REF!</v>
      </c>
      <c r="FM61" t="e">
        <f>AND(#REF!,"AAAAAF/E36g=")</f>
        <v>#REF!</v>
      </c>
      <c r="FN61" t="e">
        <f>AND(#REF!,"AAAAAF/E36k=")</f>
        <v>#REF!</v>
      </c>
      <c r="FO61" t="e">
        <f>IF(#REF!,"AAAAAF/E36o=",0)</f>
        <v>#REF!</v>
      </c>
      <c r="FP61" t="e">
        <f>AND(#REF!,"AAAAAF/E36s=")</f>
        <v>#REF!</v>
      </c>
      <c r="FQ61" t="e">
        <f>AND(#REF!,"AAAAAF/E36w=")</f>
        <v>#REF!</v>
      </c>
      <c r="FR61" t="e">
        <f>AND(#REF!,"AAAAAF/E360=")</f>
        <v>#REF!</v>
      </c>
      <c r="FS61" t="e">
        <f>AND(#REF!,"AAAAAF/E364=")</f>
        <v>#REF!</v>
      </c>
      <c r="FT61" t="e">
        <f>AND(#REF!,"AAAAAF/E368=")</f>
        <v>#REF!</v>
      </c>
      <c r="FU61" t="e">
        <f>AND(#REF!,"AAAAAF/E37A=")</f>
        <v>#REF!</v>
      </c>
      <c r="FV61" t="e">
        <f>IF(#REF!,"AAAAAF/E37E=",0)</f>
        <v>#REF!</v>
      </c>
      <c r="FW61" t="e">
        <f>AND(#REF!,"AAAAAF/E37I=")</f>
        <v>#REF!</v>
      </c>
      <c r="FX61" t="e">
        <f>AND(#REF!,"AAAAAF/E37M=")</f>
        <v>#REF!</v>
      </c>
      <c r="FY61" t="e">
        <f>AND(#REF!,"AAAAAF/E37Q=")</f>
        <v>#REF!</v>
      </c>
      <c r="FZ61" t="e">
        <f>AND(#REF!,"AAAAAF/E37U=")</f>
        <v>#REF!</v>
      </c>
      <c r="GA61" t="e">
        <f>AND(#REF!,"AAAAAF/E37Y=")</f>
        <v>#REF!</v>
      </c>
      <c r="GB61" t="e">
        <f>AND(#REF!,"AAAAAF/E37c=")</f>
        <v>#REF!</v>
      </c>
      <c r="GC61" t="e">
        <f>IF(#REF!,"AAAAAF/E37g=",0)</f>
        <v>#REF!</v>
      </c>
      <c r="GD61" t="e">
        <f>AND(#REF!,"AAAAAF/E37k=")</f>
        <v>#REF!</v>
      </c>
      <c r="GE61" t="e">
        <f>AND(#REF!,"AAAAAF/E37o=")</f>
        <v>#REF!</v>
      </c>
      <c r="GF61" t="e">
        <f>AND(#REF!,"AAAAAF/E37s=")</f>
        <v>#REF!</v>
      </c>
      <c r="GG61" t="e">
        <f>AND(#REF!,"AAAAAF/E37w=")</f>
        <v>#REF!</v>
      </c>
      <c r="GH61" t="e">
        <f>AND(#REF!,"AAAAAF/E370=")</f>
        <v>#REF!</v>
      </c>
      <c r="GI61" t="e">
        <f>AND(#REF!,"AAAAAF/E374=")</f>
        <v>#REF!</v>
      </c>
      <c r="GJ61" t="e">
        <f>IF(#REF!,"AAAAAF/E378=",0)</f>
        <v>#REF!</v>
      </c>
      <c r="GK61" t="e">
        <f>AND(#REF!,"AAAAAF/E38A=")</f>
        <v>#REF!</v>
      </c>
      <c r="GL61" t="e">
        <f>AND(#REF!,"AAAAAF/E38E=")</f>
        <v>#REF!</v>
      </c>
      <c r="GM61" t="e">
        <f>AND(#REF!,"AAAAAF/E38I=")</f>
        <v>#REF!</v>
      </c>
      <c r="GN61" t="e">
        <f>AND(#REF!,"AAAAAF/E38M=")</f>
        <v>#REF!</v>
      </c>
      <c r="GO61" t="e">
        <f>AND(#REF!,"AAAAAF/E38Q=")</f>
        <v>#REF!</v>
      </c>
      <c r="GP61" t="e">
        <f>AND(#REF!,"AAAAAF/E38U=")</f>
        <v>#REF!</v>
      </c>
      <c r="GQ61" t="e">
        <f>IF(#REF!,"AAAAAF/E38Y=",0)</f>
        <v>#REF!</v>
      </c>
      <c r="GR61" t="e">
        <f>AND(#REF!,"AAAAAF/E38c=")</f>
        <v>#REF!</v>
      </c>
      <c r="GS61" t="e">
        <f>AND(#REF!,"AAAAAF/E38g=")</f>
        <v>#REF!</v>
      </c>
      <c r="GT61" t="e">
        <f>AND(#REF!,"AAAAAF/E38k=")</f>
        <v>#REF!</v>
      </c>
      <c r="GU61" t="e">
        <f>AND(#REF!,"AAAAAF/E38o=")</f>
        <v>#REF!</v>
      </c>
      <c r="GV61" t="e">
        <f>AND(#REF!,"AAAAAF/E38s=")</f>
        <v>#REF!</v>
      </c>
      <c r="GW61" t="e">
        <f>AND(#REF!,"AAAAAF/E38w=")</f>
        <v>#REF!</v>
      </c>
      <c r="GX61" t="e">
        <f>IF(#REF!,"AAAAAF/E380=",0)</f>
        <v>#REF!</v>
      </c>
      <c r="GY61" t="e">
        <f>AND(#REF!,"AAAAAF/E384=")</f>
        <v>#REF!</v>
      </c>
      <c r="GZ61" t="e">
        <f>AND(#REF!,"AAAAAF/E388=")</f>
        <v>#REF!</v>
      </c>
      <c r="HA61" t="e">
        <f>AND(#REF!,"AAAAAF/E39A=")</f>
        <v>#REF!</v>
      </c>
      <c r="HB61" t="e">
        <f>AND(#REF!,"AAAAAF/E39E=")</f>
        <v>#REF!</v>
      </c>
      <c r="HC61" t="e">
        <f>AND(#REF!,"AAAAAF/E39I=")</f>
        <v>#REF!</v>
      </c>
      <c r="HD61" t="e">
        <f>AND(#REF!,"AAAAAF/E39M=")</f>
        <v>#REF!</v>
      </c>
      <c r="HE61" t="e">
        <f>IF(#REF!,"AAAAAF/E39Q=",0)</f>
        <v>#REF!</v>
      </c>
      <c r="HF61" t="e">
        <f>AND(#REF!,"AAAAAF/E39U=")</f>
        <v>#REF!</v>
      </c>
      <c r="HG61" t="e">
        <f>AND(#REF!,"AAAAAF/E39Y=")</f>
        <v>#REF!</v>
      </c>
      <c r="HH61" t="e">
        <f>AND(#REF!,"AAAAAF/E39c=")</f>
        <v>#REF!</v>
      </c>
      <c r="HI61" t="e">
        <f>AND(#REF!,"AAAAAF/E39g=")</f>
        <v>#REF!</v>
      </c>
      <c r="HJ61" t="e">
        <f>AND(#REF!,"AAAAAF/E39k=")</f>
        <v>#REF!</v>
      </c>
      <c r="HK61" t="e">
        <f>AND(#REF!,"AAAAAF/E39o=")</f>
        <v>#REF!</v>
      </c>
      <c r="HL61" t="e">
        <f>IF(#REF!,"AAAAAF/E39s=",0)</f>
        <v>#REF!</v>
      </c>
      <c r="HM61" t="e">
        <f>AND(#REF!,"AAAAAF/E39w=")</f>
        <v>#REF!</v>
      </c>
      <c r="HN61" t="e">
        <f>AND(#REF!,"AAAAAF/E390=")</f>
        <v>#REF!</v>
      </c>
      <c r="HO61" t="e">
        <f>AND(#REF!,"AAAAAF/E394=")</f>
        <v>#REF!</v>
      </c>
      <c r="HP61" t="e">
        <f>AND(#REF!,"AAAAAF/E398=")</f>
        <v>#REF!</v>
      </c>
      <c r="HQ61" t="e">
        <f>AND(#REF!,"AAAAAF/E3+A=")</f>
        <v>#REF!</v>
      </c>
      <c r="HR61" t="e">
        <f>AND(#REF!,"AAAAAF/E3+E=")</f>
        <v>#REF!</v>
      </c>
      <c r="HS61" t="e">
        <f>IF(#REF!,"AAAAAF/E3+I=",0)</f>
        <v>#REF!</v>
      </c>
      <c r="HT61" t="e">
        <f>AND(#REF!,"AAAAAF/E3+M=")</f>
        <v>#REF!</v>
      </c>
      <c r="HU61" t="e">
        <f>AND(#REF!,"AAAAAF/E3+Q=")</f>
        <v>#REF!</v>
      </c>
      <c r="HV61" t="e">
        <f>AND(#REF!,"AAAAAF/E3+U=")</f>
        <v>#REF!</v>
      </c>
      <c r="HW61" t="e">
        <f>AND(#REF!,"AAAAAF/E3+Y=")</f>
        <v>#REF!</v>
      </c>
      <c r="HX61" t="e">
        <f>AND(#REF!,"AAAAAF/E3+c=")</f>
        <v>#REF!</v>
      </c>
      <c r="HY61" t="e">
        <f>AND(#REF!,"AAAAAF/E3+g=")</f>
        <v>#REF!</v>
      </c>
      <c r="HZ61" t="e">
        <f>IF(#REF!,"AAAAAF/E3+k=",0)</f>
        <v>#REF!</v>
      </c>
      <c r="IA61" t="e">
        <f>AND(#REF!,"AAAAAF/E3+o=")</f>
        <v>#REF!</v>
      </c>
      <c r="IB61" t="e">
        <f>AND(#REF!,"AAAAAF/E3+s=")</f>
        <v>#REF!</v>
      </c>
      <c r="IC61" t="e">
        <f>AND(#REF!,"AAAAAF/E3+w=")</f>
        <v>#REF!</v>
      </c>
      <c r="ID61" t="e">
        <f>AND(#REF!,"AAAAAF/E3+0=")</f>
        <v>#REF!</v>
      </c>
      <c r="IE61" t="e">
        <f>AND(#REF!,"AAAAAF/E3+4=")</f>
        <v>#REF!</v>
      </c>
      <c r="IF61" t="e">
        <f>AND(#REF!,"AAAAAF/E3+8=")</f>
        <v>#REF!</v>
      </c>
      <c r="IG61" t="e">
        <f>IF(#REF!,"AAAAAF/E3/A=",0)</f>
        <v>#REF!</v>
      </c>
      <c r="IH61" t="e">
        <f>AND(#REF!,"AAAAAF/E3/E=")</f>
        <v>#REF!</v>
      </c>
      <c r="II61" t="e">
        <f>AND(#REF!,"AAAAAF/E3/I=")</f>
        <v>#REF!</v>
      </c>
      <c r="IJ61" t="e">
        <f>AND(#REF!,"AAAAAF/E3/M=")</f>
        <v>#REF!</v>
      </c>
      <c r="IK61" t="e">
        <f>AND(#REF!,"AAAAAF/E3/Q=")</f>
        <v>#REF!</v>
      </c>
      <c r="IL61" t="e">
        <f>AND(#REF!,"AAAAAF/E3/U=")</f>
        <v>#REF!</v>
      </c>
      <c r="IM61" t="e">
        <f>AND(#REF!,"AAAAAF/E3/Y=")</f>
        <v>#REF!</v>
      </c>
      <c r="IN61" t="e">
        <f>IF(#REF!,"AAAAAF/E3/c=",0)</f>
        <v>#REF!</v>
      </c>
      <c r="IO61" t="e">
        <f>AND(#REF!,"AAAAAF/E3/g=")</f>
        <v>#REF!</v>
      </c>
      <c r="IP61" t="e">
        <f>AND(#REF!,"AAAAAF/E3/k=")</f>
        <v>#REF!</v>
      </c>
      <c r="IQ61" t="e">
        <f>AND(#REF!,"AAAAAF/E3/o=")</f>
        <v>#REF!</v>
      </c>
      <c r="IR61" t="e">
        <f>AND(#REF!,"AAAAAF/E3/s=")</f>
        <v>#REF!</v>
      </c>
      <c r="IS61" t="e">
        <f>AND(#REF!,"AAAAAF/E3/w=")</f>
        <v>#REF!</v>
      </c>
      <c r="IT61" t="e">
        <f>AND(#REF!,"AAAAAF/E3/0=")</f>
        <v>#REF!</v>
      </c>
      <c r="IU61" t="e">
        <f>IF(#REF!,"AAAAAF/E3/4=",0)</f>
        <v>#REF!</v>
      </c>
      <c r="IV61" t="e">
        <f>AND(#REF!,"AAAAAF/E3/8=")</f>
        <v>#REF!</v>
      </c>
    </row>
    <row r="62" spans="1:256" x14ac:dyDescent="0.25">
      <c r="A62" t="e">
        <f>AND(#REF!,"AAAAAHu//wA=")</f>
        <v>#REF!</v>
      </c>
      <c r="B62" t="e">
        <f>AND(#REF!,"AAAAAHu//wE=")</f>
        <v>#REF!</v>
      </c>
      <c r="C62" t="e">
        <f>AND(#REF!,"AAAAAHu//wI=")</f>
        <v>#REF!</v>
      </c>
      <c r="D62" t="e">
        <f>AND(#REF!,"AAAAAHu//wM=")</f>
        <v>#REF!</v>
      </c>
      <c r="E62" t="e">
        <f>AND(#REF!,"AAAAAHu//wQ=")</f>
        <v>#REF!</v>
      </c>
      <c r="F62" t="e">
        <f>IF(#REF!,"AAAAAHu//wU=",0)</f>
        <v>#REF!</v>
      </c>
      <c r="G62" t="e">
        <f>AND(#REF!,"AAAAAHu//wY=")</f>
        <v>#REF!</v>
      </c>
      <c r="H62" t="e">
        <f>AND(#REF!,"AAAAAHu//wc=")</f>
        <v>#REF!</v>
      </c>
      <c r="I62" t="e">
        <f>AND(#REF!,"AAAAAHu//wg=")</f>
        <v>#REF!</v>
      </c>
      <c r="J62" t="e">
        <f>AND(#REF!,"AAAAAHu//wk=")</f>
        <v>#REF!</v>
      </c>
      <c r="K62" t="e">
        <f>AND(#REF!,"AAAAAHu//wo=")</f>
        <v>#REF!</v>
      </c>
      <c r="L62" t="e">
        <f>AND(#REF!,"AAAAAHu//ws=")</f>
        <v>#REF!</v>
      </c>
      <c r="M62" t="e">
        <f>IF(#REF!,"AAAAAHu//ww=",0)</f>
        <v>#REF!</v>
      </c>
      <c r="N62" t="e">
        <f>AND(#REF!,"AAAAAHu//w0=")</f>
        <v>#REF!</v>
      </c>
      <c r="O62" t="e">
        <f>AND(#REF!,"AAAAAHu//w4=")</f>
        <v>#REF!</v>
      </c>
      <c r="P62" t="e">
        <f>AND(#REF!,"AAAAAHu//w8=")</f>
        <v>#REF!</v>
      </c>
      <c r="Q62" t="e">
        <f>AND(#REF!,"AAAAAHu//xA=")</f>
        <v>#REF!</v>
      </c>
      <c r="R62" t="e">
        <f>AND(#REF!,"AAAAAHu//xE=")</f>
        <v>#REF!</v>
      </c>
      <c r="S62" t="e">
        <f>AND(#REF!,"AAAAAHu//xI=")</f>
        <v>#REF!</v>
      </c>
      <c r="T62" t="e">
        <f>IF(#REF!,"AAAAAHu//xM=",0)</f>
        <v>#REF!</v>
      </c>
      <c r="U62" t="e">
        <f>AND(#REF!,"AAAAAHu//xQ=")</f>
        <v>#REF!</v>
      </c>
      <c r="V62" t="e">
        <f>AND(#REF!,"AAAAAHu//xU=")</f>
        <v>#REF!</v>
      </c>
      <c r="W62" t="e">
        <f>AND(#REF!,"AAAAAHu//xY=")</f>
        <v>#REF!</v>
      </c>
      <c r="X62" t="e">
        <f>AND(#REF!,"AAAAAHu//xc=")</f>
        <v>#REF!</v>
      </c>
      <c r="Y62" t="e">
        <f>AND(#REF!,"AAAAAHu//xg=")</f>
        <v>#REF!</v>
      </c>
      <c r="Z62" t="e">
        <f>AND(#REF!,"AAAAAHu//xk=")</f>
        <v>#REF!</v>
      </c>
      <c r="AA62" t="e">
        <f>IF(#REF!,"AAAAAHu//xo=",0)</f>
        <v>#REF!</v>
      </c>
      <c r="AB62" t="e">
        <f>AND(#REF!,"AAAAAHu//xs=")</f>
        <v>#REF!</v>
      </c>
      <c r="AC62" t="e">
        <f>AND(#REF!,"AAAAAHu//xw=")</f>
        <v>#REF!</v>
      </c>
      <c r="AD62" t="e">
        <f>AND(#REF!,"AAAAAHu//x0=")</f>
        <v>#REF!</v>
      </c>
      <c r="AE62" t="e">
        <f>AND(#REF!,"AAAAAHu//x4=")</f>
        <v>#REF!</v>
      </c>
      <c r="AF62" t="e">
        <f>AND(#REF!,"AAAAAHu//x8=")</f>
        <v>#REF!</v>
      </c>
      <c r="AG62" t="e">
        <f>AND(#REF!,"AAAAAHu//yA=")</f>
        <v>#REF!</v>
      </c>
      <c r="AH62" t="e">
        <f>IF(#REF!,"AAAAAHu//yE=",0)</f>
        <v>#REF!</v>
      </c>
      <c r="AI62" t="e">
        <f>AND(#REF!,"AAAAAHu//yI=")</f>
        <v>#REF!</v>
      </c>
      <c r="AJ62" t="e">
        <f>AND(#REF!,"AAAAAHu//yM=")</f>
        <v>#REF!</v>
      </c>
      <c r="AK62" t="e">
        <f>AND(#REF!,"AAAAAHu//yQ=")</f>
        <v>#REF!</v>
      </c>
      <c r="AL62" t="e">
        <f>AND(#REF!,"AAAAAHu//yU=")</f>
        <v>#REF!</v>
      </c>
      <c r="AM62" t="e">
        <f>AND(#REF!,"AAAAAHu//yY=")</f>
        <v>#REF!</v>
      </c>
      <c r="AN62" t="e">
        <f>AND(#REF!,"AAAAAHu//yc=")</f>
        <v>#REF!</v>
      </c>
      <c r="AO62" t="e">
        <f>IF(#REF!,"AAAAAHu//yg=",0)</f>
        <v>#REF!</v>
      </c>
      <c r="AP62" t="e">
        <f>AND(#REF!,"AAAAAHu//yk=")</f>
        <v>#REF!</v>
      </c>
      <c r="AQ62" t="e">
        <f>AND(#REF!,"AAAAAHu//yo=")</f>
        <v>#REF!</v>
      </c>
      <c r="AR62" t="e">
        <f>AND(#REF!,"AAAAAHu//ys=")</f>
        <v>#REF!</v>
      </c>
      <c r="AS62" t="e">
        <f>AND(#REF!,"AAAAAHu//yw=")</f>
        <v>#REF!</v>
      </c>
      <c r="AT62" t="e">
        <f>AND(#REF!,"AAAAAHu//y0=")</f>
        <v>#REF!</v>
      </c>
      <c r="AU62" t="e">
        <f>AND(#REF!,"AAAAAHu//y4=")</f>
        <v>#REF!</v>
      </c>
      <c r="AV62" t="e">
        <f>IF(#REF!,"AAAAAHu//y8=",0)</f>
        <v>#REF!</v>
      </c>
      <c r="AW62" t="e">
        <f>AND(#REF!,"AAAAAHu//zA=")</f>
        <v>#REF!</v>
      </c>
      <c r="AX62" t="e">
        <f>AND(#REF!,"AAAAAHu//zE=")</f>
        <v>#REF!</v>
      </c>
      <c r="AY62" t="e">
        <f>AND(#REF!,"AAAAAHu//zI=")</f>
        <v>#REF!</v>
      </c>
      <c r="AZ62" t="e">
        <f>AND(#REF!,"AAAAAHu//zM=")</f>
        <v>#REF!</v>
      </c>
      <c r="BA62" t="e">
        <f>AND(#REF!,"AAAAAHu//zQ=")</f>
        <v>#REF!</v>
      </c>
      <c r="BB62" t="e">
        <f>AND(#REF!,"AAAAAHu//zU=")</f>
        <v>#REF!</v>
      </c>
      <c r="BC62" t="e">
        <f>IF(#REF!,"AAAAAHu//zY=",0)</f>
        <v>#REF!</v>
      </c>
      <c r="BD62" t="e">
        <f>AND(#REF!,"AAAAAHu//zc=")</f>
        <v>#REF!</v>
      </c>
      <c r="BE62" t="e">
        <f>AND(#REF!,"AAAAAHu//zg=")</f>
        <v>#REF!</v>
      </c>
      <c r="BF62" t="e">
        <f>AND(#REF!,"AAAAAHu//zk=")</f>
        <v>#REF!</v>
      </c>
      <c r="BG62" t="e">
        <f>AND(#REF!,"AAAAAHu//zo=")</f>
        <v>#REF!</v>
      </c>
      <c r="BH62" t="e">
        <f>AND(#REF!,"AAAAAHu//zs=")</f>
        <v>#REF!</v>
      </c>
      <c r="BI62" t="e">
        <f>AND(#REF!,"AAAAAHu//zw=")</f>
        <v>#REF!</v>
      </c>
      <c r="BJ62" t="e">
        <f>IF(#REF!,"AAAAAHu//z0=",0)</f>
        <v>#REF!</v>
      </c>
      <c r="BK62" t="e">
        <f>AND(#REF!,"AAAAAHu//z4=")</f>
        <v>#REF!</v>
      </c>
      <c r="BL62" t="e">
        <f>AND(#REF!,"AAAAAHu//z8=")</f>
        <v>#REF!</v>
      </c>
      <c r="BM62" t="e">
        <f>AND(#REF!,"AAAAAHu//0A=")</f>
        <v>#REF!</v>
      </c>
      <c r="BN62" t="e">
        <f>AND(#REF!,"AAAAAHu//0E=")</f>
        <v>#REF!</v>
      </c>
      <c r="BO62" t="e">
        <f>AND(#REF!,"AAAAAHu//0I=")</f>
        <v>#REF!</v>
      </c>
      <c r="BP62" t="e">
        <f>AND(#REF!,"AAAAAHu//0M=")</f>
        <v>#REF!</v>
      </c>
      <c r="BQ62" t="e">
        <f>IF(#REF!,"AAAAAHu//0Q=",0)</f>
        <v>#REF!</v>
      </c>
      <c r="BR62" t="e">
        <f>AND(#REF!,"AAAAAHu//0U=")</f>
        <v>#REF!</v>
      </c>
      <c r="BS62" t="e">
        <f>AND(#REF!,"AAAAAHu//0Y=")</f>
        <v>#REF!</v>
      </c>
      <c r="BT62" t="e">
        <f>AND(#REF!,"AAAAAHu//0c=")</f>
        <v>#REF!</v>
      </c>
      <c r="BU62" t="e">
        <f>AND(#REF!,"AAAAAHu//0g=")</f>
        <v>#REF!</v>
      </c>
      <c r="BV62" t="e">
        <f>AND(#REF!,"AAAAAHu//0k=")</f>
        <v>#REF!</v>
      </c>
      <c r="BW62" t="e">
        <f>AND(#REF!,"AAAAAHu//0o=")</f>
        <v>#REF!</v>
      </c>
      <c r="BX62" t="e">
        <f>IF(#REF!,"AAAAAHu//0s=",0)</f>
        <v>#REF!</v>
      </c>
      <c r="BY62" t="e">
        <f>AND(#REF!,"AAAAAHu//0w=")</f>
        <v>#REF!</v>
      </c>
      <c r="BZ62" t="e">
        <f>AND(#REF!,"AAAAAHu//00=")</f>
        <v>#REF!</v>
      </c>
      <c r="CA62" t="e">
        <f>AND(#REF!,"AAAAAHu//04=")</f>
        <v>#REF!</v>
      </c>
      <c r="CB62" t="e">
        <f>AND(#REF!,"AAAAAHu//08=")</f>
        <v>#REF!</v>
      </c>
      <c r="CC62" t="e">
        <f>AND(#REF!,"AAAAAHu//1A=")</f>
        <v>#REF!</v>
      </c>
      <c r="CD62" t="e">
        <f>AND(#REF!,"AAAAAHu//1E=")</f>
        <v>#REF!</v>
      </c>
      <c r="CE62" t="e">
        <f>IF(#REF!,"AAAAAHu//1I=",0)</f>
        <v>#REF!</v>
      </c>
      <c r="CF62" t="e">
        <f>AND(#REF!,"AAAAAHu//1M=")</f>
        <v>#REF!</v>
      </c>
      <c r="CG62" t="e">
        <f>AND(#REF!,"AAAAAHu//1Q=")</f>
        <v>#REF!</v>
      </c>
      <c r="CH62" t="e">
        <f>AND(#REF!,"AAAAAHu//1U=")</f>
        <v>#REF!</v>
      </c>
      <c r="CI62" t="e">
        <f>AND(#REF!,"AAAAAHu//1Y=")</f>
        <v>#REF!</v>
      </c>
      <c r="CJ62" t="e">
        <f>AND(#REF!,"AAAAAHu//1c=")</f>
        <v>#REF!</v>
      </c>
      <c r="CK62" t="e">
        <f>AND(#REF!,"AAAAAHu//1g=")</f>
        <v>#REF!</v>
      </c>
      <c r="CL62" t="e">
        <f>IF(#REF!,"AAAAAHu//1k=",0)</f>
        <v>#REF!</v>
      </c>
      <c r="CM62" t="e">
        <f>AND(#REF!,"AAAAAHu//1o=")</f>
        <v>#REF!</v>
      </c>
      <c r="CN62" t="e">
        <f>AND(#REF!,"AAAAAHu//1s=")</f>
        <v>#REF!</v>
      </c>
      <c r="CO62" t="e">
        <f>AND(#REF!,"AAAAAHu//1w=")</f>
        <v>#REF!</v>
      </c>
      <c r="CP62" t="e">
        <f>AND(#REF!,"AAAAAHu//10=")</f>
        <v>#REF!</v>
      </c>
      <c r="CQ62" t="e">
        <f>AND(#REF!,"AAAAAHu//14=")</f>
        <v>#REF!</v>
      </c>
      <c r="CR62" t="e">
        <f>AND(#REF!,"AAAAAHu//18=")</f>
        <v>#REF!</v>
      </c>
      <c r="CS62" t="e">
        <f>IF(#REF!,"AAAAAHu//2A=",0)</f>
        <v>#REF!</v>
      </c>
      <c r="CT62" t="e">
        <f>AND(#REF!,"AAAAAHu//2E=")</f>
        <v>#REF!</v>
      </c>
      <c r="CU62" t="e">
        <f>AND(#REF!,"AAAAAHu//2I=")</f>
        <v>#REF!</v>
      </c>
      <c r="CV62" t="e">
        <f>AND(#REF!,"AAAAAHu//2M=")</f>
        <v>#REF!</v>
      </c>
      <c r="CW62" t="e">
        <f>AND(#REF!,"AAAAAHu//2Q=")</f>
        <v>#REF!</v>
      </c>
      <c r="CX62" t="e">
        <f>AND(#REF!,"AAAAAHu//2U=")</f>
        <v>#REF!</v>
      </c>
      <c r="CY62" t="e">
        <f>AND(#REF!,"AAAAAHu//2Y=")</f>
        <v>#REF!</v>
      </c>
      <c r="CZ62" t="e">
        <f>IF(#REF!,"AAAAAHu//2c=",0)</f>
        <v>#REF!</v>
      </c>
      <c r="DA62" t="e">
        <f>AND(#REF!,"AAAAAHu//2g=")</f>
        <v>#REF!</v>
      </c>
      <c r="DB62" t="e">
        <f>AND(#REF!,"AAAAAHu//2k=")</f>
        <v>#REF!</v>
      </c>
      <c r="DC62" t="e">
        <f>AND(#REF!,"AAAAAHu//2o=")</f>
        <v>#REF!</v>
      </c>
      <c r="DD62" t="e">
        <f>AND(#REF!,"AAAAAHu//2s=")</f>
        <v>#REF!</v>
      </c>
      <c r="DE62" t="e">
        <f>AND(#REF!,"AAAAAHu//2w=")</f>
        <v>#REF!</v>
      </c>
      <c r="DF62" t="e">
        <f>AND(#REF!,"AAAAAHu//20=")</f>
        <v>#REF!</v>
      </c>
      <c r="DG62" t="e">
        <f>IF(#REF!,"AAAAAHu//24=",0)</f>
        <v>#REF!</v>
      </c>
      <c r="DH62" t="e">
        <f>AND(#REF!,"AAAAAHu//28=")</f>
        <v>#REF!</v>
      </c>
      <c r="DI62" t="e">
        <f>AND(#REF!,"AAAAAHu//3A=")</f>
        <v>#REF!</v>
      </c>
      <c r="DJ62" t="e">
        <f>AND(#REF!,"AAAAAHu//3E=")</f>
        <v>#REF!</v>
      </c>
      <c r="DK62" t="e">
        <f>AND(#REF!,"AAAAAHu//3I=")</f>
        <v>#REF!</v>
      </c>
      <c r="DL62" t="e">
        <f>AND(#REF!,"AAAAAHu//3M=")</f>
        <v>#REF!</v>
      </c>
      <c r="DM62" t="e">
        <f>AND(#REF!,"AAAAAHu//3Q=")</f>
        <v>#REF!</v>
      </c>
      <c r="DN62" t="e">
        <f>IF(#REF!,"AAAAAHu//3U=",0)</f>
        <v>#REF!</v>
      </c>
      <c r="DO62" t="e">
        <f>AND(#REF!,"AAAAAHu//3Y=")</f>
        <v>#REF!</v>
      </c>
      <c r="DP62" t="e">
        <f>AND(#REF!,"AAAAAHu//3c=")</f>
        <v>#REF!</v>
      </c>
      <c r="DQ62" t="e">
        <f>AND(#REF!,"AAAAAHu//3g=")</f>
        <v>#REF!</v>
      </c>
      <c r="DR62" t="e">
        <f>AND(#REF!,"AAAAAHu//3k=")</f>
        <v>#REF!</v>
      </c>
      <c r="DS62" t="e">
        <f>AND(#REF!,"AAAAAHu//3o=")</f>
        <v>#REF!</v>
      </c>
      <c r="DT62" t="e">
        <f>AND(#REF!,"AAAAAHu//3s=")</f>
        <v>#REF!</v>
      </c>
      <c r="DU62" t="e">
        <f>IF(#REF!,"AAAAAHu//3w=",0)</f>
        <v>#REF!</v>
      </c>
      <c r="DV62" t="e">
        <f>AND(#REF!,"AAAAAHu//30=")</f>
        <v>#REF!</v>
      </c>
      <c r="DW62" t="e">
        <f>AND(#REF!,"AAAAAHu//34=")</f>
        <v>#REF!</v>
      </c>
      <c r="DX62" t="e">
        <f>AND(#REF!,"AAAAAHu//38=")</f>
        <v>#REF!</v>
      </c>
      <c r="DY62" t="e">
        <f>AND(#REF!,"AAAAAHu//4A=")</f>
        <v>#REF!</v>
      </c>
      <c r="DZ62" t="e">
        <f>AND(#REF!,"AAAAAHu//4E=")</f>
        <v>#REF!</v>
      </c>
      <c r="EA62" t="e">
        <f>AND(#REF!,"AAAAAHu//4I=")</f>
        <v>#REF!</v>
      </c>
      <c r="EB62" t="e">
        <f>IF(#REF!,"AAAAAHu//4M=",0)</f>
        <v>#REF!</v>
      </c>
      <c r="EC62" t="e">
        <f>AND(#REF!,"AAAAAHu//4Q=")</f>
        <v>#REF!</v>
      </c>
      <c r="ED62" t="e">
        <f>AND(#REF!,"AAAAAHu//4U=")</f>
        <v>#REF!</v>
      </c>
      <c r="EE62" t="e">
        <f>AND(#REF!,"AAAAAHu//4Y=")</f>
        <v>#REF!</v>
      </c>
      <c r="EF62" t="e">
        <f>AND(#REF!,"AAAAAHu//4c=")</f>
        <v>#REF!</v>
      </c>
      <c r="EG62" t="e">
        <f>AND(#REF!,"AAAAAHu//4g=")</f>
        <v>#REF!</v>
      </c>
      <c r="EH62" t="e">
        <f>AND(#REF!,"AAAAAHu//4k=")</f>
        <v>#REF!</v>
      </c>
      <c r="EI62" t="e">
        <f>IF(#REF!,"AAAAAHu//4o=",0)</f>
        <v>#REF!</v>
      </c>
      <c r="EJ62" t="e">
        <f>AND(#REF!,"AAAAAHu//4s=")</f>
        <v>#REF!</v>
      </c>
      <c r="EK62" t="e">
        <f>AND(#REF!,"AAAAAHu//4w=")</f>
        <v>#REF!</v>
      </c>
      <c r="EL62" t="e">
        <f>AND(#REF!,"AAAAAHu//40=")</f>
        <v>#REF!</v>
      </c>
      <c r="EM62" t="e">
        <f>AND(#REF!,"AAAAAHu//44=")</f>
        <v>#REF!</v>
      </c>
      <c r="EN62" t="e">
        <f>AND(#REF!,"AAAAAHu//48=")</f>
        <v>#REF!</v>
      </c>
      <c r="EO62" t="e">
        <f>AND(#REF!,"AAAAAHu//5A=")</f>
        <v>#REF!</v>
      </c>
      <c r="EP62" t="e">
        <f>IF(#REF!,"AAAAAHu//5E=",0)</f>
        <v>#REF!</v>
      </c>
      <c r="EQ62" t="e">
        <f>AND(#REF!,"AAAAAHu//5I=")</f>
        <v>#REF!</v>
      </c>
      <c r="ER62" t="e">
        <f>AND(#REF!,"AAAAAHu//5M=")</f>
        <v>#REF!</v>
      </c>
      <c r="ES62" t="e">
        <f>AND(#REF!,"AAAAAHu//5Q=")</f>
        <v>#REF!</v>
      </c>
      <c r="ET62" t="e">
        <f>AND(#REF!,"AAAAAHu//5U=")</f>
        <v>#REF!</v>
      </c>
      <c r="EU62" t="e">
        <f>AND(#REF!,"AAAAAHu//5Y=")</f>
        <v>#REF!</v>
      </c>
      <c r="EV62" t="e">
        <f>AND(#REF!,"AAAAAHu//5c=")</f>
        <v>#REF!</v>
      </c>
      <c r="EW62" t="e">
        <f>IF(#REF!,"AAAAAHu//5g=",0)</f>
        <v>#REF!</v>
      </c>
      <c r="EX62" t="e">
        <f>AND(#REF!,"AAAAAHu//5k=")</f>
        <v>#REF!</v>
      </c>
      <c r="EY62" t="e">
        <f>AND(#REF!,"AAAAAHu//5o=")</f>
        <v>#REF!</v>
      </c>
      <c r="EZ62" t="e">
        <f>AND(#REF!,"AAAAAHu//5s=")</f>
        <v>#REF!</v>
      </c>
      <c r="FA62" t="e">
        <f>AND(#REF!,"AAAAAHu//5w=")</f>
        <v>#REF!</v>
      </c>
      <c r="FB62" t="e">
        <f>AND(#REF!,"AAAAAHu//50=")</f>
        <v>#REF!</v>
      </c>
      <c r="FC62" t="e">
        <f>AND(#REF!,"AAAAAHu//54=")</f>
        <v>#REF!</v>
      </c>
      <c r="FD62" t="e">
        <f>IF(#REF!,"AAAAAHu//58=",0)</f>
        <v>#REF!</v>
      </c>
      <c r="FE62" t="e">
        <f>AND(#REF!,"AAAAAHu//6A=")</f>
        <v>#REF!</v>
      </c>
      <c r="FF62" t="e">
        <f>AND(#REF!,"AAAAAHu//6E=")</f>
        <v>#REF!</v>
      </c>
      <c r="FG62" t="e">
        <f>AND(#REF!,"AAAAAHu//6I=")</f>
        <v>#REF!</v>
      </c>
      <c r="FH62" t="e">
        <f>AND(#REF!,"AAAAAHu//6M=")</f>
        <v>#REF!</v>
      </c>
      <c r="FI62" t="e">
        <f>AND(#REF!,"AAAAAHu//6Q=")</f>
        <v>#REF!</v>
      </c>
      <c r="FJ62" t="e">
        <f>AND(#REF!,"AAAAAHu//6U=")</f>
        <v>#REF!</v>
      </c>
      <c r="FK62" t="e">
        <f>IF(#REF!,"AAAAAHu//6Y=",0)</f>
        <v>#REF!</v>
      </c>
      <c r="FL62" t="e">
        <f>AND(#REF!,"AAAAAHu//6c=")</f>
        <v>#REF!</v>
      </c>
      <c r="FM62" t="e">
        <f>AND(#REF!,"AAAAAHu//6g=")</f>
        <v>#REF!</v>
      </c>
      <c r="FN62" t="e">
        <f>AND(#REF!,"AAAAAHu//6k=")</f>
        <v>#REF!</v>
      </c>
      <c r="FO62" t="e">
        <f>AND(#REF!,"AAAAAHu//6o=")</f>
        <v>#REF!</v>
      </c>
      <c r="FP62" t="e">
        <f>AND(#REF!,"AAAAAHu//6s=")</f>
        <v>#REF!</v>
      </c>
      <c r="FQ62" t="e">
        <f>AND(#REF!,"AAAAAHu//6w=")</f>
        <v>#REF!</v>
      </c>
      <c r="FR62" t="e">
        <f>IF(#REF!,"AAAAAHu//60=",0)</f>
        <v>#REF!</v>
      </c>
      <c r="FS62" t="e">
        <f>AND(#REF!,"AAAAAHu//64=")</f>
        <v>#REF!</v>
      </c>
      <c r="FT62" t="e">
        <f>AND(#REF!,"AAAAAHu//68=")</f>
        <v>#REF!</v>
      </c>
      <c r="FU62" t="e">
        <f>AND(#REF!,"AAAAAHu//7A=")</f>
        <v>#REF!</v>
      </c>
      <c r="FV62" t="e">
        <f>AND(#REF!,"AAAAAHu//7E=")</f>
        <v>#REF!</v>
      </c>
      <c r="FW62" t="e">
        <f>AND(#REF!,"AAAAAHu//7I=")</f>
        <v>#REF!</v>
      </c>
      <c r="FX62" t="e">
        <f>AND(#REF!,"AAAAAHu//7M=")</f>
        <v>#REF!</v>
      </c>
      <c r="FY62" t="e">
        <f>IF(#REF!,"AAAAAHu//7Q=",0)</f>
        <v>#REF!</v>
      </c>
      <c r="FZ62" t="e">
        <f>AND(#REF!,"AAAAAHu//7U=")</f>
        <v>#REF!</v>
      </c>
      <c r="GA62" t="e">
        <f>AND(#REF!,"AAAAAHu//7Y=")</f>
        <v>#REF!</v>
      </c>
      <c r="GB62" t="e">
        <f>AND(#REF!,"AAAAAHu//7c=")</f>
        <v>#REF!</v>
      </c>
      <c r="GC62" t="e">
        <f>AND(#REF!,"AAAAAHu//7g=")</f>
        <v>#REF!</v>
      </c>
      <c r="GD62" t="e">
        <f>AND(#REF!,"AAAAAHu//7k=")</f>
        <v>#REF!</v>
      </c>
      <c r="GE62" t="e">
        <f>AND(#REF!,"AAAAAHu//7o=")</f>
        <v>#REF!</v>
      </c>
      <c r="GF62" t="e">
        <f>IF(#REF!,"AAAAAHu//7s=",0)</f>
        <v>#REF!</v>
      </c>
      <c r="GG62" t="e">
        <f>AND(#REF!,"AAAAAHu//7w=")</f>
        <v>#REF!</v>
      </c>
      <c r="GH62" t="e">
        <f>AND(#REF!,"AAAAAHu//70=")</f>
        <v>#REF!</v>
      </c>
      <c r="GI62" t="e">
        <f>AND(#REF!,"AAAAAHu//74=")</f>
        <v>#REF!</v>
      </c>
      <c r="GJ62" t="e">
        <f>AND(#REF!,"AAAAAHu//78=")</f>
        <v>#REF!</v>
      </c>
      <c r="GK62" t="e">
        <f>AND(#REF!,"AAAAAHu//8A=")</f>
        <v>#REF!</v>
      </c>
      <c r="GL62" t="e">
        <f>AND(#REF!,"AAAAAHu//8E=")</f>
        <v>#REF!</v>
      </c>
      <c r="GM62" t="e">
        <f>IF(#REF!,"AAAAAHu//8I=",0)</f>
        <v>#REF!</v>
      </c>
      <c r="GN62" t="e">
        <f>AND(#REF!,"AAAAAHu//8M=")</f>
        <v>#REF!</v>
      </c>
      <c r="GO62" t="e">
        <f>AND(#REF!,"AAAAAHu//8Q=")</f>
        <v>#REF!</v>
      </c>
      <c r="GP62" t="e">
        <f>AND(#REF!,"AAAAAHu//8U=")</f>
        <v>#REF!</v>
      </c>
      <c r="GQ62" t="e">
        <f>AND(#REF!,"AAAAAHu//8Y=")</f>
        <v>#REF!</v>
      </c>
      <c r="GR62" t="e">
        <f>AND(#REF!,"AAAAAHu//8c=")</f>
        <v>#REF!</v>
      </c>
      <c r="GS62" t="e">
        <f>AND(#REF!,"AAAAAHu//8g=")</f>
        <v>#REF!</v>
      </c>
      <c r="GT62" t="e">
        <f>IF(#REF!,"AAAAAHu//8k=",0)</f>
        <v>#REF!</v>
      </c>
      <c r="GU62" t="e">
        <f>AND(#REF!,"AAAAAHu//8o=")</f>
        <v>#REF!</v>
      </c>
      <c r="GV62" t="e">
        <f>AND(#REF!,"AAAAAHu//8s=")</f>
        <v>#REF!</v>
      </c>
      <c r="GW62" t="e">
        <f>AND(#REF!,"AAAAAHu//8w=")</f>
        <v>#REF!</v>
      </c>
      <c r="GX62" t="e">
        <f>AND(#REF!,"AAAAAHu//80=")</f>
        <v>#REF!</v>
      </c>
      <c r="GY62" t="e">
        <f>AND(#REF!,"AAAAAHu//84=")</f>
        <v>#REF!</v>
      </c>
      <c r="GZ62" t="e">
        <f>AND(#REF!,"AAAAAHu//88=")</f>
        <v>#REF!</v>
      </c>
      <c r="HA62" t="e">
        <f>IF(#REF!,"AAAAAHu//9A=",0)</f>
        <v>#REF!</v>
      </c>
      <c r="HB62" t="e">
        <f>AND(#REF!,"AAAAAHu//9E=")</f>
        <v>#REF!</v>
      </c>
      <c r="HC62" t="e">
        <f>AND(#REF!,"AAAAAHu//9I=")</f>
        <v>#REF!</v>
      </c>
      <c r="HD62" t="e">
        <f>AND(#REF!,"AAAAAHu//9M=")</f>
        <v>#REF!</v>
      </c>
      <c r="HE62" t="e">
        <f>AND(#REF!,"AAAAAHu//9Q=")</f>
        <v>#REF!</v>
      </c>
      <c r="HF62" t="e">
        <f>AND(#REF!,"AAAAAHu//9U=")</f>
        <v>#REF!</v>
      </c>
      <c r="HG62" t="e">
        <f>AND(#REF!,"AAAAAHu//9Y=")</f>
        <v>#REF!</v>
      </c>
      <c r="HH62" t="e">
        <f>IF(#REF!,"AAAAAHu//9c=",0)</f>
        <v>#REF!</v>
      </c>
      <c r="HI62" t="e">
        <f>AND(#REF!,"AAAAAHu//9g=")</f>
        <v>#REF!</v>
      </c>
      <c r="HJ62" t="e">
        <f>AND(#REF!,"AAAAAHu//9k=")</f>
        <v>#REF!</v>
      </c>
      <c r="HK62" t="e">
        <f>AND(#REF!,"AAAAAHu//9o=")</f>
        <v>#REF!</v>
      </c>
      <c r="HL62" t="e">
        <f>AND(#REF!,"AAAAAHu//9s=")</f>
        <v>#REF!</v>
      </c>
      <c r="HM62" t="e">
        <f>AND(#REF!,"AAAAAHu//9w=")</f>
        <v>#REF!</v>
      </c>
      <c r="HN62" t="e">
        <f>AND(#REF!,"AAAAAHu//90=")</f>
        <v>#REF!</v>
      </c>
      <c r="HO62" t="e">
        <f>IF(#REF!,"AAAAAHu//94=",0)</f>
        <v>#REF!</v>
      </c>
      <c r="HP62" t="e">
        <f>AND(#REF!,"AAAAAHu//98=")</f>
        <v>#REF!</v>
      </c>
      <c r="HQ62" t="e">
        <f>AND(#REF!,"AAAAAHu//+A=")</f>
        <v>#REF!</v>
      </c>
      <c r="HR62" t="e">
        <f>AND(#REF!,"AAAAAHu//+E=")</f>
        <v>#REF!</v>
      </c>
      <c r="HS62" t="e">
        <f>AND(#REF!,"AAAAAHu//+I=")</f>
        <v>#REF!</v>
      </c>
      <c r="HT62" t="e">
        <f>AND(#REF!,"AAAAAHu//+M=")</f>
        <v>#REF!</v>
      </c>
      <c r="HU62" t="e">
        <f>AND(#REF!,"AAAAAHu//+Q=")</f>
        <v>#REF!</v>
      </c>
      <c r="HV62" t="e">
        <f>IF(#REF!,"AAAAAHu//+U=",0)</f>
        <v>#REF!</v>
      </c>
      <c r="HW62" t="e">
        <f>AND(#REF!,"AAAAAHu//+Y=")</f>
        <v>#REF!</v>
      </c>
      <c r="HX62" t="e">
        <f>AND(#REF!,"AAAAAHu//+c=")</f>
        <v>#REF!</v>
      </c>
      <c r="HY62" t="e">
        <f>AND(#REF!,"AAAAAHu//+g=")</f>
        <v>#REF!</v>
      </c>
      <c r="HZ62" t="e">
        <f>AND(#REF!,"AAAAAHu//+k=")</f>
        <v>#REF!</v>
      </c>
      <c r="IA62" t="e">
        <f>AND(#REF!,"AAAAAHu//+o=")</f>
        <v>#REF!</v>
      </c>
      <c r="IB62" t="e">
        <f>AND(#REF!,"AAAAAHu//+s=")</f>
        <v>#REF!</v>
      </c>
      <c r="IC62" t="e">
        <f>IF(#REF!,"AAAAAHu//+w=",0)</f>
        <v>#REF!</v>
      </c>
      <c r="ID62" t="e">
        <f>AND(#REF!,"AAAAAHu//+0=")</f>
        <v>#REF!</v>
      </c>
      <c r="IE62" t="e">
        <f>AND(#REF!,"AAAAAHu//+4=")</f>
        <v>#REF!</v>
      </c>
      <c r="IF62" t="e">
        <f>AND(#REF!,"AAAAAHu//+8=")</f>
        <v>#REF!</v>
      </c>
      <c r="IG62" t="e">
        <f>AND(#REF!,"AAAAAHu///A=")</f>
        <v>#REF!</v>
      </c>
      <c r="IH62" t="e">
        <f>AND(#REF!,"AAAAAHu///E=")</f>
        <v>#REF!</v>
      </c>
      <c r="II62" t="e">
        <f>AND(#REF!,"AAAAAHu///I=")</f>
        <v>#REF!</v>
      </c>
      <c r="IJ62" t="e">
        <f>IF(#REF!,"AAAAAHu///M=",0)</f>
        <v>#REF!</v>
      </c>
      <c r="IK62" t="e">
        <f>AND(#REF!,"AAAAAHu///Q=")</f>
        <v>#REF!</v>
      </c>
      <c r="IL62" t="e">
        <f>AND(#REF!,"AAAAAHu///U=")</f>
        <v>#REF!</v>
      </c>
      <c r="IM62" t="e">
        <f>AND(#REF!,"AAAAAHu///Y=")</f>
        <v>#REF!</v>
      </c>
      <c r="IN62" t="e">
        <f>AND(#REF!,"AAAAAHu///c=")</f>
        <v>#REF!</v>
      </c>
      <c r="IO62" t="e">
        <f>AND(#REF!,"AAAAAHu///g=")</f>
        <v>#REF!</v>
      </c>
      <c r="IP62" t="e">
        <f>AND(#REF!,"AAAAAHu///k=")</f>
        <v>#REF!</v>
      </c>
      <c r="IQ62" t="e">
        <f>IF(#REF!,"AAAAAHu///o=",0)</f>
        <v>#REF!</v>
      </c>
      <c r="IR62" t="e">
        <f>AND(#REF!,"AAAAAHu///s=")</f>
        <v>#REF!</v>
      </c>
      <c r="IS62" t="e">
        <f>AND(#REF!,"AAAAAHu///w=")</f>
        <v>#REF!</v>
      </c>
      <c r="IT62" t="e">
        <f>AND(#REF!,"AAAAAHu///0=")</f>
        <v>#REF!</v>
      </c>
      <c r="IU62" t="e">
        <f>AND(#REF!,"AAAAAHu///4=")</f>
        <v>#REF!</v>
      </c>
      <c r="IV62" t="e">
        <f>AND(#REF!,"AAAAAHu///8=")</f>
        <v>#REF!</v>
      </c>
    </row>
    <row r="63" spans="1:256" x14ac:dyDescent="0.25">
      <c r="A63" t="e">
        <f>AND(#REF!,"AAAAAG+e2QA=")</f>
        <v>#REF!</v>
      </c>
      <c r="B63" t="e">
        <f>IF(#REF!,"AAAAAG+e2QE=",0)</f>
        <v>#REF!</v>
      </c>
      <c r="C63" t="e">
        <f>AND(#REF!,"AAAAAG+e2QI=")</f>
        <v>#REF!</v>
      </c>
      <c r="D63" t="e">
        <f>AND(#REF!,"AAAAAG+e2QM=")</f>
        <v>#REF!</v>
      </c>
      <c r="E63" t="e">
        <f>AND(#REF!,"AAAAAG+e2QQ=")</f>
        <v>#REF!</v>
      </c>
      <c r="F63" t="e">
        <f>AND(#REF!,"AAAAAG+e2QU=")</f>
        <v>#REF!</v>
      </c>
      <c r="G63" t="e">
        <f>AND(#REF!,"AAAAAG+e2QY=")</f>
        <v>#REF!</v>
      </c>
      <c r="H63" t="e">
        <f>AND(#REF!,"AAAAAG+e2Qc=")</f>
        <v>#REF!</v>
      </c>
      <c r="I63" t="e">
        <f>IF(#REF!,"AAAAAG+e2Qg=",0)</f>
        <v>#REF!</v>
      </c>
      <c r="J63" t="e">
        <f>AND(#REF!,"AAAAAG+e2Qk=")</f>
        <v>#REF!</v>
      </c>
      <c r="K63" t="e">
        <f>AND(#REF!,"AAAAAG+e2Qo=")</f>
        <v>#REF!</v>
      </c>
      <c r="L63" t="e">
        <f>AND(#REF!,"AAAAAG+e2Qs=")</f>
        <v>#REF!</v>
      </c>
      <c r="M63" t="e">
        <f>AND(#REF!,"AAAAAG+e2Qw=")</f>
        <v>#REF!</v>
      </c>
      <c r="N63" t="e">
        <f>AND(#REF!,"AAAAAG+e2Q0=")</f>
        <v>#REF!</v>
      </c>
      <c r="O63" t="e">
        <f>AND(#REF!,"AAAAAG+e2Q4=")</f>
        <v>#REF!</v>
      </c>
      <c r="P63" t="e">
        <f>IF(#REF!,"AAAAAG+e2Q8=",0)</f>
        <v>#REF!</v>
      </c>
      <c r="Q63" t="e">
        <f>AND(#REF!,"AAAAAG+e2RA=")</f>
        <v>#REF!</v>
      </c>
      <c r="R63" t="e">
        <f>AND(#REF!,"AAAAAG+e2RE=")</f>
        <v>#REF!</v>
      </c>
      <c r="S63" t="e">
        <f>AND(#REF!,"AAAAAG+e2RI=")</f>
        <v>#REF!</v>
      </c>
      <c r="T63" t="e">
        <f>AND(#REF!,"AAAAAG+e2RM=")</f>
        <v>#REF!</v>
      </c>
      <c r="U63" t="e">
        <f>AND(#REF!,"AAAAAG+e2RQ=")</f>
        <v>#REF!</v>
      </c>
      <c r="V63" t="e">
        <f>AND(#REF!,"AAAAAG+e2RU=")</f>
        <v>#REF!</v>
      </c>
      <c r="W63" t="e">
        <f>IF(#REF!,"AAAAAG+e2RY=",0)</f>
        <v>#REF!</v>
      </c>
      <c r="X63" t="e">
        <f>AND(#REF!,"AAAAAG+e2Rc=")</f>
        <v>#REF!</v>
      </c>
      <c r="Y63" t="e">
        <f>AND(#REF!,"AAAAAG+e2Rg=")</f>
        <v>#REF!</v>
      </c>
      <c r="Z63" t="e">
        <f>AND(#REF!,"AAAAAG+e2Rk=")</f>
        <v>#REF!</v>
      </c>
      <c r="AA63" t="e">
        <f>AND(#REF!,"AAAAAG+e2Ro=")</f>
        <v>#REF!</v>
      </c>
      <c r="AB63" t="e">
        <f>AND(#REF!,"AAAAAG+e2Rs=")</f>
        <v>#REF!</v>
      </c>
      <c r="AC63" t="e">
        <f>AND(#REF!,"AAAAAG+e2Rw=")</f>
        <v>#REF!</v>
      </c>
      <c r="AD63" t="e">
        <f>IF(#REF!,"AAAAAG+e2R0=",0)</f>
        <v>#REF!</v>
      </c>
      <c r="AE63" t="e">
        <f>AND(#REF!,"AAAAAG+e2R4=")</f>
        <v>#REF!</v>
      </c>
      <c r="AF63" t="e">
        <f>AND(#REF!,"AAAAAG+e2R8=")</f>
        <v>#REF!</v>
      </c>
      <c r="AG63" t="e">
        <f>AND(#REF!,"AAAAAG+e2SA=")</f>
        <v>#REF!</v>
      </c>
      <c r="AH63" t="e">
        <f>AND(#REF!,"AAAAAG+e2SE=")</f>
        <v>#REF!</v>
      </c>
      <c r="AI63" t="e">
        <f>AND(#REF!,"AAAAAG+e2SI=")</f>
        <v>#REF!</v>
      </c>
      <c r="AJ63" t="e">
        <f>AND(#REF!,"AAAAAG+e2SM=")</f>
        <v>#REF!</v>
      </c>
      <c r="AK63" t="e">
        <f>IF(#REF!,"AAAAAG+e2SQ=",0)</f>
        <v>#REF!</v>
      </c>
      <c r="AL63" t="e">
        <f>AND(#REF!,"AAAAAG+e2SU=")</f>
        <v>#REF!</v>
      </c>
      <c r="AM63" t="e">
        <f>AND(#REF!,"AAAAAG+e2SY=")</f>
        <v>#REF!</v>
      </c>
      <c r="AN63" t="e">
        <f>AND(#REF!,"AAAAAG+e2Sc=")</f>
        <v>#REF!</v>
      </c>
      <c r="AO63" t="e">
        <f>AND(#REF!,"AAAAAG+e2Sg=")</f>
        <v>#REF!</v>
      </c>
      <c r="AP63" t="e">
        <f>AND(#REF!,"AAAAAG+e2Sk=")</f>
        <v>#REF!</v>
      </c>
      <c r="AQ63" t="e">
        <f>AND(#REF!,"AAAAAG+e2So=")</f>
        <v>#REF!</v>
      </c>
      <c r="AR63" t="e">
        <f>IF(#REF!,"AAAAAG+e2Ss=",0)</f>
        <v>#REF!</v>
      </c>
      <c r="AS63" t="e">
        <f>AND(#REF!,"AAAAAG+e2Sw=")</f>
        <v>#REF!</v>
      </c>
      <c r="AT63" t="e">
        <f>AND(#REF!,"AAAAAG+e2S0=")</f>
        <v>#REF!</v>
      </c>
      <c r="AU63" t="e">
        <f>AND(#REF!,"AAAAAG+e2S4=")</f>
        <v>#REF!</v>
      </c>
      <c r="AV63" t="e">
        <f>AND(#REF!,"AAAAAG+e2S8=")</f>
        <v>#REF!</v>
      </c>
      <c r="AW63" t="e">
        <f>AND(#REF!,"AAAAAG+e2TA=")</f>
        <v>#REF!</v>
      </c>
      <c r="AX63" t="e">
        <f>AND(#REF!,"AAAAAG+e2TE=")</f>
        <v>#REF!</v>
      </c>
      <c r="AY63" t="e">
        <f>IF(#REF!,"AAAAAG+e2TI=",0)</f>
        <v>#REF!</v>
      </c>
      <c r="AZ63" t="e">
        <f>AND(#REF!,"AAAAAG+e2TM=")</f>
        <v>#REF!</v>
      </c>
      <c r="BA63" t="e">
        <f>AND(#REF!,"AAAAAG+e2TQ=")</f>
        <v>#REF!</v>
      </c>
      <c r="BB63" t="e">
        <f>AND(#REF!,"AAAAAG+e2TU=")</f>
        <v>#REF!</v>
      </c>
      <c r="BC63" t="e">
        <f>AND(#REF!,"AAAAAG+e2TY=")</f>
        <v>#REF!</v>
      </c>
      <c r="BD63" t="e">
        <f>AND(#REF!,"AAAAAG+e2Tc=")</f>
        <v>#REF!</v>
      </c>
      <c r="BE63" t="e">
        <f>AND(#REF!,"AAAAAG+e2Tg=")</f>
        <v>#REF!</v>
      </c>
      <c r="BF63" t="e">
        <f>IF(#REF!,"AAAAAG+e2Tk=",0)</f>
        <v>#REF!</v>
      </c>
      <c r="BG63" t="e">
        <f>AND(#REF!,"AAAAAG+e2To=")</f>
        <v>#REF!</v>
      </c>
      <c r="BH63" t="e">
        <f>AND(#REF!,"AAAAAG+e2Ts=")</f>
        <v>#REF!</v>
      </c>
      <c r="BI63" t="e">
        <f>AND(#REF!,"AAAAAG+e2Tw=")</f>
        <v>#REF!</v>
      </c>
      <c r="BJ63" t="e">
        <f>AND(#REF!,"AAAAAG+e2T0=")</f>
        <v>#REF!</v>
      </c>
      <c r="BK63" t="e">
        <f>AND(#REF!,"AAAAAG+e2T4=")</f>
        <v>#REF!</v>
      </c>
      <c r="BL63" t="e">
        <f>AND(#REF!,"AAAAAG+e2T8=")</f>
        <v>#REF!</v>
      </c>
      <c r="BM63" t="e">
        <f>IF(#REF!,"AAAAAG+e2UA=",0)</f>
        <v>#REF!</v>
      </c>
      <c r="BN63" t="e">
        <f>AND(#REF!,"AAAAAG+e2UE=")</f>
        <v>#REF!</v>
      </c>
      <c r="BO63" t="e">
        <f>AND(#REF!,"AAAAAG+e2UI=")</f>
        <v>#REF!</v>
      </c>
      <c r="BP63" t="e">
        <f>AND(#REF!,"AAAAAG+e2UM=")</f>
        <v>#REF!</v>
      </c>
      <c r="BQ63" t="e">
        <f>AND(#REF!,"AAAAAG+e2UQ=")</f>
        <v>#REF!</v>
      </c>
      <c r="BR63" t="e">
        <f>AND(#REF!,"AAAAAG+e2UU=")</f>
        <v>#REF!</v>
      </c>
      <c r="BS63" t="e">
        <f>AND(#REF!,"AAAAAG+e2UY=")</f>
        <v>#REF!</v>
      </c>
      <c r="BT63" t="e">
        <f>IF(#REF!,"AAAAAG+e2Uc=",0)</f>
        <v>#REF!</v>
      </c>
      <c r="BU63" t="e">
        <f>AND(#REF!,"AAAAAG+e2Ug=")</f>
        <v>#REF!</v>
      </c>
      <c r="BV63" t="e">
        <f>AND(#REF!,"AAAAAG+e2Uk=")</f>
        <v>#REF!</v>
      </c>
      <c r="BW63" t="e">
        <f>AND(#REF!,"AAAAAG+e2Uo=")</f>
        <v>#REF!</v>
      </c>
      <c r="BX63" t="e">
        <f>AND(#REF!,"AAAAAG+e2Us=")</f>
        <v>#REF!</v>
      </c>
      <c r="BY63" t="e">
        <f>AND(#REF!,"AAAAAG+e2Uw=")</f>
        <v>#REF!</v>
      </c>
      <c r="BZ63" t="e">
        <f>AND(#REF!,"AAAAAG+e2U0=")</f>
        <v>#REF!</v>
      </c>
      <c r="CA63" t="e">
        <f>IF(#REF!,"AAAAAG+e2U4=",0)</f>
        <v>#REF!</v>
      </c>
      <c r="CB63" t="e">
        <f>AND(#REF!,"AAAAAG+e2U8=")</f>
        <v>#REF!</v>
      </c>
      <c r="CC63" t="e">
        <f>AND(#REF!,"AAAAAG+e2VA=")</f>
        <v>#REF!</v>
      </c>
      <c r="CD63" t="e">
        <f>AND(#REF!,"AAAAAG+e2VE=")</f>
        <v>#REF!</v>
      </c>
      <c r="CE63" t="e">
        <f>AND(#REF!,"AAAAAG+e2VI=")</f>
        <v>#REF!</v>
      </c>
      <c r="CF63" t="e">
        <f>AND(#REF!,"AAAAAG+e2VM=")</f>
        <v>#REF!</v>
      </c>
      <c r="CG63" t="e">
        <f>AND(#REF!,"AAAAAG+e2VQ=")</f>
        <v>#REF!</v>
      </c>
      <c r="CH63" t="e">
        <f>IF(#REF!,"AAAAAG+e2VU=",0)</f>
        <v>#REF!</v>
      </c>
      <c r="CI63" t="e">
        <f>AND(#REF!,"AAAAAG+e2VY=")</f>
        <v>#REF!</v>
      </c>
      <c r="CJ63" t="e">
        <f>AND(#REF!,"AAAAAG+e2Vc=")</f>
        <v>#REF!</v>
      </c>
      <c r="CK63" t="e">
        <f>AND(#REF!,"AAAAAG+e2Vg=")</f>
        <v>#REF!</v>
      </c>
      <c r="CL63" t="e">
        <f>AND(#REF!,"AAAAAG+e2Vk=")</f>
        <v>#REF!</v>
      </c>
      <c r="CM63" t="e">
        <f>AND(#REF!,"AAAAAG+e2Vo=")</f>
        <v>#REF!</v>
      </c>
      <c r="CN63" t="e">
        <f>AND(#REF!,"AAAAAG+e2Vs=")</f>
        <v>#REF!</v>
      </c>
      <c r="CO63" t="e">
        <f>IF(#REF!,"AAAAAG+e2Vw=",0)</f>
        <v>#REF!</v>
      </c>
      <c r="CP63" t="e">
        <f>AND(#REF!,"AAAAAG+e2V0=")</f>
        <v>#REF!</v>
      </c>
      <c r="CQ63" t="e">
        <f>AND(#REF!,"AAAAAG+e2V4=")</f>
        <v>#REF!</v>
      </c>
      <c r="CR63" t="e">
        <f>AND(#REF!,"AAAAAG+e2V8=")</f>
        <v>#REF!</v>
      </c>
      <c r="CS63" t="e">
        <f>AND(#REF!,"AAAAAG+e2WA=")</f>
        <v>#REF!</v>
      </c>
      <c r="CT63" t="e">
        <f>AND(#REF!,"AAAAAG+e2WE=")</f>
        <v>#REF!</v>
      </c>
      <c r="CU63" t="e">
        <f>AND(#REF!,"AAAAAG+e2WI=")</f>
        <v>#REF!</v>
      </c>
      <c r="CV63" t="e">
        <f>IF(#REF!,"AAAAAG+e2WM=",0)</f>
        <v>#REF!</v>
      </c>
      <c r="CW63" t="e">
        <f>AND(#REF!,"AAAAAG+e2WQ=")</f>
        <v>#REF!</v>
      </c>
      <c r="CX63" t="e">
        <f>AND(#REF!,"AAAAAG+e2WU=")</f>
        <v>#REF!</v>
      </c>
      <c r="CY63" t="e">
        <f>AND(#REF!,"AAAAAG+e2WY=")</f>
        <v>#REF!</v>
      </c>
      <c r="CZ63" t="e">
        <f>AND(#REF!,"AAAAAG+e2Wc=")</f>
        <v>#REF!</v>
      </c>
      <c r="DA63" t="e">
        <f>AND(#REF!,"AAAAAG+e2Wg=")</f>
        <v>#REF!</v>
      </c>
      <c r="DB63" t="e">
        <f>AND(#REF!,"AAAAAG+e2Wk=")</f>
        <v>#REF!</v>
      </c>
      <c r="DC63" t="e">
        <f>IF(#REF!,"AAAAAG+e2Wo=",0)</f>
        <v>#REF!</v>
      </c>
      <c r="DD63" t="e">
        <f>AND(#REF!,"AAAAAG+e2Ws=")</f>
        <v>#REF!</v>
      </c>
      <c r="DE63" t="e">
        <f>AND(#REF!,"AAAAAG+e2Ww=")</f>
        <v>#REF!</v>
      </c>
      <c r="DF63" t="e">
        <f>AND(#REF!,"AAAAAG+e2W0=")</f>
        <v>#REF!</v>
      </c>
      <c r="DG63" t="e">
        <f>AND(#REF!,"AAAAAG+e2W4=")</f>
        <v>#REF!</v>
      </c>
      <c r="DH63" t="e">
        <f>AND(#REF!,"AAAAAG+e2W8=")</f>
        <v>#REF!</v>
      </c>
      <c r="DI63" t="e">
        <f>AND(#REF!,"AAAAAG+e2XA=")</f>
        <v>#REF!</v>
      </c>
      <c r="DJ63" t="e">
        <f>IF(#REF!,"AAAAAG+e2XE=",0)</f>
        <v>#REF!</v>
      </c>
      <c r="DK63" t="e">
        <f>AND(#REF!,"AAAAAG+e2XI=")</f>
        <v>#REF!</v>
      </c>
      <c r="DL63" t="e">
        <f>AND(#REF!,"AAAAAG+e2XM=")</f>
        <v>#REF!</v>
      </c>
      <c r="DM63" t="e">
        <f>AND(#REF!,"AAAAAG+e2XQ=")</f>
        <v>#REF!</v>
      </c>
      <c r="DN63" t="e">
        <f>AND(#REF!,"AAAAAG+e2XU=")</f>
        <v>#REF!</v>
      </c>
      <c r="DO63" t="e">
        <f>AND(#REF!,"AAAAAG+e2XY=")</f>
        <v>#REF!</v>
      </c>
      <c r="DP63" t="e">
        <f>AND(#REF!,"AAAAAG+e2Xc=")</f>
        <v>#REF!</v>
      </c>
      <c r="DQ63" t="e">
        <f>IF(#REF!,"AAAAAG+e2Xg=",0)</f>
        <v>#REF!</v>
      </c>
      <c r="DR63" t="e">
        <f>AND(#REF!,"AAAAAG+e2Xk=")</f>
        <v>#REF!</v>
      </c>
      <c r="DS63" t="e">
        <f>AND(#REF!,"AAAAAG+e2Xo=")</f>
        <v>#REF!</v>
      </c>
      <c r="DT63" t="e">
        <f>AND(#REF!,"AAAAAG+e2Xs=")</f>
        <v>#REF!</v>
      </c>
      <c r="DU63" t="e">
        <f>AND(#REF!,"AAAAAG+e2Xw=")</f>
        <v>#REF!</v>
      </c>
      <c r="DV63" t="e">
        <f>AND(#REF!,"AAAAAG+e2X0=")</f>
        <v>#REF!</v>
      </c>
      <c r="DW63" t="e">
        <f>AND(#REF!,"AAAAAG+e2X4=")</f>
        <v>#REF!</v>
      </c>
      <c r="DX63" t="e">
        <f>IF(#REF!,"AAAAAG+e2X8=",0)</f>
        <v>#REF!</v>
      </c>
      <c r="DY63" t="e">
        <f>AND(#REF!,"AAAAAG+e2YA=")</f>
        <v>#REF!</v>
      </c>
      <c r="DZ63" t="e">
        <f>AND(#REF!,"AAAAAG+e2YE=")</f>
        <v>#REF!</v>
      </c>
      <c r="EA63" t="e">
        <f>AND(#REF!,"AAAAAG+e2YI=")</f>
        <v>#REF!</v>
      </c>
      <c r="EB63" t="e">
        <f>AND(#REF!,"AAAAAG+e2YM=")</f>
        <v>#REF!</v>
      </c>
      <c r="EC63" t="e">
        <f>AND(#REF!,"AAAAAG+e2YQ=")</f>
        <v>#REF!</v>
      </c>
      <c r="ED63" t="e">
        <f>AND(#REF!,"AAAAAG+e2YU=")</f>
        <v>#REF!</v>
      </c>
      <c r="EE63" t="e">
        <f>IF(#REF!,"AAAAAG+e2YY=",0)</f>
        <v>#REF!</v>
      </c>
      <c r="EF63" t="e">
        <f>AND(#REF!,"AAAAAG+e2Yc=")</f>
        <v>#REF!</v>
      </c>
      <c r="EG63" t="e">
        <f>AND(#REF!,"AAAAAG+e2Yg=")</f>
        <v>#REF!</v>
      </c>
      <c r="EH63" t="e">
        <f>AND(#REF!,"AAAAAG+e2Yk=")</f>
        <v>#REF!</v>
      </c>
      <c r="EI63" t="e">
        <f>AND(#REF!,"AAAAAG+e2Yo=")</f>
        <v>#REF!</v>
      </c>
      <c r="EJ63" t="e">
        <f>AND(#REF!,"AAAAAG+e2Ys=")</f>
        <v>#REF!</v>
      </c>
      <c r="EK63" t="e">
        <f>AND(#REF!,"AAAAAG+e2Yw=")</f>
        <v>#REF!</v>
      </c>
      <c r="EL63" t="e">
        <f>IF(#REF!,"AAAAAG+e2Y0=",0)</f>
        <v>#REF!</v>
      </c>
      <c r="EM63" t="e">
        <f>AND(#REF!,"AAAAAG+e2Y4=")</f>
        <v>#REF!</v>
      </c>
      <c r="EN63" t="e">
        <f>AND(#REF!,"AAAAAG+e2Y8=")</f>
        <v>#REF!</v>
      </c>
      <c r="EO63" t="e">
        <f>AND(#REF!,"AAAAAG+e2ZA=")</f>
        <v>#REF!</v>
      </c>
      <c r="EP63" t="e">
        <f>AND(#REF!,"AAAAAG+e2ZE=")</f>
        <v>#REF!</v>
      </c>
      <c r="EQ63" t="e">
        <f>AND(#REF!,"AAAAAG+e2ZI=")</f>
        <v>#REF!</v>
      </c>
      <c r="ER63" t="e">
        <f>AND(#REF!,"AAAAAG+e2ZM=")</f>
        <v>#REF!</v>
      </c>
      <c r="ES63" t="e">
        <f>IF(#REF!,"AAAAAG+e2ZQ=",0)</f>
        <v>#REF!</v>
      </c>
      <c r="ET63" t="e">
        <f>AND(#REF!,"AAAAAG+e2ZU=")</f>
        <v>#REF!</v>
      </c>
      <c r="EU63" t="e">
        <f>AND(#REF!,"AAAAAG+e2ZY=")</f>
        <v>#REF!</v>
      </c>
      <c r="EV63" t="e">
        <f>AND(#REF!,"AAAAAG+e2Zc=")</f>
        <v>#REF!</v>
      </c>
      <c r="EW63" t="e">
        <f>AND(#REF!,"AAAAAG+e2Zg=")</f>
        <v>#REF!</v>
      </c>
      <c r="EX63" t="e">
        <f>AND(#REF!,"AAAAAG+e2Zk=")</f>
        <v>#REF!</v>
      </c>
      <c r="EY63" t="e">
        <f>AND(#REF!,"AAAAAG+e2Zo=")</f>
        <v>#REF!</v>
      </c>
      <c r="EZ63" t="e">
        <f>IF(#REF!,"AAAAAG+e2Zs=",0)</f>
        <v>#REF!</v>
      </c>
      <c r="FA63" t="e">
        <f>AND(#REF!,"AAAAAG+e2Zw=")</f>
        <v>#REF!</v>
      </c>
      <c r="FB63" t="e">
        <f>AND(#REF!,"AAAAAG+e2Z0=")</f>
        <v>#REF!</v>
      </c>
      <c r="FC63" t="e">
        <f>AND(#REF!,"AAAAAG+e2Z4=")</f>
        <v>#REF!</v>
      </c>
      <c r="FD63" t="e">
        <f>AND(#REF!,"AAAAAG+e2Z8=")</f>
        <v>#REF!</v>
      </c>
      <c r="FE63" t="e">
        <f>AND(#REF!,"AAAAAG+e2aA=")</f>
        <v>#REF!</v>
      </c>
      <c r="FF63" t="e">
        <f>AND(#REF!,"AAAAAG+e2aE=")</f>
        <v>#REF!</v>
      </c>
      <c r="FG63" t="e">
        <f>IF(#REF!,"AAAAAG+e2aI=",0)</f>
        <v>#REF!</v>
      </c>
      <c r="FH63" t="e">
        <f>AND(#REF!,"AAAAAG+e2aM=")</f>
        <v>#REF!</v>
      </c>
      <c r="FI63" t="e">
        <f>AND(#REF!,"AAAAAG+e2aQ=")</f>
        <v>#REF!</v>
      </c>
      <c r="FJ63" t="e">
        <f>AND(#REF!,"AAAAAG+e2aU=")</f>
        <v>#REF!</v>
      </c>
      <c r="FK63" t="e">
        <f>AND(#REF!,"AAAAAG+e2aY=")</f>
        <v>#REF!</v>
      </c>
      <c r="FL63" t="e">
        <f>AND(#REF!,"AAAAAG+e2ac=")</f>
        <v>#REF!</v>
      </c>
      <c r="FM63" t="e">
        <f>AND(#REF!,"AAAAAG+e2ag=")</f>
        <v>#REF!</v>
      </c>
      <c r="FN63" t="e">
        <f>IF(#REF!,"AAAAAG+e2ak=",0)</f>
        <v>#REF!</v>
      </c>
      <c r="FO63" t="e">
        <f>AND(#REF!,"AAAAAG+e2ao=")</f>
        <v>#REF!</v>
      </c>
      <c r="FP63" t="e">
        <f>AND(#REF!,"AAAAAG+e2as=")</f>
        <v>#REF!</v>
      </c>
      <c r="FQ63" t="e">
        <f>AND(#REF!,"AAAAAG+e2aw=")</f>
        <v>#REF!</v>
      </c>
      <c r="FR63" t="e">
        <f>AND(#REF!,"AAAAAG+e2a0=")</f>
        <v>#REF!</v>
      </c>
      <c r="FS63" t="e">
        <f>AND(#REF!,"AAAAAG+e2a4=")</f>
        <v>#REF!</v>
      </c>
      <c r="FT63" t="e">
        <f>AND(#REF!,"AAAAAG+e2a8=")</f>
        <v>#REF!</v>
      </c>
      <c r="FU63" t="e">
        <f>IF(#REF!,"AAAAAG+e2bA=",0)</f>
        <v>#REF!</v>
      </c>
      <c r="FV63" t="e">
        <f>AND(#REF!,"AAAAAG+e2bE=")</f>
        <v>#REF!</v>
      </c>
      <c r="FW63" t="e">
        <f>AND(#REF!,"AAAAAG+e2bI=")</f>
        <v>#REF!</v>
      </c>
      <c r="FX63" t="e">
        <f>AND(#REF!,"AAAAAG+e2bM=")</f>
        <v>#REF!</v>
      </c>
      <c r="FY63" t="e">
        <f>AND(#REF!,"AAAAAG+e2bQ=")</f>
        <v>#REF!</v>
      </c>
      <c r="FZ63" t="e">
        <f>AND(#REF!,"AAAAAG+e2bU=")</f>
        <v>#REF!</v>
      </c>
      <c r="GA63" t="e">
        <f>AND(#REF!,"AAAAAG+e2bY=")</f>
        <v>#REF!</v>
      </c>
      <c r="GB63" t="e">
        <f>IF(#REF!,"AAAAAG+e2bc=",0)</f>
        <v>#REF!</v>
      </c>
      <c r="GC63" t="e">
        <f>AND(#REF!,"AAAAAG+e2bg=")</f>
        <v>#REF!</v>
      </c>
      <c r="GD63" t="e">
        <f>AND(#REF!,"AAAAAG+e2bk=")</f>
        <v>#REF!</v>
      </c>
      <c r="GE63" t="e">
        <f>AND(#REF!,"AAAAAG+e2bo=")</f>
        <v>#REF!</v>
      </c>
      <c r="GF63" t="e">
        <f>AND(#REF!,"AAAAAG+e2bs=")</f>
        <v>#REF!</v>
      </c>
      <c r="GG63" t="e">
        <f>AND(#REF!,"AAAAAG+e2bw=")</f>
        <v>#REF!</v>
      </c>
      <c r="GH63" t="e">
        <f>AND(#REF!,"AAAAAG+e2b0=")</f>
        <v>#REF!</v>
      </c>
      <c r="GI63" t="e">
        <f>IF(#REF!,"AAAAAG+e2b4=",0)</f>
        <v>#REF!</v>
      </c>
      <c r="GJ63" t="e">
        <f>AND(#REF!,"AAAAAG+e2b8=")</f>
        <v>#REF!</v>
      </c>
      <c r="GK63" t="e">
        <f>AND(#REF!,"AAAAAG+e2cA=")</f>
        <v>#REF!</v>
      </c>
      <c r="GL63" t="e">
        <f>AND(#REF!,"AAAAAG+e2cE=")</f>
        <v>#REF!</v>
      </c>
      <c r="GM63" t="e">
        <f>AND(#REF!,"AAAAAG+e2cI=")</f>
        <v>#REF!</v>
      </c>
      <c r="GN63" t="e">
        <f>AND(#REF!,"AAAAAG+e2cM=")</f>
        <v>#REF!</v>
      </c>
      <c r="GO63" t="e">
        <f>AND(#REF!,"AAAAAG+e2cQ=")</f>
        <v>#REF!</v>
      </c>
      <c r="GP63" t="e">
        <f>IF(#REF!,"AAAAAG+e2cU=",0)</f>
        <v>#REF!</v>
      </c>
      <c r="GQ63" t="e">
        <f>AND(#REF!,"AAAAAG+e2cY=")</f>
        <v>#REF!</v>
      </c>
      <c r="GR63" t="e">
        <f>AND(#REF!,"AAAAAG+e2cc=")</f>
        <v>#REF!</v>
      </c>
      <c r="GS63" t="e">
        <f>AND(#REF!,"AAAAAG+e2cg=")</f>
        <v>#REF!</v>
      </c>
      <c r="GT63" t="e">
        <f>AND(#REF!,"AAAAAG+e2ck=")</f>
        <v>#REF!</v>
      </c>
      <c r="GU63" t="e">
        <f>AND(#REF!,"AAAAAG+e2co=")</f>
        <v>#REF!</v>
      </c>
      <c r="GV63" t="e">
        <f>AND(#REF!,"AAAAAG+e2cs=")</f>
        <v>#REF!</v>
      </c>
      <c r="GW63" t="e">
        <f>IF(#REF!,"AAAAAG+e2cw=",0)</f>
        <v>#REF!</v>
      </c>
      <c r="GX63" t="e">
        <f>AND(#REF!,"AAAAAG+e2c0=")</f>
        <v>#REF!</v>
      </c>
      <c r="GY63" t="e">
        <f>AND(#REF!,"AAAAAG+e2c4=")</f>
        <v>#REF!</v>
      </c>
      <c r="GZ63" t="e">
        <f>AND(#REF!,"AAAAAG+e2c8=")</f>
        <v>#REF!</v>
      </c>
      <c r="HA63" t="e">
        <f>AND(#REF!,"AAAAAG+e2dA=")</f>
        <v>#REF!</v>
      </c>
      <c r="HB63" t="e">
        <f>AND(#REF!,"AAAAAG+e2dE=")</f>
        <v>#REF!</v>
      </c>
      <c r="HC63" t="e">
        <f>AND(#REF!,"AAAAAG+e2dI=")</f>
        <v>#REF!</v>
      </c>
      <c r="HD63" t="e">
        <f>IF(#REF!,"AAAAAG+e2dM=",0)</f>
        <v>#REF!</v>
      </c>
      <c r="HE63" t="e">
        <f>AND(#REF!,"AAAAAG+e2dQ=")</f>
        <v>#REF!</v>
      </c>
      <c r="HF63" t="e">
        <f>AND(#REF!,"AAAAAG+e2dU=")</f>
        <v>#REF!</v>
      </c>
      <c r="HG63" t="e">
        <f>AND(#REF!,"AAAAAG+e2dY=")</f>
        <v>#REF!</v>
      </c>
      <c r="HH63" t="e">
        <f>AND(#REF!,"AAAAAG+e2dc=")</f>
        <v>#REF!</v>
      </c>
      <c r="HI63" t="e">
        <f>AND(#REF!,"AAAAAG+e2dg=")</f>
        <v>#REF!</v>
      </c>
      <c r="HJ63" t="e">
        <f>AND(#REF!,"AAAAAG+e2dk=")</f>
        <v>#REF!</v>
      </c>
      <c r="HK63" t="e">
        <f>IF(#REF!,"AAAAAG+e2do=",0)</f>
        <v>#REF!</v>
      </c>
      <c r="HL63" t="e">
        <f>AND(#REF!,"AAAAAG+e2ds=")</f>
        <v>#REF!</v>
      </c>
      <c r="HM63" t="e">
        <f>AND(#REF!,"AAAAAG+e2dw=")</f>
        <v>#REF!</v>
      </c>
      <c r="HN63" t="e">
        <f>AND(#REF!,"AAAAAG+e2d0=")</f>
        <v>#REF!</v>
      </c>
      <c r="HO63" t="e">
        <f>AND(#REF!,"AAAAAG+e2d4=")</f>
        <v>#REF!</v>
      </c>
      <c r="HP63" t="e">
        <f>AND(#REF!,"AAAAAG+e2d8=")</f>
        <v>#REF!</v>
      </c>
      <c r="HQ63" t="e">
        <f>AND(#REF!,"AAAAAG+e2eA=")</f>
        <v>#REF!</v>
      </c>
      <c r="HR63" t="e">
        <f>IF(#REF!,"AAAAAG+e2eE=",0)</f>
        <v>#REF!</v>
      </c>
      <c r="HS63" t="e">
        <f>AND(#REF!,"AAAAAG+e2eI=")</f>
        <v>#REF!</v>
      </c>
      <c r="HT63" t="e">
        <f>AND(#REF!,"AAAAAG+e2eM=")</f>
        <v>#REF!</v>
      </c>
      <c r="HU63" t="e">
        <f>AND(#REF!,"AAAAAG+e2eQ=")</f>
        <v>#REF!</v>
      </c>
      <c r="HV63" t="e">
        <f>AND(#REF!,"AAAAAG+e2eU=")</f>
        <v>#REF!</v>
      </c>
      <c r="HW63" t="e">
        <f>AND(#REF!,"AAAAAG+e2eY=")</f>
        <v>#REF!</v>
      </c>
      <c r="HX63" t="e">
        <f>AND(#REF!,"AAAAAG+e2ec=")</f>
        <v>#REF!</v>
      </c>
      <c r="HY63" t="e">
        <f>IF(#REF!,"AAAAAG+e2eg=",0)</f>
        <v>#REF!</v>
      </c>
      <c r="HZ63" t="e">
        <f>AND(#REF!,"AAAAAG+e2ek=")</f>
        <v>#REF!</v>
      </c>
      <c r="IA63" t="e">
        <f>AND(#REF!,"AAAAAG+e2eo=")</f>
        <v>#REF!</v>
      </c>
      <c r="IB63" t="e">
        <f>AND(#REF!,"AAAAAG+e2es=")</f>
        <v>#REF!</v>
      </c>
      <c r="IC63" t="e">
        <f>AND(#REF!,"AAAAAG+e2ew=")</f>
        <v>#REF!</v>
      </c>
      <c r="ID63" t="e">
        <f>AND(#REF!,"AAAAAG+e2e0=")</f>
        <v>#REF!</v>
      </c>
      <c r="IE63" t="e">
        <f>AND(#REF!,"AAAAAG+e2e4=")</f>
        <v>#REF!</v>
      </c>
      <c r="IF63" t="e">
        <f>IF(#REF!,"AAAAAG+e2e8=",0)</f>
        <v>#REF!</v>
      </c>
      <c r="IG63" t="e">
        <f>AND(#REF!,"AAAAAG+e2fA=")</f>
        <v>#REF!</v>
      </c>
      <c r="IH63" t="e">
        <f>AND(#REF!,"AAAAAG+e2fE=")</f>
        <v>#REF!</v>
      </c>
      <c r="II63" t="e">
        <f>AND(#REF!,"AAAAAG+e2fI=")</f>
        <v>#REF!</v>
      </c>
      <c r="IJ63" t="e">
        <f>AND(#REF!,"AAAAAG+e2fM=")</f>
        <v>#REF!</v>
      </c>
      <c r="IK63" t="e">
        <f>AND(#REF!,"AAAAAG+e2fQ=")</f>
        <v>#REF!</v>
      </c>
      <c r="IL63" t="e">
        <f>AND(#REF!,"AAAAAG+e2fU=")</f>
        <v>#REF!</v>
      </c>
      <c r="IM63" t="e">
        <f>IF(#REF!,"AAAAAG+e2fY=",0)</f>
        <v>#REF!</v>
      </c>
      <c r="IN63" t="e">
        <f>AND(#REF!,"AAAAAG+e2fc=")</f>
        <v>#REF!</v>
      </c>
      <c r="IO63" t="e">
        <f>AND(#REF!,"AAAAAG+e2fg=")</f>
        <v>#REF!</v>
      </c>
      <c r="IP63" t="e">
        <f>AND(#REF!,"AAAAAG+e2fk=")</f>
        <v>#REF!</v>
      </c>
      <c r="IQ63" t="e">
        <f>AND(#REF!,"AAAAAG+e2fo=")</f>
        <v>#REF!</v>
      </c>
      <c r="IR63" t="e">
        <f>AND(#REF!,"AAAAAG+e2fs=")</f>
        <v>#REF!</v>
      </c>
      <c r="IS63" t="e">
        <f>AND(#REF!,"AAAAAG+e2fw=")</f>
        <v>#REF!</v>
      </c>
      <c r="IT63" t="e">
        <f>IF(#REF!,"AAAAAG+e2f0=",0)</f>
        <v>#REF!</v>
      </c>
      <c r="IU63" t="e">
        <f>AND(#REF!,"AAAAAG+e2f4=")</f>
        <v>#REF!</v>
      </c>
      <c r="IV63" t="e">
        <f>AND(#REF!,"AAAAAG+e2f8=")</f>
        <v>#REF!</v>
      </c>
    </row>
    <row r="64" spans="1:256" x14ac:dyDescent="0.25">
      <c r="A64" t="e">
        <f>AND(#REF!,"AAAAAGWOxgA=")</f>
        <v>#REF!</v>
      </c>
      <c r="B64" t="e">
        <f>AND(#REF!,"AAAAAGWOxgE=")</f>
        <v>#REF!</v>
      </c>
      <c r="C64" t="e">
        <f>AND(#REF!,"AAAAAGWOxgI=")</f>
        <v>#REF!</v>
      </c>
      <c r="D64" t="e">
        <f>AND(#REF!,"AAAAAGWOxgM=")</f>
        <v>#REF!</v>
      </c>
      <c r="E64" t="e">
        <f>IF(#REF!,"AAAAAGWOxgQ=",0)</f>
        <v>#REF!</v>
      </c>
      <c r="F64" t="e">
        <f>AND(#REF!,"AAAAAGWOxgU=")</f>
        <v>#REF!</v>
      </c>
      <c r="G64" t="e">
        <f>AND(#REF!,"AAAAAGWOxgY=")</f>
        <v>#REF!</v>
      </c>
      <c r="H64" t="e">
        <f>AND(#REF!,"AAAAAGWOxgc=")</f>
        <v>#REF!</v>
      </c>
      <c r="I64" t="e">
        <f>AND(#REF!,"AAAAAGWOxgg=")</f>
        <v>#REF!</v>
      </c>
      <c r="J64" t="e">
        <f>AND(#REF!,"AAAAAGWOxgk=")</f>
        <v>#REF!</v>
      </c>
      <c r="K64" t="e">
        <f>AND(#REF!,"AAAAAGWOxgo=")</f>
        <v>#REF!</v>
      </c>
      <c r="L64" t="e">
        <f>IF(#REF!,"AAAAAGWOxgs=",0)</f>
        <v>#REF!</v>
      </c>
      <c r="M64" t="e">
        <f>AND(#REF!,"AAAAAGWOxgw=")</f>
        <v>#REF!</v>
      </c>
      <c r="N64" t="e">
        <f>AND(#REF!,"AAAAAGWOxg0=")</f>
        <v>#REF!</v>
      </c>
      <c r="O64" t="e">
        <f>AND(#REF!,"AAAAAGWOxg4=")</f>
        <v>#REF!</v>
      </c>
      <c r="P64" t="e">
        <f>AND(#REF!,"AAAAAGWOxg8=")</f>
        <v>#REF!</v>
      </c>
      <c r="Q64" t="e">
        <f>AND(#REF!,"AAAAAGWOxhA=")</f>
        <v>#REF!</v>
      </c>
      <c r="R64" t="e">
        <f>AND(#REF!,"AAAAAGWOxhE=")</f>
        <v>#REF!</v>
      </c>
      <c r="S64" t="e">
        <f>IF(#REF!,"AAAAAGWOxhI=",0)</f>
        <v>#REF!</v>
      </c>
      <c r="T64" t="e">
        <f>AND(#REF!,"AAAAAGWOxhM=")</f>
        <v>#REF!</v>
      </c>
      <c r="U64" t="e">
        <f>AND(#REF!,"AAAAAGWOxhQ=")</f>
        <v>#REF!</v>
      </c>
      <c r="V64" t="e">
        <f>AND(#REF!,"AAAAAGWOxhU=")</f>
        <v>#REF!</v>
      </c>
      <c r="W64" t="e">
        <f>AND(#REF!,"AAAAAGWOxhY=")</f>
        <v>#REF!</v>
      </c>
      <c r="X64" t="e">
        <f>AND(#REF!,"AAAAAGWOxhc=")</f>
        <v>#REF!</v>
      </c>
      <c r="Y64" t="e">
        <f>AND(#REF!,"AAAAAGWOxhg=")</f>
        <v>#REF!</v>
      </c>
      <c r="Z64" t="e">
        <f>IF(#REF!,"AAAAAGWOxhk=",0)</f>
        <v>#REF!</v>
      </c>
      <c r="AA64" t="e">
        <f>AND(#REF!,"AAAAAGWOxho=")</f>
        <v>#REF!</v>
      </c>
      <c r="AB64" t="e">
        <f>AND(#REF!,"AAAAAGWOxhs=")</f>
        <v>#REF!</v>
      </c>
      <c r="AC64" t="e">
        <f>AND(#REF!,"AAAAAGWOxhw=")</f>
        <v>#REF!</v>
      </c>
      <c r="AD64" t="e">
        <f>AND(#REF!,"AAAAAGWOxh0=")</f>
        <v>#REF!</v>
      </c>
      <c r="AE64" t="e">
        <f>AND(#REF!,"AAAAAGWOxh4=")</f>
        <v>#REF!</v>
      </c>
      <c r="AF64" t="e">
        <f>AND(#REF!,"AAAAAGWOxh8=")</f>
        <v>#REF!</v>
      </c>
      <c r="AG64" t="e">
        <f>IF(#REF!,"AAAAAGWOxiA=",0)</f>
        <v>#REF!</v>
      </c>
      <c r="AH64" t="e">
        <f>AND(#REF!,"AAAAAGWOxiE=")</f>
        <v>#REF!</v>
      </c>
      <c r="AI64" t="e">
        <f>AND(#REF!,"AAAAAGWOxiI=")</f>
        <v>#REF!</v>
      </c>
      <c r="AJ64" t="e">
        <f>AND(#REF!,"AAAAAGWOxiM=")</f>
        <v>#REF!</v>
      </c>
      <c r="AK64" t="e">
        <f>AND(#REF!,"AAAAAGWOxiQ=")</f>
        <v>#REF!</v>
      </c>
      <c r="AL64" t="e">
        <f>AND(#REF!,"AAAAAGWOxiU=")</f>
        <v>#REF!</v>
      </c>
      <c r="AM64" t="e">
        <f>AND(#REF!,"AAAAAGWOxiY=")</f>
        <v>#REF!</v>
      </c>
      <c r="AN64" t="e">
        <f>IF(#REF!,"AAAAAGWOxic=",0)</f>
        <v>#REF!</v>
      </c>
      <c r="AO64" t="e">
        <f>AND(#REF!,"AAAAAGWOxig=")</f>
        <v>#REF!</v>
      </c>
      <c r="AP64" t="e">
        <f>AND(#REF!,"AAAAAGWOxik=")</f>
        <v>#REF!</v>
      </c>
      <c r="AQ64" t="e">
        <f>AND(#REF!,"AAAAAGWOxio=")</f>
        <v>#REF!</v>
      </c>
      <c r="AR64" t="e">
        <f>AND(#REF!,"AAAAAGWOxis=")</f>
        <v>#REF!</v>
      </c>
      <c r="AS64" t="e">
        <f>AND(#REF!,"AAAAAGWOxiw=")</f>
        <v>#REF!</v>
      </c>
      <c r="AT64" t="e">
        <f>AND(#REF!,"AAAAAGWOxi0=")</f>
        <v>#REF!</v>
      </c>
      <c r="AU64" t="e">
        <f>IF(#REF!,"AAAAAGWOxi4=",0)</f>
        <v>#REF!</v>
      </c>
      <c r="AV64" t="e">
        <f>AND(#REF!,"AAAAAGWOxi8=")</f>
        <v>#REF!</v>
      </c>
      <c r="AW64" t="e">
        <f>AND(#REF!,"AAAAAGWOxjA=")</f>
        <v>#REF!</v>
      </c>
      <c r="AX64" t="e">
        <f>AND(#REF!,"AAAAAGWOxjE=")</f>
        <v>#REF!</v>
      </c>
      <c r="AY64" t="e">
        <f>AND(#REF!,"AAAAAGWOxjI=")</f>
        <v>#REF!</v>
      </c>
      <c r="AZ64" t="e">
        <f>AND(#REF!,"AAAAAGWOxjM=")</f>
        <v>#REF!</v>
      </c>
      <c r="BA64" t="e">
        <f>AND(#REF!,"AAAAAGWOxjQ=")</f>
        <v>#REF!</v>
      </c>
      <c r="BB64" t="e">
        <f>IF(#REF!,"AAAAAGWOxjU=",0)</f>
        <v>#REF!</v>
      </c>
      <c r="BC64" t="e">
        <f>AND(#REF!,"AAAAAGWOxjY=")</f>
        <v>#REF!</v>
      </c>
      <c r="BD64" t="e">
        <f>AND(#REF!,"AAAAAGWOxjc=")</f>
        <v>#REF!</v>
      </c>
      <c r="BE64" t="e">
        <f>AND(#REF!,"AAAAAGWOxjg=")</f>
        <v>#REF!</v>
      </c>
      <c r="BF64" t="e">
        <f>AND(#REF!,"AAAAAGWOxjk=")</f>
        <v>#REF!</v>
      </c>
      <c r="BG64" t="e">
        <f>AND(#REF!,"AAAAAGWOxjo=")</f>
        <v>#REF!</v>
      </c>
      <c r="BH64" t="e">
        <f>AND(#REF!,"AAAAAGWOxjs=")</f>
        <v>#REF!</v>
      </c>
      <c r="BI64" t="e">
        <f>IF(#REF!,"AAAAAGWOxjw=",0)</f>
        <v>#REF!</v>
      </c>
      <c r="BJ64" t="e">
        <f>AND(#REF!,"AAAAAGWOxj0=")</f>
        <v>#REF!</v>
      </c>
      <c r="BK64" t="e">
        <f>AND(#REF!,"AAAAAGWOxj4=")</f>
        <v>#REF!</v>
      </c>
      <c r="BL64" t="e">
        <f>AND(#REF!,"AAAAAGWOxj8=")</f>
        <v>#REF!</v>
      </c>
      <c r="BM64" t="e">
        <f>AND(#REF!,"AAAAAGWOxkA=")</f>
        <v>#REF!</v>
      </c>
      <c r="BN64" t="e">
        <f>AND(#REF!,"AAAAAGWOxkE=")</f>
        <v>#REF!</v>
      </c>
      <c r="BO64" t="e">
        <f>AND(#REF!,"AAAAAGWOxkI=")</f>
        <v>#REF!</v>
      </c>
      <c r="BP64" t="e">
        <f>IF(#REF!,"AAAAAGWOxkM=",0)</f>
        <v>#REF!</v>
      </c>
      <c r="BQ64" t="e">
        <f>AND(#REF!,"AAAAAGWOxkQ=")</f>
        <v>#REF!</v>
      </c>
      <c r="BR64" t="e">
        <f>AND(#REF!,"AAAAAGWOxkU=")</f>
        <v>#REF!</v>
      </c>
      <c r="BS64" t="e">
        <f>AND(#REF!,"AAAAAGWOxkY=")</f>
        <v>#REF!</v>
      </c>
      <c r="BT64" t="e">
        <f>AND(#REF!,"AAAAAGWOxkc=")</f>
        <v>#REF!</v>
      </c>
      <c r="BU64" t="e">
        <f>AND(#REF!,"AAAAAGWOxkg=")</f>
        <v>#REF!</v>
      </c>
      <c r="BV64" t="e">
        <f>AND(#REF!,"AAAAAGWOxkk=")</f>
        <v>#REF!</v>
      </c>
      <c r="BW64" t="e">
        <f>IF(#REF!,"AAAAAGWOxko=",0)</f>
        <v>#REF!</v>
      </c>
      <c r="BX64" t="e">
        <f>AND(#REF!,"AAAAAGWOxks=")</f>
        <v>#REF!</v>
      </c>
      <c r="BY64" t="e">
        <f>AND(#REF!,"AAAAAGWOxkw=")</f>
        <v>#REF!</v>
      </c>
      <c r="BZ64" t="e">
        <f>AND(#REF!,"AAAAAGWOxk0=")</f>
        <v>#REF!</v>
      </c>
      <c r="CA64" t="e">
        <f>AND(#REF!,"AAAAAGWOxk4=")</f>
        <v>#REF!</v>
      </c>
      <c r="CB64" t="e">
        <f>AND(#REF!,"AAAAAGWOxk8=")</f>
        <v>#REF!</v>
      </c>
      <c r="CC64" t="e">
        <f>AND(#REF!,"AAAAAGWOxlA=")</f>
        <v>#REF!</v>
      </c>
      <c r="CD64" t="e">
        <f>IF(#REF!,"AAAAAGWOxlE=",0)</f>
        <v>#REF!</v>
      </c>
      <c r="CE64" t="e">
        <f>AND(#REF!,"AAAAAGWOxlI=")</f>
        <v>#REF!</v>
      </c>
      <c r="CF64" t="e">
        <f>AND(#REF!,"AAAAAGWOxlM=")</f>
        <v>#REF!</v>
      </c>
      <c r="CG64" t="e">
        <f>AND(#REF!,"AAAAAGWOxlQ=")</f>
        <v>#REF!</v>
      </c>
      <c r="CH64" t="e">
        <f>AND(#REF!,"AAAAAGWOxlU=")</f>
        <v>#REF!</v>
      </c>
      <c r="CI64" t="e">
        <f>AND(#REF!,"AAAAAGWOxlY=")</f>
        <v>#REF!</v>
      </c>
      <c r="CJ64" t="e">
        <f>AND(#REF!,"AAAAAGWOxlc=")</f>
        <v>#REF!</v>
      </c>
      <c r="CK64" t="e">
        <f>IF(#REF!,"AAAAAGWOxlg=",0)</f>
        <v>#REF!</v>
      </c>
      <c r="CL64" t="e">
        <f>AND(#REF!,"AAAAAGWOxlk=")</f>
        <v>#REF!</v>
      </c>
      <c r="CM64" t="e">
        <f>AND(#REF!,"AAAAAGWOxlo=")</f>
        <v>#REF!</v>
      </c>
      <c r="CN64" t="e">
        <f>AND(#REF!,"AAAAAGWOxls=")</f>
        <v>#REF!</v>
      </c>
      <c r="CO64" t="e">
        <f>AND(#REF!,"AAAAAGWOxlw=")</f>
        <v>#REF!</v>
      </c>
      <c r="CP64" t="e">
        <f>AND(#REF!,"AAAAAGWOxl0=")</f>
        <v>#REF!</v>
      </c>
      <c r="CQ64" t="e">
        <f>AND(#REF!,"AAAAAGWOxl4=")</f>
        <v>#REF!</v>
      </c>
      <c r="CR64" t="e">
        <f>IF(#REF!,"AAAAAGWOxl8=",0)</f>
        <v>#REF!</v>
      </c>
      <c r="CS64" t="e">
        <f>AND(#REF!,"AAAAAGWOxmA=")</f>
        <v>#REF!</v>
      </c>
      <c r="CT64" t="e">
        <f>AND(#REF!,"AAAAAGWOxmE=")</f>
        <v>#REF!</v>
      </c>
      <c r="CU64" t="e">
        <f>AND(#REF!,"AAAAAGWOxmI=")</f>
        <v>#REF!</v>
      </c>
      <c r="CV64" t="e">
        <f>AND(#REF!,"AAAAAGWOxmM=")</f>
        <v>#REF!</v>
      </c>
      <c r="CW64" t="e">
        <f>AND(#REF!,"AAAAAGWOxmQ=")</f>
        <v>#REF!</v>
      </c>
      <c r="CX64" t="e">
        <f>AND(#REF!,"AAAAAGWOxmU=")</f>
        <v>#REF!</v>
      </c>
      <c r="CY64" t="e">
        <f>IF(#REF!,"AAAAAGWOxmY=",0)</f>
        <v>#REF!</v>
      </c>
      <c r="CZ64" t="e">
        <f>AND(#REF!,"AAAAAGWOxmc=")</f>
        <v>#REF!</v>
      </c>
      <c r="DA64" t="e">
        <f>AND(#REF!,"AAAAAGWOxmg=")</f>
        <v>#REF!</v>
      </c>
      <c r="DB64" t="e">
        <f>AND(#REF!,"AAAAAGWOxmk=")</f>
        <v>#REF!</v>
      </c>
      <c r="DC64" t="e">
        <f>AND(#REF!,"AAAAAGWOxmo=")</f>
        <v>#REF!</v>
      </c>
      <c r="DD64" t="e">
        <f>AND(#REF!,"AAAAAGWOxms=")</f>
        <v>#REF!</v>
      </c>
      <c r="DE64" t="e">
        <f>AND(#REF!,"AAAAAGWOxmw=")</f>
        <v>#REF!</v>
      </c>
      <c r="DF64" t="e">
        <f>IF(#REF!,"AAAAAGWOxm0=",0)</f>
        <v>#REF!</v>
      </c>
      <c r="DG64" t="e">
        <f>AND(#REF!,"AAAAAGWOxm4=")</f>
        <v>#REF!</v>
      </c>
      <c r="DH64" t="e">
        <f>AND(#REF!,"AAAAAGWOxm8=")</f>
        <v>#REF!</v>
      </c>
      <c r="DI64" t="e">
        <f>AND(#REF!,"AAAAAGWOxnA=")</f>
        <v>#REF!</v>
      </c>
      <c r="DJ64" t="e">
        <f>AND(#REF!,"AAAAAGWOxnE=")</f>
        <v>#REF!</v>
      </c>
      <c r="DK64" t="e">
        <f>AND(#REF!,"AAAAAGWOxnI=")</f>
        <v>#REF!</v>
      </c>
      <c r="DL64" t="e">
        <f>AND(#REF!,"AAAAAGWOxnM=")</f>
        <v>#REF!</v>
      </c>
      <c r="DM64" t="e">
        <f>IF(#REF!,"AAAAAGWOxnQ=",0)</f>
        <v>#REF!</v>
      </c>
      <c r="DN64" t="e">
        <f>AND(#REF!,"AAAAAGWOxnU=")</f>
        <v>#REF!</v>
      </c>
      <c r="DO64" t="e">
        <f>AND(#REF!,"AAAAAGWOxnY=")</f>
        <v>#REF!</v>
      </c>
      <c r="DP64" t="e">
        <f>AND(#REF!,"AAAAAGWOxnc=")</f>
        <v>#REF!</v>
      </c>
      <c r="DQ64" t="e">
        <f>AND(#REF!,"AAAAAGWOxng=")</f>
        <v>#REF!</v>
      </c>
      <c r="DR64" t="e">
        <f>AND(#REF!,"AAAAAGWOxnk=")</f>
        <v>#REF!</v>
      </c>
      <c r="DS64" t="e">
        <f>AND(#REF!,"AAAAAGWOxno=")</f>
        <v>#REF!</v>
      </c>
      <c r="DT64" t="e">
        <f>IF(#REF!,"AAAAAGWOxns=",0)</f>
        <v>#REF!</v>
      </c>
      <c r="DU64" t="e">
        <f>AND(#REF!,"AAAAAGWOxnw=")</f>
        <v>#REF!</v>
      </c>
      <c r="DV64" t="e">
        <f>AND(#REF!,"AAAAAGWOxn0=")</f>
        <v>#REF!</v>
      </c>
      <c r="DW64" t="e">
        <f>AND(#REF!,"AAAAAGWOxn4=")</f>
        <v>#REF!</v>
      </c>
      <c r="DX64" t="e">
        <f>AND(#REF!,"AAAAAGWOxn8=")</f>
        <v>#REF!</v>
      </c>
      <c r="DY64" t="e">
        <f>AND(#REF!,"AAAAAGWOxoA=")</f>
        <v>#REF!</v>
      </c>
      <c r="DZ64" t="e">
        <f>AND(#REF!,"AAAAAGWOxoE=")</f>
        <v>#REF!</v>
      </c>
      <c r="EA64" t="e">
        <f>IF(#REF!,"AAAAAGWOxoI=",0)</f>
        <v>#REF!</v>
      </c>
      <c r="EB64" t="e">
        <f>AND(#REF!,"AAAAAGWOxoM=")</f>
        <v>#REF!</v>
      </c>
      <c r="EC64" t="e">
        <f>AND(#REF!,"AAAAAGWOxoQ=")</f>
        <v>#REF!</v>
      </c>
      <c r="ED64" t="e">
        <f>AND(#REF!,"AAAAAGWOxoU=")</f>
        <v>#REF!</v>
      </c>
      <c r="EE64" t="e">
        <f>AND(#REF!,"AAAAAGWOxoY=")</f>
        <v>#REF!</v>
      </c>
      <c r="EF64" t="e">
        <f>AND(#REF!,"AAAAAGWOxoc=")</f>
        <v>#REF!</v>
      </c>
      <c r="EG64" t="e">
        <f>AND(#REF!,"AAAAAGWOxog=")</f>
        <v>#REF!</v>
      </c>
      <c r="EH64" t="e">
        <f>IF(#REF!,"AAAAAGWOxok=",0)</f>
        <v>#REF!</v>
      </c>
      <c r="EI64" t="e">
        <f>AND(#REF!,"AAAAAGWOxoo=")</f>
        <v>#REF!</v>
      </c>
      <c r="EJ64" t="e">
        <f>AND(#REF!,"AAAAAGWOxos=")</f>
        <v>#REF!</v>
      </c>
      <c r="EK64" t="e">
        <f>AND(#REF!,"AAAAAGWOxow=")</f>
        <v>#REF!</v>
      </c>
      <c r="EL64" t="e">
        <f>AND(#REF!,"AAAAAGWOxo0=")</f>
        <v>#REF!</v>
      </c>
      <c r="EM64" t="e">
        <f>AND(#REF!,"AAAAAGWOxo4=")</f>
        <v>#REF!</v>
      </c>
      <c r="EN64" t="e">
        <f>AND(#REF!,"AAAAAGWOxo8=")</f>
        <v>#REF!</v>
      </c>
      <c r="EO64" t="e">
        <f>IF(#REF!,"AAAAAGWOxpA=",0)</f>
        <v>#REF!</v>
      </c>
      <c r="EP64" t="e">
        <f>AND(#REF!,"AAAAAGWOxpE=")</f>
        <v>#REF!</v>
      </c>
      <c r="EQ64" t="e">
        <f>AND(#REF!,"AAAAAGWOxpI=")</f>
        <v>#REF!</v>
      </c>
      <c r="ER64" t="e">
        <f>AND(#REF!,"AAAAAGWOxpM=")</f>
        <v>#REF!</v>
      </c>
      <c r="ES64" t="e">
        <f>AND(#REF!,"AAAAAGWOxpQ=")</f>
        <v>#REF!</v>
      </c>
      <c r="ET64" t="e">
        <f>AND(#REF!,"AAAAAGWOxpU=")</f>
        <v>#REF!</v>
      </c>
      <c r="EU64" t="e">
        <f>AND(#REF!,"AAAAAGWOxpY=")</f>
        <v>#REF!</v>
      </c>
      <c r="EV64" t="e">
        <f>IF(#REF!,"AAAAAGWOxpc=",0)</f>
        <v>#REF!</v>
      </c>
      <c r="EW64" t="e">
        <f>AND(#REF!,"AAAAAGWOxpg=")</f>
        <v>#REF!</v>
      </c>
      <c r="EX64" t="e">
        <f>AND(#REF!,"AAAAAGWOxpk=")</f>
        <v>#REF!</v>
      </c>
      <c r="EY64" t="e">
        <f>AND(#REF!,"AAAAAGWOxpo=")</f>
        <v>#REF!</v>
      </c>
      <c r="EZ64" t="e">
        <f>AND(#REF!,"AAAAAGWOxps=")</f>
        <v>#REF!</v>
      </c>
      <c r="FA64" t="e">
        <f>AND(#REF!,"AAAAAGWOxpw=")</f>
        <v>#REF!</v>
      </c>
      <c r="FB64" t="e">
        <f>AND(#REF!,"AAAAAGWOxp0=")</f>
        <v>#REF!</v>
      </c>
      <c r="FC64" t="e">
        <f>IF(#REF!,"AAAAAGWOxp4=",0)</f>
        <v>#REF!</v>
      </c>
      <c r="FD64" t="e">
        <f>AND(#REF!,"AAAAAGWOxp8=")</f>
        <v>#REF!</v>
      </c>
      <c r="FE64" t="e">
        <f>AND(#REF!,"AAAAAGWOxqA=")</f>
        <v>#REF!</v>
      </c>
      <c r="FF64" t="e">
        <f>AND(#REF!,"AAAAAGWOxqE=")</f>
        <v>#REF!</v>
      </c>
      <c r="FG64" t="e">
        <f>AND(#REF!,"AAAAAGWOxqI=")</f>
        <v>#REF!</v>
      </c>
      <c r="FH64" t="e">
        <f>AND(#REF!,"AAAAAGWOxqM=")</f>
        <v>#REF!</v>
      </c>
      <c r="FI64" t="e">
        <f>AND(#REF!,"AAAAAGWOxqQ=")</f>
        <v>#REF!</v>
      </c>
      <c r="FJ64" t="e">
        <f>IF(#REF!,"AAAAAGWOxqU=",0)</f>
        <v>#REF!</v>
      </c>
      <c r="FK64" t="e">
        <f>AND(#REF!,"AAAAAGWOxqY=")</f>
        <v>#REF!</v>
      </c>
      <c r="FL64" t="e">
        <f>AND(#REF!,"AAAAAGWOxqc=")</f>
        <v>#REF!</v>
      </c>
      <c r="FM64" t="e">
        <f>AND(#REF!,"AAAAAGWOxqg=")</f>
        <v>#REF!</v>
      </c>
      <c r="FN64" t="e">
        <f>AND(#REF!,"AAAAAGWOxqk=")</f>
        <v>#REF!</v>
      </c>
      <c r="FO64" t="e">
        <f>AND(#REF!,"AAAAAGWOxqo=")</f>
        <v>#REF!</v>
      </c>
      <c r="FP64" t="e">
        <f>AND(#REF!,"AAAAAGWOxqs=")</f>
        <v>#REF!</v>
      </c>
      <c r="FQ64" t="e">
        <f>IF(#REF!,"AAAAAGWOxqw=",0)</f>
        <v>#REF!</v>
      </c>
      <c r="FR64" t="e">
        <f>AND(#REF!,"AAAAAGWOxq0=")</f>
        <v>#REF!</v>
      </c>
      <c r="FS64" t="e">
        <f>AND(#REF!,"AAAAAGWOxq4=")</f>
        <v>#REF!</v>
      </c>
      <c r="FT64" t="e">
        <f>AND(#REF!,"AAAAAGWOxq8=")</f>
        <v>#REF!</v>
      </c>
      <c r="FU64" t="e">
        <f>AND(#REF!,"AAAAAGWOxrA=")</f>
        <v>#REF!</v>
      </c>
      <c r="FV64" t="e">
        <f>AND(#REF!,"AAAAAGWOxrE=")</f>
        <v>#REF!</v>
      </c>
      <c r="FW64" t="e">
        <f>AND(#REF!,"AAAAAGWOxrI=")</f>
        <v>#REF!</v>
      </c>
      <c r="FX64" t="e">
        <f>IF(#REF!,"AAAAAGWOxrM=",0)</f>
        <v>#REF!</v>
      </c>
      <c r="FY64" t="e">
        <f>AND(#REF!,"AAAAAGWOxrQ=")</f>
        <v>#REF!</v>
      </c>
      <c r="FZ64" t="e">
        <f>AND(#REF!,"AAAAAGWOxrU=")</f>
        <v>#REF!</v>
      </c>
      <c r="GA64" t="e">
        <f>AND(#REF!,"AAAAAGWOxrY=")</f>
        <v>#REF!</v>
      </c>
      <c r="GB64" t="e">
        <f>AND(#REF!,"AAAAAGWOxrc=")</f>
        <v>#REF!</v>
      </c>
      <c r="GC64" t="e">
        <f>AND(#REF!,"AAAAAGWOxrg=")</f>
        <v>#REF!</v>
      </c>
      <c r="GD64" t="e">
        <f>AND(#REF!,"AAAAAGWOxrk=")</f>
        <v>#REF!</v>
      </c>
      <c r="GE64" t="e">
        <f>IF(#REF!,"AAAAAGWOxro=",0)</f>
        <v>#REF!</v>
      </c>
      <c r="GF64" t="e">
        <f>AND(#REF!,"AAAAAGWOxrs=")</f>
        <v>#REF!</v>
      </c>
      <c r="GG64" t="e">
        <f>AND(#REF!,"AAAAAGWOxrw=")</f>
        <v>#REF!</v>
      </c>
      <c r="GH64" t="e">
        <f>AND(#REF!,"AAAAAGWOxr0=")</f>
        <v>#REF!</v>
      </c>
      <c r="GI64" t="e">
        <f>AND(#REF!,"AAAAAGWOxr4=")</f>
        <v>#REF!</v>
      </c>
      <c r="GJ64" t="e">
        <f>AND(#REF!,"AAAAAGWOxr8=")</f>
        <v>#REF!</v>
      </c>
      <c r="GK64" t="e">
        <f>AND(#REF!,"AAAAAGWOxsA=")</f>
        <v>#REF!</v>
      </c>
      <c r="GL64" t="e">
        <f>IF(#REF!,"AAAAAGWOxsE=",0)</f>
        <v>#REF!</v>
      </c>
      <c r="GM64" t="e">
        <f>AND(#REF!,"AAAAAGWOxsI=")</f>
        <v>#REF!</v>
      </c>
      <c r="GN64" t="e">
        <f>AND(#REF!,"AAAAAGWOxsM=")</f>
        <v>#REF!</v>
      </c>
      <c r="GO64" t="e">
        <f>AND(#REF!,"AAAAAGWOxsQ=")</f>
        <v>#REF!</v>
      </c>
      <c r="GP64" t="e">
        <f>AND(#REF!,"AAAAAGWOxsU=")</f>
        <v>#REF!</v>
      </c>
      <c r="GQ64" t="e">
        <f>AND(#REF!,"AAAAAGWOxsY=")</f>
        <v>#REF!</v>
      </c>
      <c r="GR64" t="e">
        <f>AND(#REF!,"AAAAAGWOxsc=")</f>
        <v>#REF!</v>
      </c>
      <c r="GS64" t="e">
        <f>IF(#REF!,"AAAAAGWOxsg=",0)</f>
        <v>#REF!</v>
      </c>
      <c r="GT64" t="e">
        <f>AND(#REF!,"AAAAAGWOxsk=")</f>
        <v>#REF!</v>
      </c>
      <c r="GU64" t="e">
        <f>AND(#REF!,"AAAAAGWOxso=")</f>
        <v>#REF!</v>
      </c>
      <c r="GV64" t="e">
        <f>AND(#REF!,"AAAAAGWOxss=")</f>
        <v>#REF!</v>
      </c>
      <c r="GW64" t="e">
        <f>AND(#REF!,"AAAAAGWOxsw=")</f>
        <v>#REF!</v>
      </c>
      <c r="GX64" t="e">
        <f>AND(#REF!,"AAAAAGWOxs0=")</f>
        <v>#REF!</v>
      </c>
      <c r="GY64" t="e">
        <f>AND(#REF!,"AAAAAGWOxs4=")</f>
        <v>#REF!</v>
      </c>
      <c r="GZ64" t="e">
        <f>IF(#REF!,"AAAAAGWOxs8=",0)</f>
        <v>#REF!</v>
      </c>
      <c r="HA64" t="e">
        <f>AND(#REF!,"AAAAAGWOxtA=")</f>
        <v>#REF!</v>
      </c>
      <c r="HB64" t="e">
        <f>AND(#REF!,"AAAAAGWOxtE=")</f>
        <v>#REF!</v>
      </c>
      <c r="HC64" t="e">
        <f>AND(#REF!,"AAAAAGWOxtI=")</f>
        <v>#REF!</v>
      </c>
      <c r="HD64" t="e">
        <f>AND(#REF!,"AAAAAGWOxtM=")</f>
        <v>#REF!</v>
      </c>
      <c r="HE64" t="e">
        <f>AND(#REF!,"AAAAAGWOxtQ=")</f>
        <v>#REF!</v>
      </c>
      <c r="HF64" t="e">
        <f>AND(#REF!,"AAAAAGWOxtU=")</f>
        <v>#REF!</v>
      </c>
      <c r="HG64" t="e">
        <f>IF(#REF!,"AAAAAGWOxtY=",0)</f>
        <v>#REF!</v>
      </c>
      <c r="HH64" t="e">
        <f>AND(#REF!,"AAAAAGWOxtc=")</f>
        <v>#REF!</v>
      </c>
      <c r="HI64" t="e">
        <f>AND(#REF!,"AAAAAGWOxtg=")</f>
        <v>#REF!</v>
      </c>
      <c r="HJ64" t="e">
        <f>AND(#REF!,"AAAAAGWOxtk=")</f>
        <v>#REF!</v>
      </c>
      <c r="HK64" t="e">
        <f>AND(#REF!,"AAAAAGWOxto=")</f>
        <v>#REF!</v>
      </c>
      <c r="HL64" t="e">
        <f>AND(#REF!,"AAAAAGWOxts=")</f>
        <v>#REF!</v>
      </c>
      <c r="HM64" t="e">
        <f>AND(#REF!,"AAAAAGWOxtw=")</f>
        <v>#REF!</v>
      </c>
      <c r="HN64" t="e">
        <f>IF(#REF!,"AAAAAGWOxt0=",0)</f>
        <v>#REF!</v>
      </c>
      <c r="HO64" t="e">
        <f>AND(#REF!,"AAAAAGWOxt4=")</f>
        <v>#REF!</v>
      </c>
      <c r="HP64" t="e">
        <f>AND(#REF!,"AAAAAGWOxt8=")</f>
        <v>#REF!</v>
      </c>
      <c r="HQ64" t="e">
        <f>AND(#REF!,"AAAAAGWOxuA=")</f>
        <v>#REF!</v>
      </c>
      <c r="HR64" t="e">
        <f>AND(#REF!,"AAAAAGWOxuE=")</f>
        <v>#REF!</v>
      </c>
      <c r="HS64" t="e">
        <f>AND(#REF!,"AAAAAGWOxuI=")</f>
        <v>#REF!</v>
      </c>
      <c r="HT64" t="e">
        <f>AND(#REF!,"AAAAAGWOxuM=")</f>
        <v>#REF!</v>
      </c>
      <c r="HU64" t="e">
        <f>IF(#REF!,"AAAAAGWOxuQ=",0)</f>
        <v>#REF!</v>
      </c>
      <c r="HV64" t="e">
        <f>AND(#REF!,"AAAAAGWOxuU=")</f>
        <v>#REF!</v>
      </c>
      <c r="HW64" t="e">
        <f>AND(#REF!,"AAAAAGWOxuY=")</f>
        <v>#REF!</v>
      </c>
      <c r="HX64" t="e">
        <f>AND(#REF!,"AAAAAGWOxuc=")</f>
        <v>#REF!</v>
      </c>
      <c r="HY64" t="e">
        <f>AND(#REF!,"AAAAAGWOxug=")</f>
        <v>#REF!</v>
      </c>
      <c r="HZ64" t="e">
        <f>AND(#REF!,"AAAAAGWOxuk=")</f>
        <v>#REF!</v>
      </c>
      <c r="IA64" t="e">
        <f>AND(#REF!,"AAAAAGWOxuo=")</f>
        <v>#REF!</v>
      </c>
      <c r="IB64" t="e">
        <f>IF(#REF!,"AAAAAGWOxus=",0)</f>
        <v>#REF!</v>
      </c>
      <c r="IC64" t="e">
        <f>AND(#REF!,"AAAAAGWOxuw=")</f>
        <v>#REF!</v>
      </c>
      <c r="ID64" t="e">
        <f>AND(#REF!,"AAAAAGWOxu0=")</f>
        <v>#REF!</v>
      </c>
      <c r="IE64" t="e">
        <f>AND(#REF!,"AAAAAGWOxu4=")</f>
        <v>#REF!</v>
      </c>
      <c r="IF64" t="e">
        <f>AND(#REF!,"AAAAAGWOxu8=")</f>
        <v>#REF!</v>
      </c>
      <c r="IG64" t="e">
        <f>AND(#REF!,"AAAAAGWOxvA=")</f>
        <v>#REF!</v>
      </c>
      <c r="IH64" t="e">
        <f>AND(#REF!,"AAAAAGWOxvE=")</f>
        <v>#REF!</v>
      </c>
      <c r="II64" t="e">
        <f>IF(#REF!,"AAAAAGWOxvI=",0)</f>
        <v>#REF!</v>
      </c>
      <c r="IJ64" t="e">
        <f>AND(#REF!,"AAAAAGWOxvM=")</f>
        <v>#REF!</v>
      </c>
      <c r="IK64" t="e">
        <f>AND(#REF!,"AAAAAGWOxvQ=")</f>
        <v>#REF!</v>
      </c>
      <c r="IL64" t="e">
        <f>AND(#REF!,"AAAAAGWOxvU=")</f>
        <v>#REF!</v>
      </c>
      <c r="IM64" t="e">
        <f>AND(#REF!,"AAAAAGWOxvY=")</f>
        <v>#REF!</v>
      </c>
      <c r="IN64" t="e">
        <f>AND(#REF!,"AAAAAGWOxvc=")</f>
        <v>#REF!</v>
      </c>
      <c r="IO64" t="e">
        <f>AND(#REF!,"AAAAAGWOxvg=")</f>
        <v>#REF!</v>
      </c>
      <c r="IP64" t="e">
        <f>IF(#REF!,"AAAAAGWOxvk=",0)</f>
        <v>#REF!</v>
      </c>
      <c r="IQ64" t="e">
        <f>AND(#REF!,"AAAAAGWOxvo=")</f>
        <v>#REF!</v>
      </c>
      <c r="IR64" t="e">
        <f>AND(#REF!,"AAAAAGWOxvs=")</f>
        <v>#REF!</v>
      </c>
      <c r="IS64" t="e">
        <f>AND(#REF!,"AAAAAGWOxvw=")</f>
        <v>#REF!</v>
      </c>
      <c r="IT64" t="e">
        <f>AND(#REF!,"AAAAAGWOxv0=")</f>
        <v>#REF!</v>
      </c>
      <c r="IU64" t="e">
        <f>AND(#REF!,"AAAAAGWOxv4=")</f>
        <v>#REF!</v>
      </c>
      <c r="IV64" t="e">
        <f>AND(#REF!,"AAAAAGWOxv8=")</f>
        <v>#REF!</v>
      </c>
    </row>
    <row r="65" spans="1:256" x14ac:dyDescent="0.25">
      <c r="A65" t="e">
        <f>IF(#REF!,"AAAAAH+/6wA=",0)</f>
        <v>#REF!</v>
      </c>
      <c r="B65" t="e">
        <f>AND(#REF!,"AAAAAH+/6wE=")</f>
        <v>#REF!</v>
      </c>
      <c r="C65" t="e">
        <f>AND(#REF!,"AAAAAH+/6wI=")</f>
        <v>#REF!</v>
      </c>
      <c r="D65" t="e">
        <f>AND(#REF!,"AAAAAH+/6wM=")</f>
        <v>#REF!</v>
      </c>
      <c r="E65" t="e">
        <f>AND(#REF!,"AAAAAH+/6wQ=")</f>
        <v>#REF!</v>
      </c>
      <c r="F65" t="e">
        <f>AND(#REF!,"AAAAAH+/6wU=")</f>
        <v>#REF!</v>
      </c>
      <c r="G65" t="e">
        <f>AND(#REF!,"AAAAAH+/6wY=")</f>
        <v>#REF!</v>
      </c>
      <c r="H65" t="e">
        <f>IF(#REF!,"AAAAAH+/6wc=",0)</f>
        <v>#REF!</v>
      </c>
      <c r="I65" t="e">
        <f>AND(#REF!,"AAAAAH+/6wg=")</f>
        <v>#REF!</v>
      </c>
      <c r="J65" t="e">
        <f>AND(#REF!,"AAAAAH+/6wk=")</f>
        <v>#REF!</v>
      </c>
      <c r="K65" t="e">
        <f>AND(#REF!,"AAAAAH+/6wo=")</f>
        <v>#REF!</v>
      </c>
      <c r="L65" t="e">
        <f>AND(#REF!,"AAAAAH+/6ws=")</f>
        <v>#REF!</v>
      </c>
      <c r="M65" t="e">
        <f>AND(#REF!,"AAAAAH+/6ww=")</f>
        <v>#REF!</v>
      </c>
      <c r="N65" t="e">
        <f>AND(#REF!,"AAAAAH+/6w0=")</f>
        <v>#REF!</v>
      </c>
      <c r="O65" t="e">
        <f>IF(#REF!,"AAAAAH+/6w4=",0)</f>
        <v>#REF!</v>
      </c>
      <c r="P65" t="e">
        <f>AND(#REF!,"AAAAAH+/6w8=")</f>
        <v>#REF!</v>
      </c>
      <c r="Q65" t="e">
        <f>AND(#REF!,"AAAAAH+/6xA=")</f>
        <v>#REF!</v>
      </c>
      <c r="R65" t="e">
        <f>AND(#REF!,"AAAAAH+/6xE=")</f>
        <v>#REF!</v>
      </c>
      <c r="S65" t="e">
        <f>AND(#REF!,"AAAAAH+/6xI=")</f>
        <v>#REF!</v>
      </c>
      <c r="T65" t="e">
        <f>AND(#REF!,"AAAAAH+/6xM=")</f>
        <v>#REF!</v>
      </c>
      <c r="U65" t="e">
        <f>AND(#REF!,"AAAAAH+/6xQ=")</f>
        <v>#REF!</v>
      </c>
      <c r="V65" t="e">
        <f>IF(#REF!,"AAAAAH+/6xU=",0)</f>
        <v>#REF!</v>
      </c>
      <c r="W65" t="e">
        <f>AND(#REF!,"AAAAAH+/6xY=")</f>
        <v>#REF!</v>
      </c>
      <c r="X65" t="e">
        <f>AND(#REF!,"AAAAAH+/6xc=")</f>
        <v>#REF!</v>
      </c>
      <c r="Y65" t="e">
        <f>AND(#REF!,"AAAAAH+/6xg=")</f>
        <v>#REF!</v>
      </c>
      <c r="Z65" t="e">
        <f>AND(#REF!,"AAAAAH+/6xk=")</f>
        <v>#REF!</v>
      </c>
      <c r="AA65" t="e">
        <f>AND(#REF!,"AAAAAH+/6xo=")</f>
        <v>#REF!</v>
      </c>
      <c r="AB65" t="e">
        <f>AND(#REF!,"AAAAAH+/6xs=")</f>
        <v>#REF!</v>
      </c>
      <c r="AC65" t="e">
        <f>IF(#REF!,"AAAAAH+/6xw=",0)</f>
        <v>#REF!</v>
      </c>
      <c r="AD65" t="e">
        <f>AND(#REF!,"AAAAAH+/6x0=")</f>
        <v>#REF!</v>
      </c>
      <c r="AE65" t="e">
        <f>AND(#REF!,"AAAAAH+/6x4=")</f>
        <v>#REF!</v>
      </c>
      <c r="AF65" t="e">
        <f>AND(#REF!,"AAAAAH+/6x8=")</f>
        <v>#REF!</v>
      </c>
      <c r="AG65" t="e">
        <f>AND(#REF!,"AAAAAH+/6yA=")</f>
        <v>#REF!</v>
      </c>
      <c r="AH65" t="e">
        <f>AND(#REF!,"AAAAAH+/6yE=")</f>
        <v>#REF!</v>
      </c>
      <c r="AI65" t="e">
        <f>AND(#REF!,"AAAAAH+/6yI=")</f>
        <v>#REF!</v>
      </c>
      <c r="AJ65" t="e">
        <f>IF(#REF!,"AAAAAH+/6yM=",0)</f>
        <v>#REF!</v>
      </c>
      <c r="AK65" t="e">
        <f>AND(#REF!,"AAAAAH+/6yQ=")</f>
        <v>#REF!</v>
      </c>
      <c r="AL65" t="e">
        <f>AND(#REF!,"AAAAAH+/6yU=")</f>
        <v>#REF!</v>
      </c>
      <c r="AM65" t="e">
        <f>AND(#REF!,"AAAAAH+/6yY=")</f>
        <v>#REF!</v>
      </c>
      <c r="AN65" t="e">
        <f>AND(#REF!,"AAAAAH+/6yc=")</f>
        <v>#REF!</v>
      </c>
      <c r="AO65" t="e">
        <f>AND(#REF!,"AAAAAH+/6yg=")</f>
        <v>#REF!</v>
      </c>
      <c r="AP65" t="e">
        <f>AND(#REF!,"AAAAAH+/6yk=")</f>
        <v>#REF!</v>
      </c>
      <c r="AQ65" t="e">
        <f>IF(#REF!,"AAAAAH+/6yo=",0)</f>
        <v>#REF!</v>
      </c>
      <c r="AR65" t="e">
        <f>AND(#REF!,"AAAAAH+/6ys=")</f>
        <v>#REF!</v>
      </c>
      <c r="AS65" t="e">
        <f>AND(#REF!,"AAAAAH+/6yw=")</f>
        <v>#REF!</v>
      </c>
      <c r="AT65" t="e">
        <f>AND(#REF!,"AAAAAH+/6y0=")</f>
        <v>#REF!</v>
      </c>
      <c r="AU65" t="e">
        <f>AND(#REF!,"AAAAAH+/6y4=")</f>
        <v>#REF!</v>
      </c>
      <c r="AV65" t="e">
        <f>AND(#REF!,"AAAAAH+/6y8=")</f>
        <v>#REF!</v>
      </c>
      <c r="AW65" t="e">
        <f>AND(#REF!,"AAAAAH+/6zA=")</f>
        <v>#REF!</v>
      </c>
      <c r="AX65" t="e">
        <f>IF(#REF!,"AAAAAH+/6zE=",0)</f>
        <v>#REF!</v>
      </c>
      <c r="AY65" t="e">
        <f>AND(#REF!,"AAAAAH+/6zI=")</f>
        <v>#REF!</v>
      </c>
      <c r="AZ65" t="e">
        <f>AND(#REF!,"AAAAAH+/6zM=")</f>
        <v>#REF!</v>
      </c>
      <c r="BA65" t="e">
        <f>AND(#REF!,"AAAAAH+/6zQ=")</f>
        <v>#REF!</v>
      </c>
      <c r="BB65" t="e">
        <f>AND(#REF!,"AAAAAH+/6zU=")</f>
        <v>#REF!</v>
      </c>
      <c r="BC65" t="e">
        <f>AND(#REF!,"AAAAAH+/6zY=")</f>
        <v>#REF!</v>
      </c>
      <c r="BD65" t="e">
        <f>AND(#REF!,"AAAAAH+/6zc=")</f>
        <v>#REF!</v>
      </c>
      <c r="BE65" t="e">
        <f>IF(#REF!,"AAAAAH+/6zg=",0)</f>
        <v>#REF!</v>
      </c>
      <c r="BF65" t="e">
        <f>AND(#REF!,"AAAAAH+/6zk=")</f>
        <v>#REF!</v>
      </c>
      <c r="BG65" t="e">
        <f>AND(#REF!,"AAAAAH+/6zo=")</f>
        <v>#REF!</v>
      </c>
      <c r="BH65" t="e">
        <f>AND(#REF!,"AAAAAH+/6zs=")</f>
        <v>#REF!</v>
      </c>
      <c r="BI65" t="e">
        <f>AND(#REF!,"AAAAAH+/6zw=")</f>
        <v>#REF!</v>
      </c>
      <c r="BJ65" t="e">
        <f>AND(#REF!,"AAAAAH+/6z0=")</f>
        <v>#REF!</v>
      </c>
      <c r="BK65" t="e">
        <f>AND(#REF!,"AAAAAH+/6z4=")</f>
        <v>#REF!</v>
      </c>
      <c r="BL65" t="e">
        <f>IF(#REF!,"AAAAAH+/6z8=",0)</f>
        <v>#REF!</v>
      </c>
      <c r="BM65" t="e">
        <f>AND(#REF!,"AAAAAH+/60A=")</f>
        <v>#REF!</v>
      </c>
      <c r="BN65" t="e">
        <f>AND(#REF!,"AAAAAH+/60E=")</f>
        <v>#REF!</v>
      </c>
      <c r="BO65" t="e">
        <f>AND(#REF!,"AAAAAH+/60I=")</f>
        <v>#REF!</v>
      </c>
      <c r="BP65" t="e">
        <f>AND(#REF!,"AAAAAH+/60M=")</f>
        <v>#REF!</v>
      </c>
      <c r="BQ65" t="e">
        <f>AND(#REF!,"AAAAAH+/60Q=")</f>
        <v>#REF!</v>
      </c>
      <c r="BR65" t="e">
        <f>AND(#REF!,"AAAAAH+/60U=")</f>
        <v>#REF!</v>
      </c>
      <c r="BS65" t="e">
        <f>IF(#REF!,"AAAAAH+/60Y=",0)</f>
        <v>#REF!</v>
      </c>
      <c r="BT65" t="e">
        <f>AND(#REF!,"AAAAAH+/60c=")</f>
        <v>#REF!</v>
      </c>
      <c r="BU65" t="e">
        <f>AND(#REF!,"AAAAAH+/60g=")</f>
        <v>#REF!</v>
      </c>
      <c r="BV65" t="e">
        <f>AND(#REF!,"AAAAAH+/60k=")</f>
        <v>#REF!</v>
      </c>
      <c r="BW65" t="e">
        <f>AND(#REF!,"AAAAAH+/60o=")</f>
        <v>#REF!</v>
      </c>
      <c r="BX65" t="e">
        <f>AND(#REF!,"AAAAAH+/60s=")</f>
        <v>#REF!</v>
      </c>
      <c r="BY65" t="e">
        <f>AND(#REF!,"AAAAAH+/60w=")</f>
        <v>#REF!</v>
      </c>
      <c r="BZ65" t="e">
        <f>IF(#REF!,"AAAAAH+/600=",0)</f>
        <v>#REF!</v>
      </c>
      <c r="CA65" t="e">
        <f>AND(#REF!,"AAAAAH+/604=")</f>
        <v>#REF!</v>
      </c>
      <c r="CB65" t="e">
        <f>AND(#REF!,"AAAAAH+/608=")</f>
        <v>#REF!</v>
      </c>
      <c r="CC65" t="e">
        <f>AND(#REF!,"AAAAAH+/61A=")</f>
        <v>#REF!</v>
      </c>
      <c r="CD65" t="e">
        <f>AND(#REF!,"AAAAAH+/61E=")</f>
        <v>#REF!</v>
      </c>
      <c r="CE65" t="e">
        <f>AND(#REF!,"AAAAAH+/61I=")</f>
        <v>#REF!</v>
      </c>
      <c r="CF65" t="e">
        <f>AND(#REF!,"AAAAAH+/61M=")</f>
        <v>#REF!</v>
      </c>
      <c r="CG65" t="e">
        <f>IF(#REF!,"AAAAAH+/61Q=",0)</f>
        <v>#REF!</v>
      </c>
      <c r="CH65" t="e">
        <f>AND(#REF!,"AAAAAH+/61U=")</f>
        <v>#REF!</v>
      </c>
      <c r="CI65" t="e">
        <f>AND(#REF!,"AAAAAH+/61Y=")</f>
        <v>#REF!</v>
      </c>
      <c r="CJ65" t="e">
        <f>AND(#REF!,"AAAAAH+/61c=")</f>
        <v>#REF!</v>
      </c>
      <c r="CK65" t="e">
        <f>AND(#REF!,"AAAAAH+/61g=")</f>
        <v>#REF!</v>
      </c>
      <c r="CL65" t="e">
        <f>AND(#REF!,"AAAAAH+/61k=")</f>
        <v>#REF!</v>
      </c>
      <c r="CM65" t="e">
        <f>AND(#REF!,"AAAAAH+/61o=")</f>
        <v>#REF!</v>
      </c>
      <c r="CN65" t="e">
        <f>IF(#REF!,"AAAAAH+/61s=",0)</f>
        <v>#REF!</v>
      </c>
      <c r="CO65" t="e">
        <f>AND(#REF!,"AAAAAH+/61w=")</f>
        <v>#REF!</v>
      </c>
      <c r="CP65" t="e">
        <f>AND(#REF!,"AAAAAH+/610=")</f>
        <v>#REF!</v>
      </c>
      <c r="CQ65" t="e">
        <f>AND(#REF!,"AAAAAH+/614=")</f>
        <v>#REF!</v>
      </c>
      <c r="CR65" t="e">
        <f>AND(#REF!,"AAAAAH+/618=")</f>
        <v>#REF!</v>
      </c>
      <c r="CS65" t="e">
        <f>AND(#REF!,"AAAAAH+/62A=")</f>
        <v>#REF!</v>
      </c>
      <c r="CT65" t="e">
        <f>AND(#REF!,"AAAAAH+/62E=")</f>
        <v>#REF!</v>
      </c>
      <c r="CU65" t="e">
        <f>IF(#REF!,"AAAAAH+/62I=",0)</f>
        <v>#REF!</v>
      </c>
      <c r="CV65" t="e">
        <f>AND(#REF!,"AAAAAH+/62M=")</f>
        <v>#REF!</v>
      </c>
      <c r="CW65" t="e">
        <f>AND(#REF!,"AAAAAH+/62Q=")</f>
        <v>#REF!</v>
      </c>
      <c r="CX65" t="e">
        <f>AND(#REF!,"AAAAAH+/62U=")</f>
        <v>#REF!</v>
      </c>
      <c r="CY65" t="e">
        <f>AND(#REF!,"AAAAAH+/62Y=")</f>
        <v>#REF!</v>
      </c>
      <c r="CZ65" t="e">
        <f>AND(#REF!,"AAAAAH+/62c=")</f>
        <v>#REF!</v>
      </c>
      <c r="DA65" t="e">
        <f>AND(#REF!,"AAAAAH+/62g=")</f>
        <v>#REF!</v>
      </c>
      <c r="DB65" t="e">
        <f>IF(#REF!,"AAAAAH+/62k=",0)</f>
        <v>#REF!</v>
      </c>
      <c r="DC65" t="e">
        <f>AND(#REF!,"AAAAAH+/62o=")</f>
        <v>#REF!</v>
      </c>
      <c r="DD65" t="e">
        <f>AND(#REF!,"AAAAAH+/62s=")</f>
        <v>#REF!</v>
      </c>
      <c r="DE65" t="e">
        <f>AND(#REF!,"AAAAAH+/62w=")</f>
        <v>#REF!</v>
      </c>
      <c r="DF65" t="e">
        <f>AND(#REF!,"AAAAAH+/620=")</f>
        <v>#REF!</v>
      </c>
      <c r="DG65" t="e">
        <f>AND(#REF!,"AAAAAH+/624=")</f>
        <v>#REF!</v>
      </c>
      <c r="DH65" t="e">
        <f>AND(#REF!,"AAAAAH+/628=")</f>
        <v>#REF!</v>
      </c>
      <c r="DI65" t="e">
        <f>IF(#REF!,"AAAAAH+/63A=",0)</f>
        <v>#REF!</v>
      </c>
      <c r="DJ65" t="e">
        <f>AND(#REF!,"AAAAAH+/63E=")</f>
        <v>#REF!</v>
      </c>
      <c r="DK65" t="e">
        <f>AND(#REF!,"AAAAAH+/63I=")</f>
        <v>#REF!</v>
      </c>
      <c r="DL65" t="e">
        <f>AND(#REF!,"AAAAAH+/63M=")</f>
        <v>#REF!</v>
      </c>
      <c r="DM65" t="e">
        <f>AND(#REF!,"AAAAAH+/63Q=")</f>
        <v>#REF!</v>
      </c>
      <c r="DN65" t="e">
        <f>AND(#REF!,"AAAAAH+/63U=")</f>
        <v>#REF!</v>
      </c>
      <c r="DO65" t="e">
        <f>AND(#REF!,"AAAAAH+/63Y=")</f>
        <v>#REF!</v>
      </c>
      <c r="DP65" t="e">
        <f>IF(#REF!,"AAAAAH+/63c=",0)</f>
        <v>#REF!</v>
      </c>
      <c r="DQ65" t="e">
        <f>AND(#REF!,"AAAAAH+/63g=")</f>
        <v>#REF!</v>
      </c>
      <c r="DR65" t="e">
        <f>AND(#REF!,"AAAAAH+/63k=")</f>
        <v>#REF!</v>
      </c>
      <c r="DS65" t="e">
        <f>AND(#REF!,"AAAAAH+/63o=")</f>
        <v>#REF!</v>
      </c>
      <c r="DT65" t="e">
        <f>AND(#REF!,"AAAAAH+/63s=")</f>
        <v>#REF!</v>
      </c>
      <c r="DU65" t="e">
        <f>AND(#REF!,"AAAAAH+/63w=")</f>
        <v>#REF!</v>
      </c>
      <c r="DV65" t="e">
        <f>AND(#REF!,"AAAAAH+/630=")</f>
        <v>#REF!</v>
      </c>
      <c r="DW65" t="e">
        <f>IF(#REF!,"AAAAAH+/634=",0)</f>
        <v>#REF!</v>
      </c>
      <c r="DX65" t="e">
        <f>AND(#REF!,"AAAAAH+/638=")</f>
        <v>#REF!</v>
      </c>
      <c r="DY65" t="e">
        <f>AND(#REF!,"AAAAAH+/64A=")</f>
        <v>#REF!</v>
      </c>
      <c r="DZ65" t="e">
        <f>AND(#REF!,"AAAAAH+/64E=")</f>
        <v>#REF!</v>
      </c>
      <c r="EA65" t="e">
        <f>AND(#REF!,"AAAAAH+/64I=")</f>
        <v>#REF!</v>
      </c>
      <c r="EB65" t="e">
        <f>AND(#REF!,"AAAAAH+/64M=")</f>
        <v>#REF!</v>
      </c>
      <c r="EC65" t="e">
        <f>AND(#REF!,"AAAAAH+/64Q=")</f>
        <v>#REF!</v>
      </c>
      <c r="ED65" t="e">
        <f>IF(#REF!,"AAAAAH+/64U=",0)</f>
        <v>#REF!</v>
      </c>
      <c r="EE65" t="e">
        <f>AND(#REF!,"AAAAAH+/64Y=")</f>
        <v>#REF!</v>
      </c>
      <c r="EF65" t="e">
        <f>AND(#REF!,"AAAAAH+/64c=")</f>
        <v>#REF!</v>
      </c>
      <c r="EG65" t="e">
        <f>AND(#REF!,"AAAAAH+/64g=")</f>
        <v>#REF!</v>
      </c>
      <c r="EH65" t="e">
        <f>AND(#REF!,"AAAAAH+/64k=")</f>
        <v>#REF!</v>
      </c>
      <c r="EI65" t="e">
        <f>AND(#REF!,"AAAAAH+/64o=")</f>
        <v>#REF!</v>
      </c>
      <c r="EJ65" t="e">
        <f>AND(#REF!,"AAAAAH+/64s=")</f>
        <v>#REF!</v>
      </c>
      <c r="EK65" t="e">
        <f>IF(#REF!,"AAAAAH+/64w=",0)</f>
        <v>#REF!</v>
      </c>
      <c r="EL65" t="e">
        <f>AND(#REF!,"AAAAAH+/640=")</f>
        <v>#REF!</v>
      </c>
      <c r="EM65" t="e">
        <f>AND(#REF!,"AAAAAH+/644=")</f>
        <v>#REF!</v>
      </c>
      <c r="EN65" t="e">
        <f>AND(#REF!,"AAAAAH+/648=")</f>
        <v>#REF!</v>
      </c>
      <c r="EO65" t="e">
        <f>AND(#REF!,"AAAAAH+/65A=")</f>
        <v>#REF!</v>
      </c>
      <c r="EP65" t="e">
        <f>AND(#REF!,"AAAAAH+/65E=")</f>
        <v>#REF!</v>
      </c>
      <c r="EQ65" t="e">
        <f>AND(#REF!,"AAAAAH+/65I=")</f>
        <v>#REF!</v>
      </c>
      <c r="ER65" t="e">
        <f>IF(#REF!,"AAAAAH+/65M=",0)</f>
        <v>#REF!</v>
      </c>
      <c r="ES65" t="e">
        <f>AND(#REF!,"AAAAAH+/65Q=")</f>
        <v>#REF!</v>
      </c>
      <c r="ET65" t="e">
        <f>AND(#REF!,"AAAAAH+/65U=")</f>
        <v>#REF!</v>
      </c>
      <c r="EU65" t="e">
        <f>AND(#REF!,"AAAAAH+/65Y=")</f>
        <v>#REF!</v>
      </c>
      <c r="EV65" t="e">
        <f>AND(#REF!,"AAAAAH+/65c=")</f>
        <v>#REF!</v>
      </c>
      <c r="EW65" t="e">
        <f>AND(#REF!,"AAAAAH+/65g=")</f>
        <v>#REF!</v>
      </c>
      <c r="EX65" t="e">
        <f>AND(#REF!,"AAAAAH+/65k=")</f>
        <v>#REF!</v>
      </c>
      <c r="EY65" t="e">
        <f>IF(#REF!,"AAAAAH+/65o=",0)</f>
        <v>#REF!</v>
      </c>
      <c r="EZ65" t="e">
        <f>AND(#REF!,"AAAAAH+/65s=")</f>
        <v>#REF!</v>
      </c>
      <c r="FA65" t="e">
        <f>AND(#REF!,"AAAAAH+/65w=")</f>
        <v>#REF!</v>
      </c>
      <c r="FB65" t="e">
        <f>AND(#REF!,"AAAAAH+/650=")</f>
        <v>#REF!</v>
      </c>
      <c r="FC65" t="e">
        <f>AND(#REF!,"AAAAAH+/654=")</f>
        <v>#REF!</v>
      </c>
      <c r="FD65" t="e">
        <f>AND(#REF!,"AAAAAH+/658=")</f>
        <v>#REF!</v>
      </c>
      <c r="FE65" t="e">
        <f>AND(#REF!,"AAAAAH+/66A=")</f>
        <v>#REF!</v>
      </c>
      <c r="FF65" t="e">
        <f>IF(#REF!,"AAAAAH+/66E=",0)</f>
        <v>#REF!</v>
      </c>
      <c r="FG65" t="e">
        <f>AND(#REF!,"AAAAAH+/66I=")</f>
        <v>#REF!</v>
      </c>
      <c r="FH65" t="e">
        <f>AND(#REF!,"AAAAAH+/66M=")</f>
        <v>#REF!</v>
      </c>
      <c r="FI65" t="e">
        <f>AND(#REF!,"AAAAAH+/66Q=")</f>
        <v>#REF!</v>
      </c>
      <c r="FJ65" t="e">
        <f>AND(#REF!,"AAAAAH+/66U=")</f>
        <v>#REF!</v>
      </c>
      <c r="FK65" t="e">
        <f>AND(#REF!,"AAAAAH+/66Y=")</f>
        <v>#REF!</v>
      </c>
      <c r="FL65" t="e">
        <f>AND(#REF!,"AAAAAH+/66c=")</f>
        <v>#REF!</v>
      </c>
      <c r="FM65" t="e">
        <f>IF(#REF!,"AAAAAH+/66g=",0)</f>
        <v>#REF!</v>
      </c>
      <c r="FN65" t="e">
        <f>AND(#REF!,"AAAAAH+/66k=")</f>
        <v>#REF!</v>
      </c>
      <c r="FO65" t="e">
        <f>AND(#REF!,"AAAAAH+/66o=")</f>
        <v>#REF!</v>
      </c>
      <c r="FP65" t="e">
        <f>AND(#REF!,"AAAAAH+/66s=")</f>
        <v>#REF!</v>
      </c>
      <c r="FQ65" t="e">
        <f>AND(#REF!,"AAAAAH+/66w=")</f>
        <v>#REF!</v>
      </c>
      <c r="FR65" t="e">
        <f>AND(#REF!,"AAAAAH+/660=")</f>
        <v>#REF!</v>
      </c>
      <c r="FS65" t="e">
        <f>AND(#REF!,"AAAAAH+/664=")</f>
        <v>#REF!</v>
      </c>
      <c r="FT65" t="e">
        <f>IF(#REF!,"AAAAAH+/668=",0)</f>
        <v>#REF!</v>
      </c>
      <c r="FU65" t="e">
        <f>AND(#REF!,"AAAAAH+/67A=")</f>
        <v>#REF!</v>
      </c>
      <c r="FV65" t="e">
        <f>AND(#REF!,"AAAAAH+/67E=")</f>
        <v>#REF!</v>
      </c>
      <c r="FW65" t="e">
        <f>AND(#REF!,"AAAAAH+/67I=")</f>
        <v>#REF!</v>
      </c>
      <c r="FX65" t="e">
        <f>AND(#REF!,"AAAAAH+/67M=")</f>
        <v>#REF!</v>
      </c>
      <c r="FY65" t="e">
        <f>AND(#REF!,"AAAAAH+/67Q=")</f>
        <v>#REF!</v>
      </c>
      <c r="FZ65" t="e">
        <f>AND(#REF!,"AAAAAH+/67U=")</f>
        <v>#REF!</v>
      </c>
      <c r="GA65" t="e">
        <f>IF(#REF!,"AAAAAH+/67Y=",0)</f>
        <v>#REF!</v>
      </c>
      <c r="GB65" t="e">
        <f>AND(#REF!,"AAAAAH+/67c=")</f>
        <v>#REF!</v>
      </c>
      <c r="GC65" t="e">
        <f>AND(#REF!,"AAAAAH+/67g=")</f>
        <v>#REF!</v>
      </c>
      <c r="GD65" t="e">
        <f>AND(#REF!,"AAAAAH+/67k=")</f>
        <v>#REF!</v>
      </c>
      <c r="GE65" t="e">
        <f>AND(#REF!,"AAAAAH+/67o=")</f>
        <v>#REF!</v>
      </c>
      <c r="GF65" t="e">
        <f>AND(#REF!,"AAAAAH+/67s=")</f>
        <v>#REF!</v>
      </c>
      <c r="GG65" t="e">
        <f>AND(#REF!,"AAAAAH+/67w=")</f>
        <v>#REF!</v>
      </c>
      <c r="GH65" t="e">
        <f>IF(#REF!,"AAAAAH+/670=",0)</f>
        <v>#REF!</v>
      </c>
      <c r="GI65" t="e">
        <f>AND(#REF!,"AAAAAH+/674=")</f>
        <v>#REF!</v>
      </c>
      <c r="GJ65" t="e">
        <f>AND(#REF!,"AAAAAH+/678=")</f>
        <v>#REF!</v>
      </c>
      <c r="GK65" t="e">
        <f>AND(#REF!,"AAAAAH+/68A=")</f>
        <v>#REF!</v>
      </c>
      <c r="GL65" t="e">
        <f>AND(#REF!,"AAAAAH+/68E=")</f>
        <v>#REF!</v>
      </c>
      <c r="GM65" t="e">
        <f>AND(#REF!,"AAAAAH+/68I=")</f>
        <v>#REF!</v>
      </c>
      <c r="GN65" t="e">
        <f>AND(#REF!,"AAAAAH+/68M=")</f>
        <v>#REF!</v>
      </c>
      <c r="GO65" t="e">
        <f>IF(#REF!,"AAAAAH+/68Q=",0)</f>
        <v>#REF!</v>
      </c>
      <c r="GP65" t="e">
        <f>AND(#REF!,"AAAAAH+/68U=")</f>
        <v>#REF!</v>
      </c>
      <c r="GQ65" t="e">
        <f>AND(#REF!,"AAAAAH+/68Y=")</f>
        <v>#REF!</v>
      </c>
      <c r="GR65" t="e">
        <f>AND(#REF!,"AAAAAH+/68c=")</f>
        <v>#REF!</v>
      </c>
      <c r="GS65" t="e">
        <f>AND(#REF!,"AAAAAH+/68g=")</f>
        <v>#REF!</v>
      </c>
      <c r="GT65" t="e">
        <f>AND(#REF!,"AAAAAH+/68k=")</f>
        <v>#REF!</v>
      </c>
      <c r="GU65" t="e">
        <f>AND(#REF!,"AAAAAH+/68o=")</f>
        <v>#REF!</v>
      </c>
      <c r="GV65" t="e">
        <f>IF(#REF!,"AAAAAH+/68s=",0)</f>
        <v>#REF!</v>
      </c>
      <c r="GW65" t="e">
        <f>AND(#REF!,"AAAAAH+/68w=")</f>
        <v>#REF!</v>
      </c>
      <c r="GX65" t="e">
        <f>AND(#REF!,"AAAAAH+/680=")</f>
        <v>#REF!</v>
      </c>
      <c r="GY65" t="e">
        <f>AND(#REF!,"AAAAAH+/684=")</f>
        <v>#REF!</v>
      </c>
      <c r="GZ65" t="e">
        <f>AND(#REF!,"AAAAAH+/688=")</f>
        <v>#REF!</v>
      </c>
      <c r="HA65" t="e">
        <f>AND(#REF!,"AAAAAH+/69A=")</f>
        <v>#REF!</v>
      </c>
      <c r="HB65" t="e">
        <f>AND(#REF!,"AAAAAH+/69E=")</f>
        <v>#REF!</v>
      </c>
      <c r="HC65" t="e">
        <f>IF(#REF!,"AAAAAH+/69I=",0)</f>
        <v>#REF!</v>
      </c>
      <c r="HD65" t="e">
        <f>AND(#REF!,"AAAAAH+/69M=")</f>
        <v>#REF!</v>
      </c>
      <c r="HE65" t="e">
        <f>AND(#REF!,"AAAAAH+/69Q=")</f>
        <v>#REF!</v>
      </c>
      <c r="HF65" t="e">
        <f>AND(#REF!,"AAAAAH+/69U=")</f>
        <v>#REF!</v>
      </c>
      <c r="HG65" t="e">
        <f>AND(#REF!,"AAAAAH+/69Y=")</f>
        <v>#REF!</v>
      </c>
      <c r="HH65" t="e">
        <f>AND(#REF!,"AAAAAH+/69c=")</f>
        <v>#REF!</v>
      </c>
      <c r="HI65" t="e">
        <f>AND(#REF!,"AAAAAH+/69g=")</f>
        <v>#REF!</v>
      </c>
      <c r="HJ65" t="e">
        <f>IF(#REF!,"AAAAAH+/69k=",0)</f>
        <v>#REF!</v>
      </c>
      <c r="HK65" t="e">
        <f>AND(#REF!,"AAAAAH+/69o=")</f>
        <v>#REF!</v>
      </c>
      <c r="HL65" t="e">
        <f>AND(#REF!,"AAAAAH+/69s=")</f>
        <v>#REF!</v>
      </c>
      <c r="HM65" t="e">
        <f>AND(#REF!,"AAAAAH+/69w=")</f>
        <v>#REF!</v>
      </c>
      <c r="HN65" t="e">
        <f>AND(#REF!,"AAAAAH+/690=")</f>
        <v>#REF!</v>
      </c>
      <c r="HO65" t="e">
        <f>AND(#REF!,"AAAAAH+/694=")</f>
        <v>#REF!</v>
      </c>
      <c r="HP65" t="e">
        <f>AND(#REF!,"AAAAAH+/698=")</f>
        <v>#REF!</v>
      </c>
      <c r="HQ65" t="e">
        <f>IF(#REF!,"AAAAAH+/6+A=",0)</f>
        <v>#REF!</v>
      </c>
      <c r="HR65" t="e">
        <f>AND(#REF!,"AAAAAH+/6+E=")</f>
        <v>#REF!</v>
      </c>
      <c r="HS65" t="e">
        <f>AND(#REF!,"AAAAAH+/6+I=")</f>
        <v>#REF!</v>
      </c>
      <c r="HT65" t="e">
        <f>AND(#REF!,"AAAAAH+/6+M=")</f>
        <v>#REF!</v>
      </c>
      <c r="HU65" t="e">
        <f>AND(#REF!,"AAAAAH+/6+Q=")</f>
        <v>#REF!</v>
      </c>
      <c r="HV65" t="e">
        <f>AND(#REF!,"AAAAAH+/6+U=")</f>
        <v>#REF!</v>
      </c>
      <c r="HW65" t="e">
        <f>AND(#REF!,"AAAAAH+/6+Y=")</f>
        <v>#REF!</v>
      </c>
      <c r="HX65" t="e">
        <f>IF(#REF!,"AAAAAH+/6+c=",0)</f>
        <v>#REF!</v>
      </c>
      <c r="HY65" t="e">
        <f>AND(#REF!,"AAAAAH+/6+g=")</f>
        <v>#REF!</v>
      </c>
      <c r="HZ65" t="e">
        <f>AND(#REF!,"AAAAAH+/6+k=")</f>
        <v>#REF!</v>
      </c>
      <c r="IA65" t="e">
        <f>AND(#REF!,"AAAAAH+/6+o=")</f>
        <v>#REF!</v>
      </c>
      <c r="IB65" t="e">
        <f>AND(#REF!,"AAAAAH+/6+s=")</f>
        <v>#REF!</v>
      </c>
      <c r="IC65" t="e">
        <f>AND(#REF!,"AAAAAH+/6+w=")</f>
        <v>#REF!</v>
      </c>
      <c r="ID65" t="e">
        <f>AND(#REF!,"AAAAAH+/6+0=")</f>
        <v>#REF!</v>
      </c>
      <c r="IE65" t="e">
        <f>IF(#REF!,"AAAAAH+/6+4=",0)</f>
        <v>#REF!</v>
      </c>
      <c r="IF65" t="e">
        <f>AND(#REF!,"AAAAAH+/6+8=")</f>
        <v>#REF!</v>
      </c>
      <c r="IG65" t="e">
        <f>AND(#REF!,"AAAAAH+/6/A=")</f>
        <v>#REF!</v>
      </c>
      <c r="IH65" t="e">
        <f>AND(#REF!,"AAAAAH+/6/E=")</f>
        <v>#REF!</v>
      </c>
      <c r="II65" t="e">
        <f>AND(#REF!,"AAAAAH+/6/I=")</f>
        <v>#REF!</v>
      </c>
      <c r="IJ65" t="e">
        <f>AND(#REF!,"AAAAAH+/6/M=")</f>
        <v>#REF!</v>
      </c>
      <c r="IK65" t="e">
        <f>AND(#REF!,"AAAAAH+/6/Q=")</f>
        <v>#REF!</v>
      </c>
      <c r="IL65" t="e">
        <f>IF(#REF!,"AAAAAH+/6/U=",0)</f>
        <v>#REF!</v>
      </c>
      <c r="IM65" t="e">
        <f>AND(#REF!,"AAAAAH+/6/Y=")</f>
        <v>#REF!</v>
      </c>
      <c r="IN65" t="e">
        <f>AND(#REF!,"AAAAAH+/6/c=")</f>
        <v>#REF!</v>
      </c>
      <c r="IO65" t="e">
        <f>AND(#REF!,"AAAAAH+/6/g=")</f>
        <v>#REF!</v>
      </c>
      <c r="IP65" t="e">
        <f>AND(#REF!,"AAAAAH+/6/k=")</f>
        <v>#REF!</v>
      </c>
      <c r="IQ65" t="e">
        <f>AND(#REF!,"AAAAAH+/6/o=")</f>
        <v>#REF!</v>
      </c>
      <c r="IR65" t="e">
        <f>AND(#REF!,"AAAAAH+/6/s=")</f>
        <v>#REF!</v>
      </c>
      <c r="IS65" t="e">
        <f>IF(#REF!,"AAAAAH+/6/w=",0)</f>
        <v>#REF!</v>
      </c>
      <c r="IT65" t="e">
        <f>AND(#REF!,"AAAAAH+/6/0=")</f>
        <v>#REF!</v>
      </c>
      <c r="IU65" t="e">
        <f>AND(#REF!,"AAAAAH+/6/4=")</f>
        <v>#REF!</v>
      </c>
      <c r="IV65" t="e">
        <f>AND(#REF!,"AAAAAH+/6/8=")</f>
        <v>#REF!</v>
      </c>
    </row>
    <row r="66" spans="1:256" x14ac:dyDescent="0.25">
      <c r="A66" t="e">
        <f>AND(#REF!,"AAAAAH/7/wA=")</f>
        <v>#REF!</v>
      </c>
      <c r="B66" t="e">
        <f>AND(#REF!,"AAAAAH/7/wE=")</f>
        <v>#REF!</v>
      </c>
      <c r="C66" t="e">
        <f>AND(#REF!,"AAAAAH/7/wI=")</f>
        <v>#REF!</v>
      </c>
      <c r="D66" t="e">
        <f>IF(#REF!,"AAAAAH/7/wM=",0)</f>
        <v>#REF!</v>
      </c>
      <c r="E66" t="e">
        <f>AND(#REF!,"AAAAAH/7/wQ=")</f>
        <v>#REF!</v>
      </c>
      <c r="F66" t="e">
        <f>AND(#REF!,"AAAAAH/7/wU=")</f>
        <v>#REF!</v>
      </c>
      <c r="G66" t="e">
        <f>AND(#REF!,"AAAAAH/7/wY=")</f>
        <v>#REF!</v>
      </c>
      <c r="H66" t="e">
        <f>AND(#REF!,"AAAAAH/7/wc=")</f>
        <v>#REF!</v>
      </c>
      <c r="I66" t="e">
        <f>AND(#REF!,"AAAAAH/7/wg=")</f>
        <v>#REF!</v>
      </c>
      <c r="J66" t="e">
        <f>AND(#REF!,"AAAAAH/7/wk=")</f>
        <v>#REF!</v>
      </c>
      <c r="K66" t="e">
        <f>IF(#REF!,"AAAAAH/7/wo=",0)</f>
        <v>#REF!</v>
      </c>
      <c r="L66" t="e">
        <f>AND(#REF!,"AAAAAH/7/ws=")</f>
        <v>#REF!</v>
      </c>
      <c r="M66" t="e">
        <f>AND(#REF!,"AAAAAH/7/ww=")</f>
        <v>#REF!</v>
      </c>
      <c r="N66" t="e">
        <f>AND(#REF!,"AAAAAH/7/w0=")</f>
        <v>#REF!</v>
      </c>
      <c r="O66" t="e">
        <f>AND(#REF!,"AAAAAH/7/w4=")</f>
        <v>#REF!</v>
      </c>
      <c r="P66" t="e">
        <f>AND(#REF!,"AAAAAH/7/w8=")</f>
        <v>#REF!</v>
      </c>
      <c r="Q66" t="e">
        <f>AND(#REF!,"AAAAAH/7/xA=")</f>
        <v>#REF!</v>
      </c>
      <c r="R66" t="e">
        <f>IF(#REF!,"AAAAAH/7/xE=",0)</f>
        <v>#REF!</v>
      </c>
      <c r="S66" t="e">
        <f>AND(#REF!,"AAAAAH/7/xI=")</f>
        <v>#REF!</v>
      </c>
      <c r="T66" t="e">
        <f>AND(#REF!,"AAAAAH/7/xM=")</f>
        <v>#REF!</v>
      </c>
      <c r="U66" t="e">
        <f>AND(#REF!,"AAAAAH/7/xQ=")</f>
        <v>#REF!</v>
      </c>
      <c r="V66" t="e">
        <f>AND(#REF!,"AAAAAH/7/xU=")</f>
        <v>#REF!</v>
      </c>
      <c r="W66" t="e">
        <f>AND(#REF!,"AAAAAH/7/xY=")</f>
        <v>#REF!</v>
      </c>
      <c r="X66" t="e">
        <f>AND(#REF!,"AAAAAH/7/xc=")</f>
        <v>#REF!</v>
      </c>
      <c r="Y66" t="e">
        <f>IF(#REF!,"AAAAAH/7/xg=",0)</f>
        <v>#REF!</v>
      </c>
      <c r="Z66" t="e">
        <f>AND(#REF!,"AAAAAH/7/xk=")</f>
        <v>#REF!</v>
      </c>
      <c r="AA66" t="e">
        <f>AND(#REF!,"AAAAAH/7/xo=")</f>
        <v>#REF!</v>
      </c>
      <c r="AB66" t="e">
        <f>AND(#REF!,"AAAAAH/7/xs=")</f>
        <v>#REF!</v>
      </c>
      <c r="AC66" t="e">
        <f>AND(#REF!,"AAAAAH/7/xw=")</f>
        <v>#REF!</v>
      </c>
      <c r="AD66" t="e">
        <f>AND(#REF!,"AAAAAH/7/x0=")</f>
        <v>#REF!</v>
      </c>
      <c r="AE66" t="e">
        <f>AND(#REF!,"AAAAAH/7/x4=")</f>
        <v>#REF!</v>
      </c>
      <c r="AF66" t="e">
        <f>IF(#REF!,"AAAAAH/7/x8=",0)</f>
        <v>#REF!</v>
      </c>
      <c r="AG66" t="e">
        <f>AND(#REF!,"AAAAAH/7/yA=")</f>
        <v>#REF!</v>
      </c>
      <c r="AH66" t="e">
        <f>AND(#REF!,"AAAAAH/7/yE=")</f>
        <v>#REF!</v>
      </c>
      <c r="AI66" t="e">
        <f>AND(#REF!,"AAAAAH/7/yI=")</f>
        <v>#REF!</v>
      </c>
      <c r="AJ66" t="e">
        <f>AND(#REF!,"AAAAAH/7/yM=")</f>
        <v>#REF!</v>
      </c>
      <c r="AK66" t="e">
        <f>AND(#REF!,"AAAAAH/7/yQ=")</f>
        <v>#REF!</v>
      </c>
      <c r="AL66" t="e">
        <f>AND(#REF!,"AAAAAH/7/yU=")</f>
        <v>#REF!</v>
      </c>
      <c r="AM66" t="e">
        <f>IF(#REF!,"AAAAAH/7/yY=",0)</f>
        <v>#REF!</v>
      </c>
      <c r="AN66" t="e">
        <f>AND(#REF!,"AAAAAH/7/yc=")</f>
        <v>#REF!</v>
      </c>
      <c r="AO66" t="e">
        <f>AND(#REF!,"AAAAAH/7/yg=")</f>
        <v>#REF!</v>
      </c>
      <c r="AP66" t="e">
        <f>AND(#REF!,"AAAAAH/7/yk=")</f>
        <v>#REF!</v>
      </c>
      <c r="AQ66" t="e">
        <f>AND(#REF!,"AAAAAH/7/yo=")</f>
        <v>#REF!</v>
      </c>
      <c r="AR66" t="e">
        <f>AND(#REF!,"AAAAAH/7/ys=")</f>
        <v>#REF!</v>
      </c>
      <c r="AS66" t="e">
        <f>AND(#REF!,"AAAAAH/7/yw=")</f>
        <v>#REF!</v>
      </c>
      <c r="AT66" t="e">
        <f>IF(#REF!,"AAAAAH/7/y0=",0)</f>
        <v>#REF!</v>
      </c>
      <c r="AU66" t="e">
        <f>AND(#REF!,"AAAAAH/7/y4=")</f>
        <v>#REF!</v>
      </c>
      <c r="AV66" t="e">
        <f>AND(#REF!,"AAAAAH/7/y8=")</f>
        <v>#REF!</v>
      </c>
      <c r="AW66" t="e">
        <f>AND(#REF!,"AAAAAH/7/zA=")</f>
        <v>#REF!</v>
      </c>
      <c r="AX66" t="e">
        <f>AND(#REF!,"AAAAAH/7/zE=")</f>
        <v>#REF!</v>
      </c>
      <c r="AY66" t="e">
        <f>AND(#REF!,"AAAAAH/7/zI=")</f>
        <v>#REF!</v>
      </c>
      <c r="AZ66" t="e">
        <f>AND(#REF!,"AAAAAH/7/zM=")</f>
        <v>#REF!</v>
      </c>
      <c r="BA66" t="e">
        <f>IF(#REF!,"AAAAAH/7/zQ=",0)</f>
        <v>#REF!</v>
      </c>
      <c r="BB66" t="e">
        <f>AND(#REF!,"AAAAAH/7/zU=")</f>
        <v>#REF!</v>
      </c>
      <c r="BC66" t="e">
        <f>AND(#REF!,"AAAAAH/7/zY=")</f>
        <v>#REF!</v>
      </c>
      <c r="BD66" t="e">
        <f>AND(#REF!,"AAAAAH/7/zc=")</f>
        <v>#REF!</v>
      </c>
      <c r="BE66" t="e">
        <f>AND(#REF!,"AAAAAH/7/zg=")</f>
        <v>#REF!</v>
      </c>
      <c r="BF66" t="e">
        <f>AND(#REF!,"AAAAAH/7/zk=")</f>
        <v>#REF!</v>
      </c>
      <c r="BG66" t="e">
        <f>AND(#REF!,"AAAAAH/7/zo=")</f>
        <v>#REF!</v>
      </c>
      <c r="BH66" t="e">
        <f>IF(#REF!,"AAAAAH/7/zs=",0)</f>
        <v>#REF!</v>
      </c>
      <c r="BI66" t="e">
        <f>AND(#REF!,"AAAAAH/7/zw=")</f>
        <v>#REF!</v>
      </c>
      <c r="BJ66" t="e">
        <f>AND(#REF!,"AAAAAH/7/z0=")</f>
        <v>#REF!</v>
      </c>
      <c r="BK66" t="e">
        <f>AND(#REF!,"AAAAAH/7/z4=")</f>
        <v>#REF!</v>
      </c>
      <c r="BL66" t="e">
        <f>AND(#REF!,"AAAAAH/7/z8=")</f>
        <v>#REF!</v>
      </c>
      <c r="BM66" t="e">
        <f>AND(#REF!,"AAAAAH/7/0A=")</f>
        <v>#REF!</v>
      </c>
      <c r="BN66" t="e">
        <f>AND(#REF!,"AAAAAH/7/0E=")</f>
        <v>#REF!</v>
      </c>
      <c r="BO66" t="e">
        <f>IF(#REF!,"AAAAAH/7/0I=",0)</f>
        <v>#REF!</v>
      </c>
      <c r="BP66" t="e">
        <f>AND(#REF!,"AAAAAH/7/0M=")</f>
        <v>#REF!</v>
      </c>
      <c r="BQ66" t="e">
        <f>AND(#REF!,"AAAAAH/7/0Q=")</f>
        <v>#REF!</v>
      </c>
      <c r="BR66" t="e">
        <f>AND(#REF!,"AAAAAH/7/0U=")</f>
        <v>#REF!</v>
      </c>
      <c r="BS66" t="e">
        <f>AND(#REF!,"AAAAAH/7/0Y=")</f>
        <v>#REF!</v>
      </c>
      <c r="BT66" t="e">
        <f>AND(#REF!,"AAAAAH/7/0c=")</f>
        <v>#REF!</v>
      </c>
      <c r="BU66" t="e">
        <f>AND(#REF!,"AAAAAH/7/0g=")</f>
        <v>#REF!</v>
      </c>
      <c r="BV66" t="e">
        <f>IF(#REF!,"AAAAAH/7/0k=",0)</f>
        <v>#REF!</v>
      </c>
      <c r="BW66" t="e">
        <f>AND(#REF!,"AAAAAH/7/0o=")</f>
        <v>#REF!</v>
      </c>
      <c r="BX66" t="e">
        <f>AND(#REF!,"AAAAAH/7/0s=")</f>
        <v>#REF!</v>
      </c>
      <c r="BY66" t="e">
        <f>AND(#REF!,"AAAAAH/7/0w=")</f>
        <v>#REF!</v>
      </c>
      <c r="BZ66" t="e">
        <f>AND(#REF!,"AAAAAH/7/00=")</f>
        <v>#REF!</v>
      </c>
      <c r="CA66" t="e">
        <f>AND(#REF!,"AAAAAH/7/04=")</f>
        <v>#REF!</v>
      </c>
      <c r="CB66" t="e">
        <f>AND(#REF!,"AAAAAH/7/08=")</f>
        <v>#REF!</v>
      </c>
      <c r="CC66" t="e">
        <f>IF(#REF!,"AAAAAH/7/1A=",0)</f>
        <v>#REF!</v>
      </c>
      <c r="CD66" t="e">
        <f>AND(#REF!,"AAAAAH/7/1E=")</f>
        <v>#REF!</v>
      </c>
      <c r="CE66" t="e">
        <f>AND(#REF!,"AAAAAH/7/1I=")</f>
        <v>#REF!</v>
      </c>
      <c r="CF66" t="e">
        <f>AND(#REF!,"AAAAAH/7/1M=")</f>
        <v>#REF!</v>
      </c>
      <c r="CG66" t="e">
        <f>AND(#REF!,"AAAAAH/7/1Q=")</f>
        <v>#REF!</v>
      </c>
      <c r="CH66" t="e">
        <f>AND(#REF!,"AAAAAH/7/1U=")</f>
        <v>#REF!</v>
      </c>
      <c r="CI66" t="e">
        <f>AND(#REF!,"AAAAAH/7/1Y=")</f>
        <v>#REF!</v>
      </c>
      <c r="CJ66" t="e">
        <f>IF(#REF!,"AAAAAH/7/1c=",0)</f>
        <v>#REF!</v>
      </c>
      <c r="CK66" t="e">
        <f>AND(#REF!,"AAAAAH/7/1g=")</f>
        <v>#REF!</v>
      </c>
      <c r="CL66" t="e">
        <f>AND(#REF!,"AAAAAH/7/1k=")</f>
        <v>#REF!</v>
      </c>
      <c r="CM66" t="e">
        <f>AND(#REF!,"AAAAAH/7/1o=")</f>
        <v>#REF!</v>
      </c>
      <c r="CN66" t="e">
        <f>AND(#REF!,"AAAAAH/7/1s=")</f>
        <v>#REF!</v>
      </c>
      <c r="CO66" t="e">
        <f>AND(#REF!,"AAAAAH/7/1w=")</f>
        <v>#REF!</v>
      </c>
      <c r="CP66" t="e">
        <f>AND(#REF!,"AAAAAH/7/10=")</f>
        <v>#REF!</v>
      </c>
      <c r="CQ66" t="e">
        <f>IF(#REF!,"AAAAAH/7/14=",0)</f>
        <v>#REF!</v>
      </c>
      <c r="CR66" t="e">
        <f>AND(#REF!,"AAAAAH/7/18=")</f>
        <v>#REF!</v>
      </c>
      <c r="CS66" t="e">
        <f>AND(#REF!,"AAAAAH/7/2A=")</f>
        <v>#REF!</v>
      </c>
      <c r="CT66" t="e">
        <f>AND(#REF!,"AAAAAH/7/2E=")</f>
        <v>#REF!</v>
      </c>
      <c r="CU66" t="e">
        <f>AND(#REF!,"AAAAAH/7/2I=")</f>
        <v>#REF!</v>
      </c>
      <c r="CV66" t="e">
        <f>AND(#REF!,"AAAAAH/7/2M=")</f>
        <v>#REF!</v>
      </c>
      <c r="CW66" t="e">
        <f>AND(#REF!,"AAAAAH/7/2Q=")</f>
        <v>#REF!</v>
      </c>
      <c r="CX66" t="e">
        <f>IF(#REF!,"AAAAAH/7/2U=",0)</f>
        <v>#REF!</v>
      </c>
      <c r="CY66" t="e">
        <f>AND(#REF!,"AAAAAH/7/2Y=")</f>
        <v>#REF!</v>
      </c>
      <c r="CZ66" t="e">
        <f>AND(#REF!,"AAAAAH/7/2c=")</f>
        <v>#REF!</v>
      </c>
      <c r="DA66" t="e">
        <f>AND(#REF!,"AAAAAH/7/2g=")</f>
        <v>#REF!</v>
      </c>
      <c r="DB66" t="e">
        <f>AND(#REF!,"AAAAAH/7/2k=")</f>
        <v>#REF!</v>
      </c>
      <c r="DC66" t="e">
        <f>AND(#REF!,"AAAAAH/7/2o=")</f>
        <v>#REF!</v>
      </c>
      <c r="DD66" t="e">
        <f>AND(#REF!,"AAAAAH/7/2s=")</f>
        <v>#REF!</v>
      </c>
      <c r="DE66" t="e">
        <f>IF(#REF!,"AAAAAH/7/2w=",0)</f>
        <v>#REF!</v>
      </c>
      <c r="DF66" t="e">
        <f>AND(#REF!,"AAAAAH/7/20=")</f>
        <v>#REF!</v>
      </c>
      <c r="DG66" t="e">
        <f>AND(#REF!,"AAAAAH/7/24=")</f>
        <v>#REF!</v>
      </c>
      <c r="DH66" t="e">
        <f>AND(#REF!,"AAAAAH/7/28=")</f>
        <v>#REF!</v>
      </c>
      <c r="DI66" t="e">
        <f>AND(#REF!,"AAAAAH/7/3A=")</f>
        <v>#REF!</v>
      </c>
      <c r="DJ66" t="e">
        <f>AND(#REF!,"AAAAAH/7/3E=")</f>
        <v>#REF!</v>
      </c>
      <c r="DK66" t="e">
        <f>AND(#REF!,"AAAAAH/7/3I=")</f>
        <v>#REF!</v>
      </c>
      <c r="DL66" t="e">
        <f>IF(#REF!,"AAAAAH/7/3M=",0)</f>
        <v>#REF!</v>
      </c>
      <c r="DM66" t="e">
        <f>AND(#REF!,"AAAAAH/7/3Q=")</f>
        <v>#REF!</v>
      </c>
      <c r="DN66" t="e">
        <f>AND(#REF!,"AAAAAH/7/3U=")</f>
        <v>#REF!</v>
      </c>
      <c r="DO66" t="e">
        <f>AND(#REF!,"AAAAAH/7/3Y=")</f>
        <v>#REF!</v>
      </c>
      <c r="DP66" t="e">
        <f>AND(#REF!,"AAAAAH/7/3c=")</f>
        <v>#REF!</v>
      </c>
      <c r="DQ66" t="e">
        <f>AND(#REF!,"AAAAAH/7/3g=")</f>
        <v>#REF!</v>
      </c>
      <c r="DR66" t="e">
        <f>AND(#REF!,"AAAAAH/7/3k=")</f>
        <v>#REF!</v>
      </c>
      <c r="DS66" t="e">
        <f>IF(#REF!,"AAAAAH/7/3o=",0)</f>
        <v>#REF!</v>
      </c>
      <c r="DT66" t="e">
        <f>AND(#REF!,"AAAAAH/7/3s=")</f>
        <v>#REF!</v>
      </c>
      <c r="DU66" t="e">
        <f>AND(#REF!,"AAAAAH/7/3w=")</f>
        <v>#REF!</v>
      </c>
      <c r="DV66" t="e">
        <f>AND(#REF!,"AAAAAH/7/30=")</f>
        <v>#REF!</v>
      </c>
      <c r="DW66" t="e">
        <f>AND(#REF!,"AAAAAH/7/34=")</f>
        <v>#REF!</v>
      </c>
      <c r="DX66" t="e">
        <f>AND(#REF!,"AAAAAH/7/38=")</f>
        <v>#REF!</v>
      </c>
      <c r="DY66" t="e">
        <f>AND(#REF!,"AAAAAH/7/4A=")</f>
        <v>#REF!</v>
      </c>
      <c r="DZ66" t="e">
        <f>IF(#REF!,"AAAAAH/7/4E=",0)</f>
        <v>#REF!</v>
      </c>
      <c r="EA66" t="e">
        <f>AND(#REF!,"AAAAAH/7/4I=")</f>
        <v>#REF!</v>
      </c>
      <c r="EB66" t="e">
        <f>AND(#REF!,"AAAAAH/7/4M=")</f>
        <v>#REF!</v>
      </c>
      <c r="EC66" t="e">
        <f>AND(#REF!,"AAAAAH/7/4Q=")</f>
        <v>#REF!</v>
      </c>
      <c r="ED66" t="e">
        <f>AND(#REF!,"AAAAAH/7/4U=")</f>
        <v>#REF!</v>
      </c>
      <c r="EE66" t="e">
        <f>AND(#REF!,"AAAAAH/7/4Y=")</f>
        <v>#REF!</v>
      </c>
      <c r="EF66" t="e">
        <f>AND(#REF!,"AAAAAH/7/4c=")</f>
        <v>#REF!</v>
      </c>
      <c r="EG66" t="e">
        <f>IF(#REF!,"AAAAAH/7/4g=",0)</f>
        <v>#REF!</v>
      </c>
      <c r="EH66" t="e">
        <f>AND(#REF!,"AAAAAH/7/4k=")</f>
        <v>#REF!</v>
      </c>
      <c r="EI66" t="e">
        <f>AND(#REF!,"AAAAAH/7/4o=")</f>
        <v>#REF!</v>
      </c>
      <c r="EJ66" t="e">
        <f>AND(#REF!,"AAAAAH/7/4s=")</f>
        <v>#REF!</v>
      </c>
      <c r="EK66" t="e">
        <f>AND(#REF!,"AAAAAH/7/4w=")</f>
        <v>#REF!</v>
      </c>
      <c r="EL66" t="e">
        <f>AND(#REF!,"AAAAAH/7/40=")</f>
        <v>#REF!</v>
      </c>
      <c r="EM66" t="e">
        <f>AND(#REF!,"AAAAAH/7/44=")</f>
        <v>#REF!</v>
      </c>
      <c r="EN66" t="e">
        <f>IF(#REF!,"AAAAAH/7/48=",0)</f>
        <v>#REF!</v>
      </c>
      <c r="EO66" t="e">
        <f>AND(#REF!,"AAAAAH/7/5A=")</f>
        <v>#REF!</v>
      </c>
      <c r="EP66" t="e">
        <f>AND(#REF!,"AAAAAH/7/5E=")</f>
        <v>#REF!</v>
      </c>
      <c r="EQ66" t="e">
        <f>AND(#REF!,"AAAAAH/7/5I=")</f>
        <v>#REF!</v>
      </c>
      <c r="ER66" t="e">
        <f>AND(#REF!,"AAAAAH/7/5M=")</f>
        <v>#REF!</v>
      </c>
      <c r="ES66" t="e">
        <f>AND(#REF!,"AAAAAH/7/5Q=")</f>
        <v>#REF!</v>
      </c>
      <c r="ET66" t="e">
        <f>AND(#REF!,"AAAAAH/7/5U=")</f>
        <v>#REF!</v>
      </c>
      <c r="EU66" t="e">
        <f>IF(#REF!,"AAAAAH/7/5Y=",0)</f>
        <v>#REF!</v>
      </c>
      <c r="EV66" t="e">
        <f>AND(#REF!,"AAAAAH/7/5c=")</f>
        <v>#REF!</v>
      </c>
      <c r="EW66" t="e">
        <f>AND(#REF!,"AAAAAH/7/5g=")</f>
        <v>#REF!</v>
      </c>
      <c r="EX66" t="e">
        <f>AND(#REF!,"AAAAAH/7/5k=")</f>
        <v>#REF!</v>
      </c>
      <c r="EY66" t="e">
        <f>AND(#REF!,"AAAAAH/7/5o=")</f>
        <v>#REF!</v>
      </c>
      <c r="EZ66" t="e">
        <f>AND(#REF!,"AAAAAH/7/5s=")</f>
        <v>#REF!</v>
      </c>
      <c r="FA66" t="e">
        <f>AND(#REF!,"AAAAAH/7/5w=")</f>
        <v>#REF!</v>
      </c>
      <c r="FB66" t="e">
        <f>IF(#REF!,"AAAAAH/7/50=",0)</f>
        <v>#REF!</v>
      </c>
      <c r="FC66" t="e">
        <f>AND(#REF!,"AAAAAH/7/54=")</f>
        <v>#REF!</v>
      </c>
      <c r="FD66" t="e">
        <f>AND(#REF!,"AAAAAH/7/58=")</f>
        <v>#REF!</v>
      </c>
      <c r="FE66" t="e">
        <f>AND(#REF!,"AAAAAH/7/6A=")</f>
        <v>#REF!</v>
      </c>
      <c r="FF66" t="e">
        <f>AND(#REF!,"AAAAAH/7/6E=")</f>
        <v>#REF!</v>
      </c>
      <c r="FG66" t="e">
        <f>AND(#REF!,"AAAAAH/7/6I=")</f>
        <v>#REF!</v>
      </c>
      <c r="FH66" t="e">
        <f>AND(#REF!,"AAAAAH/7/6M=")</f>
        <v>#REF!</v>
      </c>
      <c r="FI66" t="e">
        <f>IF(#REF!,"AAAAAH/7/6Q=",0)</f>
        <v>#REF!</v>
      </c>
      <c r="FJ66" t="e">
        <f>AND(#REF!,"AAAAAH/7/6U=")</f>
        <v>#REF!</v>
      </c>
      <c r="FK66" t="e">
        <f>AND(#REF!,"AAAAAH/7/6Y=")</f>
        <v>#REF!</v>
      </c>
      <c r="FL66" t="e">
        <f>AND(#REF!,"AAAAAH/7/6c=")</f>
        <v>#REF!</v>
      </c>
      <c r="FM66" t="e">
        <f>AND(#REF!,"AAAAAH/7/6g=")</f>
        <v>#REF!</v>
      </c>
      <c r="FN66" t="e">
        <f>AND(#REF!,"AAAAAH/7/6k=")</f>
        <v>#REF!</v>
      </c>
      <c r="FO66" t="e">
        <f>AND(#REF!,"AAAAAH/7/6o=")</f>
        <v>#REF!</v>
      </c>
      <c r="FP66" t="e">
        <f>IF(#REF!,"AAAAAH/7/6s=",0)</f>
        <v>#REF!</v>
      </c>
      <c r="FQ66" t="e">
        <f>AND(#REF!,"AAAAAH/7/6w=")</f>
        <v>#REF!</v>
      </c>
      <c r="FR66" t="e">
        <f>AND(#REF!,"AAAAAH/7/60=")</f>
        <v>#REF!</v>
      </c>
      <c r="FS66" t="e">
        <f>AND(#REF!,"AAAAAH/7/64=")</f>
        <v>#REF!</v>
      </c>
      <c r="FT66" t="e">
        <f>AND(#REF!,"AAAAAH/7/68=")</f>
        <v>#REF!</v>
      </c>
      <c r="FU66" t="e">
        <f>AND(#REF!,"AAAAAH/7/7A=")</f>
        <v>#REF!</v>
      </c>
      <c r="FV66" t="e">
        <f>AND(#REF!,"AAAAAH/7/7E=")</f>
        <v>#REF!</v>
      </c>
      <c r="FW66" t="e">
        <f>IF(#REF!,"AAAAAH/7/7I=",0)</f>
        <v>#REF!</v>
      </c>
      <c r="FX66" t="e">
        <f>AND(#REF!,"AAAAAH/7/7M=")</f>
        <v>#REF!</v>
      </c>
      <c r="FY66" t="e">
        <f>AND(#REF!,"AAAAAH/7/7Q=")</f>
        <v>#REF!</v>
      </c>
      <c r="FZ66" t="e">
        <f>AND(#REF!,"AAAAAH/7/7U=")</f>
        <v>#REF!</v>
      </c>
      <c r="GA66" t="e">
        <f>AND(#REF!,"AAAAAH/7/7Y=")</f>
        <v>#REF!</v>
      </c>
      <c r="GB66" t="e">
        <f>AND(#REF!,"AAAAAH/7/7c=")</f>
        <v>#REF!</v>
      </c>
      <c r="GC66" t="e">
        <f>AND(#REF!,"AAAAAH/7/7g=")</f>
        <v>#REF!</v>
      </c>
      <c r="GD66" t="e">
        <f>IF(#REF!,"AAAAAH/7/7k=",0)</f>
        <v>#REF!</v>
      </c>
      <c r="GE66" t="e">
        <f>AND(#REF!,"AAAAAH/7/7o=")</f>
        <v>#REF!</v>
      </c>
      <c r="GF66" t="e">
        <f>AND(#REF!,"AAAAAH/7/7s=")</f>
        <v>#REF!</v>
      </c>
      <c r="GG66" t="e">
        <f>AND(#REF!,"AAAAAH/7/7w=")</f>
        <v>#REF!</v>
      </c>
      <c r="GH66" t="e">
        <f>AND(#REF!,"AAAAAH/7/70=")</f>
        <v>#REF!</v>
      </c>
      <c r="GI66" t="e">
        <f>AND(#REF!,"AAAAAH/7/74=")</f>
        <v>#REF!</v>
      </c>
      <c r="GJ66" t="e">
        <f>AND(#REF!,"AAAAAH/7/78=")</f>
        <v>#REF!</v>
      </c>
      <c r="GK66" t="e">
        <f>IF(#REF!,"AAAAAH/7/8A=",0)</f>
        <v>#REF!</v>
      </c>
      <c r="GL66" t="e">
        <f>AND(#REF!,"AAAAAH/7/8E=")</f>
        <v>#REF!</v>
      </c>
      <c r="GM66" t="e">
        <f>AND(#REF!,"AAAAAH/7/8I=")</f>
        <v>#REF!</v>
      </c>
      <c r="GN66" t="e">
        <f>AND(#REF!,"AAAAAH/7/8M=")</f>
        <v>#REF!</v>
      </c>
      <c r="GO66" t="e">
        <f>AND(#REF!,"AAAAAH/7/8Q=")</f>
        <v>#REF!</v>
      </c>
      <c r="GP66" t="e">
        <f>AND(#REF!,"AAAAAH/7/8U=")</f>
        <v>#REF!</v>
      </c>
      <c r="GQ66" t="e">
        <f>AND(#REF!,"AAAAAH/7/8Y=")</f>
        <v>#REF!</v>
      </c>
      <c r="GR66" t="e">
        <f>IF(#REF!,"AAAAAH/7/8c=",0)</f>
        <v>#REF!</v>
      </c>
      <c r="GS66" t="e">
        <f>AND(#REF!,"AAAAAH/7/8g=")</f>
        <v>#REF!</v>
      </c>
      <c r="GT66" t="e">
        <f>AND(#REF!,"AAAAAH/7/8k=")</f>
        <v>#REF!</v>
      </c>
      <c r="GU66" t="e">
        <f>AND(#REF!,"AAAAAH/7/8o=")</f>
        <v>#REF!</v>
      </c>
      <c r="GV66" t="e">
        <f>AND(#REF!,"AAAAAH/7/8s=")</f>
        <v>#REF!</v>
      </c>
      <c r="GW66" t="e">
        <f>AND(#REF!,"AAAAAH/7/8w=")</f>
        <v>#REF!</v>
      </c>
      <c r="GX66" t="e">
        <f>AND(#REF!,"AAAAAH/7/80=")</f>
        <v>#REF!</v>
      </c>
      <c r="GY66" t="e">
        <f>IF(#REF!,"AAAAAH/7/84=",0)</f>
        <v>#REF!</v>
      </c>
      <c r="GZ66" t="e">
        <f>AND(#REF!,"AAAAAH/7/88=")</f>
        <v>#REF!</v>
      </c>
      <c r="HA66" t="e">
        <f>AND(#REF!,"AAAAAH/7/9A=")</f>
        <v>#REF!</v>
      </c>
      <c r="HB66" t="e">
        <f>AND(#REF!,"AAAAAH/7/9E=")</f>
        <v>#REF!</v>
      </c>
      <c r="HC66" t="e">
        <f>AND(#REF!,"AAAAAH/7/9I=")</f>
        <v>#REF!</v>
      </c>
      <c r="HD66" t="e">
        <f>AND(#REF!,"AAAAAH/7/9M=")</f>
        <v>#REF!</v>
      </c>
      <c r="HE66" t="e">
        <f>AND(#REF!,"AAAAAH/7/9Q=")</f>
        <v>#REF!</v>
      </c>
      <c r="HF66" t="e">
        <f>IF(#REF!,"AAAAAH/7/9U=",0)</f>
        <v>#REF!</v>
      </c>
      <c r="HG66" t="e">
        <f>AND(#REF!,"AAAAAH/7/9Y=")</f>
        <v>#REF!</v>
      </c>
      <c r="HH66" t="e">
        <f>AND(#REF!,"AAAAAH/7/9c=")</f>
        <v>#REF!</v>
      </c>
      <c r="HI66" t="e">
        <f>AND(#REF!,"AAAAAH/7/9g=")</f>
        <v>#REF!</v>
      </c>
      <c r="HJ66" t="e">
        <f>AND(#REF!,"AAAAAH/7/9k=")</f>
        <v>#REF!</v>
      </c>
      <c r="HK66" t="e">
        <f>AND(#REF!,"AAAAAH/7/9o=")</f>
        <v>#REF!</v>
      </c>
      <c r="HL66" t="e">
        <f>AND(#REF!,"AAAAAH/7/9s=")</f>
        <v>#REF!</v>
      </c>
      <c r="HM66" t="e">
        <f>IF(#REF!,"AAAAAH/7/9w=",0)</f>
        <v>#REF!</v>
      </c>
      <c r="HN66" t="e">
        <f>AND(#REF!,"AAAAAH/7/90=")</f>
        <v>#REF!</v>
      </c>
      <c r="HO66" t="e">
        <f>AND(#REF!,"AAAAAH/7/94=")</f>
        <v>#REF!</v>
      </c>
      <c r="HP66" t="e">
        <f>AND(#REF!,"AAAAAH/7/98=")</f>
        <v>#REF!</v>
      </c>
      <c r="HQ66" t="e">
        <f>AND(#REF!,"AAAAAH/7/+A=")</f>
        <v>#REF!</v>
      </c>
      <c r="HR66" t="e">
        <f>AND(#REF!,"AAAAAH/7/+E=")</f>
        <v>#REF!</v>
      </c>
      <c r="HS66" t="e">
        <f>AND(#REF!,"AAAAAH/7/+I=")</f>
        <v>#REF!</v>
      </c>
      <c r="HT66" t="e">
        <f>IF(#REF!,"AAAAAH/7/+M=",0)</f>
        <v>#REF!</v>
      </c>
      <c r="HU66" t="e">
        <f>AND(#REF!,"AAAAAH/7/+Q=")</f>
        <v>#REF!</v>
      </c>
      <c r="HV66" t="e">
        <f>AND(#REF!,"AAAAAH/7/+U=")</f>
        <v>#REF!</v>
      </c>
      <c r="HW66" t="e">
        <f>AND(#REF!,"AAAAAH/7/+Y=")</f>
        <v>#REF!</v>
      </c>
      <c r="HX66" t="e">
        <f>AND(#REF!,"AAAAAH/7/+c=")</f>
        <v>#REF!</v>
      </c>
      <c r="HY66" t="e">
        <f>AND(#REF!,"AAAAAH/7/+g=")</f>
        <v>#REF!</v>
      </c>
      <c r="HZ66" t="e">
        <f>AND(#REF!,"AAAAAH/7/+k=")</f>
        <v>#REF!</v>
      </c>
      <c r="IA66" t="e">
        <f>IF(#REF!,"AAAAAH/7/+o=",0)</f>
        <v>#REF!</v>
      </c>
      <c r="IB66" t="e">
        <f>AND(#REF!,"AAAAAH/7/+s=")</f>
        <v>#REF!</v>
      </c>
      <c r="IC66" t="e">
        <f>AND(#REF!,"AAAAAH/7/+w=")</f>
        <v>#REF!</v>
      </c>
      <c r="ID66" t="e">
        <f>AND(#REF!,"AAAAAH/7/+0=")</f>
        <v>#REF!</v>
      </c>
      <c r="IE66" t="e">
        <f>AND(#REF!,"AAAAAH/7/+4=")</f>
        <v>#REF!</v>
      </c>
      <c r="IF66" t="e">
        <f>AND(#REF!,"AAAAAH/7/+8=")</f>
        <v>#REF!</v>
      </c>
      <c r="IG66" t="e">
        <f>AND(#REF!,"AAAAAH/7//A=")</f>
        <v>#REF!</v>
      </c>
      <c r="IH66" t="e">
        <f>IF(#REF!,"AAAAAH/7//E=",0)</f>
        <v>#REF!</v>
      </c>
      <c r="II66" t="e">
        <f>AND(#REF!,"AAAAAH/7//I=")</f>
        <v>#REF!</v>
      </c>
      <c r="IJ66" t="e">
        <f>AND(#REF!,"AAAAAH/7//M=")</f>
        <v>#REF!</v>
      </c>
      <c r="IK66" t="e">
        <f>AND(#REF!,"AAAAAH/7//Q=")</f>
        <v>#REF!</v>
      </c>
      <c r="IL66" t="e">
        <f>AND(#REF!,"AAAAAH/7//U=")</f>
        <v>#REF!</v>
      </c>
      <c r="IM66" t="e">
        <f>AND(#REF!,"AAAAAH/7//Y=")</f>
        <v>#REF!</v>
      </c>
      <c r="IN66" t="e">
        <f>AND(#REF!,"AAAAAH/7//c=")</f>
        <v>#REF!</v>
      </c>
      <c r="IO66" t="e">
        <f>IF(#REF!,"AAAAAH/7//g=",0)</f>
        <v>#REF!</v>
      </c>
      <c r="IP66" t="e">
        <f>AND(#REF!,"AAAAAH/7//k=")</f>
        <v>#REF!</v>
      </c>
      <c r="IQ66" t="e">
        <f>AND(#REF!,"AAAAAH/7//o=")</f>
        <v>#REF!</v>
      </c>
      <c r="IR66" t="e">
        <f>AND(#REF!,"AAAAAH/7//s=")</f>
        <v>#REF!</v>
      </c>
      <c r="IS66" t="e">
        <f>AND(#REF!,"AAAAAH/7//w=")</f>
        <v>#REF!</v>
      </c>
      <c r="IT66" t="e">
        <f>AND(#REF!,"AAAAAH/7//0=")</f>
        <v>#REF!</v>
      </c>
      <c r="IU66" t="e">
        <f>AND(#REF!,"AAAAAH/7//4=")</f>
        <v>#REF!</v>
      </c>
      <c r="IV66" t="e">
        <f>IF(#REF!,"AAAAAH/7//8=",0)</f>
        <v>#REF!</v>
      </c>
    </row>
    <row r="67" spans="1:256" x14ac:dyDescent="0.25">
      <c r="A67" t="e">
        <f>AND(#REF!,"AAAAAB///AA=")</f>
        <v>#REF!</v>
      </c>
      <c r="B67" t="e">
        <f>AND(#REF!,"AAAAAB///AE=")</f>
        <v>#REF!</v>
      </c>
      <c r="C67" t="e">
        <f>AND(#REF!,"AAAAAB///AI=")</f>
        <v>#REF!</v>
      </c>
      <c r="D67" t="e">
        <f>AND(#REF!,"AAAAAB///AM=")</f>
        <v>#REF!</v>
      </c>
      <c r="E67" t="e">
        <f>AND(#REF!,"AAAAAB///AQ=")</f>
        <v>#REF!</v>
      </c>
      <c r="F67" t="e">
        <f>AND(#REF!,"AAAAAB///AU=")</f>
        <v>#REF!</v>
      </c>
      <c r="G67" t="e">
        <f>IF(#REF!,"AAAAAB///AY=",0)</f>
        <v>#REF!</v>
      </c>
      <c r="H67" t="e">
        <f>AND(#REF!,"AAAAAB///Ac=")</f>
        <v>#REF!</v>
      </c>
      <c r="I67" t="e">
        <f>AND(#REF!,"AAAAAB///Ag=")</f>
        <v>#REF!</v>
      </c>
      <c r="J67" t="e">
        <f>AND(#REF!,"AAAAAB///Ak=")</f>
        <v>#REF!</v>
      </c>
      <c r="K67" t="e">
        <f>AND(#REF!,"AAAAAB///Ao=")</f>
        <v>#REF!</v>
      </c>
      <c r="L67" t="e">
        <f>AND(#REF!,"AAAAAB///As=")</f>
        <v>#REF!</v>
      </c>
      <c r="M67" t="e">
        <f>AND(#REF!,"AAAAAB///Aw=")</f>
        <v>#REF!</v>
      </c>
      <c r="N67" t="e">
        <f>IF(#REF!,"AAAAAB///A0=",0)</f>
        <v>#REF!</v>
      </c>
      <c r="O67" t="e">
        <f>AND(#REF!,"AAAAAB///A4=")</f>
        <v>#REF!</v>
      </c>
      <c r="P67" t="e">
        <f>AND(#REF!,"AAAAAB///A8=")</f>
        <v>#REF!</v>
      </c>
      <c r="Q67" t="e">
        <f>AND(#REF!,"AAAAAB///BA=")</f>
        <v>#REF!</v>
      </c>
      <c r="R67" t="e">
        <f>AND(#REF!,"AAAAAB///BE=")</f>
        <v>#REF!</v>
      </c>
      <c r="S67" t="e">
        <f>AND(#REF!,"AAAAAB///BI=")</f>
        <v>#REF!</v>
      </c>
      <c r="T67" t="e">
        <f>AND(#REF!,"AAAAAB///BM=")</f>
        <v>#REF!</v>
      </c>
      <c r="U67" t="e">
        <f>IF(#REF!,"AAAAAB///BQ=",0)</f>
        <v>#REF!</v>
      </c>
      <c r="V67" t="e">
        <f>AND(#REF!,"AAAAAB///BU=")</f>
        <v>#REF!</v>
      </c>
      <c r="W67" t="e">
        <f>AND(#REF!,"AAAAAB///BY=")</f>
        <v>#REF!</v>
      </c>
      <c r="X67" t="e">
        <f>AND(#REF!,"AAAAAB///Bc=")</f>
        <v>#REF!</v>
      </c>
      <c r="Y67" t="e">
        <f>AND(#REF!,"AAAAAB///Bg=")</f>
        <v>#REF!</v>
      </c>
      <c r="Z67" t="e">
        <f>AND(#REF!,"AAAAAB///Bk=")</f>
        <v>#REF!</v>
      </c>
      <c r="AA67" t="e">
        <f>AND(#REF!,"AAAAAB///Bo=")</f>
        <v>#REF!</v>
      </c>
      <c r="AB67" t="e">
        <f>IF(#REF!,"AAAAAB///Bs=",0)</f>
        <v>#REF!</v>
      </c>
      <c r="AC67" t="e">
        <f>AND(#REF!,"AAAAAB///Bw=")</f>
        <v>#REF!</v>
      </c>
      <c r="AD67" t="e">
        <f>AND(#REF!,"AAAAAB///B0=")</f>
        <v>#REF!</v>
      </c>
      <c r="AE67" t="e">
        <f>AND(#REF!,"AAAAAB///B4=")</f>
        <v>#REF!</v>
      </c>
      <c r="AF67" t="e">
        <f>AND(#REF!,"AAAAAB///B8=")</f>
        <v>#REF!</v>
      </c>
      <c r="AG67" t="e">
        <f>AND(#REF!,"AAAAAB///CA=")</f>
        <v>#REF!</v>
      </c>
      <c r="AH67" t="e">
        <f>AND(#REF!,"AAAAAB///CE=")</f>
        <v>#REF!</v>
      </c>
      <c r="AI67" t="e">
        <f>IF(#REF!,"AAAAAB///CI=",0)</f>
        <v>#REF!</v>
      </c>
      <c r="AJ67" t="e">
        <f>AND(#REF!,"AAAAAB///CM=")</f>
        <v>#REF!</v>
      </c>
      <c r="AK67" t="e">
        <f>AND(#REF!,"AAAAAB///CQ=")</f>
        <v>#REF!</v>
      </c>
      <c r="AL67" t="e">
        <f>AND(#REF!,"AAAAAB///CU=")</f>
        <v>#REF!</v>
      </c>
      <c r="AM67" t="e">
        <f>AND(#REF!,"AAAAAB///CY=")</f>
        <v>#REF!</v>
      </c>
      <c r="AN67" t="e">
        <f>AND(#REF!,"AAAAAB///Cc=")</f>
        <v>#REF!</v>
      </c>
      <c r="AO67" t="e">
        <f>AND(#REF!,"AAAAAB///Cg=")</f>
        <v>#REF!</v>
      </c>
      <c r="AP67" t="e">
        <f>IF(#REF!,"AAAAAB///Ck=",0)</f>
        <v>#REF!</v>
      </c>
      <c r="AQ67" t="e">
        <f>AND(#REF!,"AAAAAB///Co=")</f>
        <v>#REF!</v>
      </c>
      <c r="AR67" t="e">
        <f>AND(#REF!,"AAAAAB///Cs=")</f>
        <v>#REF!</v>
      </c>
      <c r="AS67" t="e">
        <f>AND(#REF!,"AAAAAB///Cw=")</f>
        <v>#REF!</v>
      </c>
      <c r="AT67" t="e">
        <f>AND(#REF!,"AAAAAB///C0=")</f>
        <v>#REF!</v>
      </c>
      <c r="AU67" t="e">
        <f>AND(#REF!,"AAAAAB///C4=")</f>
        <v>#REF!</v>
      </c>
      <c r="AV67" t="e">
        <f>AND(#REF!,"AAAAAB///C8=")</f>
        <v>#REF!</v>
      </c>
      <c r="AW67" t="e">
        <f>IF(#REF!,"AAAAAB///DA=",0)</f>
        <v>#REF!</v>
      </c>
      <c r="AX67" t="e">
        <f>AND(#REF!,"AAAAAB///DE=")</f>
        <v>#REF!</v>
      </c>
      <c r="AY67" t="e">
        <f>AND(#REF!,"AAAAAB///DI=")</f>
        <v>#REF!</v>
      </c>
      <c r="AZ67" t="e">
        <f>AND(#REF!,"AAAAAB///DM=")</f>
        <v>#REF!</v>
      </c>
      <c r="BA67" t="e">
        <f>AND(#REF!,"AAAAAB///DQ=")</f>
        <v>#REF!</v>
      </c>
      <c r="BB67" t="e">
        <f>AND(#REF!,"AAAAAB///DU=")</f>
        <v>#REF!</v>
      </c>
      <c r="BC67" t="e">
        <f>AND(#REF!,"AAAAAB///DY=")</f>
        <v>#REF!</v>
      </c>
      <c r="BD67" t="e">
        <f>IF(#REF!,"AAAAAB///Dc=",0)</f>
        <v>#REF!</v>
      </c>
      <c r="BE67" t="e">
        <f>AND(#REF!,"AAAAAB///Dg=")</f>
        <v>#REF!</v>
      </c>
      <c r="BF67" t="e">
        <f>AND(#REF!,"AAAAAB///Dk=")</f>
        <v>#REF!</v>
      </c>
      <c r="BG67" t="e">
        <f>AND(#REF!,"AAAAAB///Do=")</f>
        <v>#REF!</v>
      </c>
      <c r="BH67" t="e">
        <f>AND(#REF!,"AAAAAB///Ds=")</f>
        <v>#REF!</v>
      </c>
      <c r="BI67" t="e">
        <f>AND(#REF!,"AAAAAB///Dw=")</f>
        <v>#REF!</v>
      </c>
      <c r="BJ67" t="e">
        <f>AND(#REF!,"AAAAAB///D0=")</f>
        <v>#REF!</v>
      </c>
      <c r="BK67" t="e">
        <f>IF(#REF!,"AAAAAB///D4=",0)</f>
        <v>#REF!</v>
      </c>
      <c r="BL67" t="e">
        <f>AND(#REF!,"AAAAAB///D8=")</f>
        <v>#REF!</v>
      </c>
      <c r="BM67" t="e">
        <f>AND(#REF!,"AAAAAB///EA=")</f>
        <v>#REF!</v>
      </c>
      <c r="BN67" t="e">
        <f>AND(#REF!,"AAAAAB///EE=")</f>
        <v>#REF!</v>
      </c>
      <c r="BO67" t="e">
        <f>AND(#REF!,"AAAAAB///EI=")</f>
        <v>#REF!</v>
      </c>
      <c r="BP67" t="e">
        <f>AND(#REF!,"AAAAAB///EM=")</f>
        <v>#REF!</v>
      </c>
      <c r="BQ67" t="e">
        <f>AND(#REF!,"AAAAAB///EQ=")</f>
        <v>#REF!</v>
      </c>
      <c r="BR67" t="e">
        <f>IF(#REF!,"AAAAAB///EU=",0)</f>
        <v>#REF!</v>
      </c>
      <c r="BS67" t="e">
        <f>AND(#REF!,"AAAAAB///EY=")</f>
        <v>#REF!</v>
      </c>
      <c r="BT67" t="e">
        <f>AND(#REF!,"AAAAAB///Ec=")</f>
        <v>#REF!</v>
      </c>
      <c r="BU67" t="e">
        <f>AND(#REF!,"AAAAAB///Eg=")</f>
        <v>#REF!</v>
      </c>
      <c r="BV67" t="e">
        <f>AND(#REF!,"AAAAAB///Ek=")</f>
        <v>#REF!</v>
      </c>
      <c r="BW67" t="e">
        <f>AND(#REF!,"AAAAAB///Eo=")</f>
        <v>#REF!</v>
      </c>
      <c r="BX67" t="e">
        <f>AND(#REF!,"AAAAAB///Es=")</f>
        <v>#REF!</v>
      </c>
      <c r="BY67" t="e">
        <f>IF(#REF!,"AAAAAB///Ew=",0)</f>
        <v>#REF!</v>
      </c>
      <c r="BZ67" t="e">
        <f>AND(#REF!,"AAAAAB///E0=")</f>
        <v>#REF!</v>
      </c>
      <c r="CA67" t="e">
        <f>AND(#REF!,"AAAAAB///E4=")</f>
        <v>#REF!</v>
      </c>
      <c r="CB67" t="e">
        <f>AND(#REF!,"AAAAAB///E8=")</f>
        <v>#REF!</v>
      </c>
      <c r="CC67" t="e">
        <f>AND(#REF!,"AAAAAB///FA=")</f>
        <v>#REF!</v>
      </c>
      <c r="CD67" t="e">
        <f>AND(#REF!,"AAAAAB///FE=")</f>
        <v>#REF!</v>
      </c>
      <c r="CE67" t="e">
        <f>AND(#REF!,"AAAAAB///FI=")</f>
        <v>#REF!</v>
      </c>
      <c r="CF67" t="e">
        <f>IF(#REF!,"AAAAAB///FM=",0)</f>
        <v>#REF!</v>
      </c>
      <c r="CG67" t="e">
        <f>AND(#REF!,"AAAAAB///FQ=")</f>
        <v>#REF!</v>
      </c>
      <c r="CH67" t="e">
        <f>AND(#REF!,"AAAAAB///FU=")</f>
        <v>#REF!</v>
      </c>
      <c r="CI67" t="e">
        <f>AND(#REF!,"AAAAAB///FY=")</f>
        <v>#REF!</v>
      </c>
      <c r="CJ67" t="e">
        <f>AND(#REF!,"AAAAAB///Fc=")</f>
        <v>#REF!</v>
      </c>
      <c r="CK67" t="e">
        <f>AND(#REF!,"AAAAAB///Fg=")</f>
        <v>#REF!</v>
      </c>
      <c r="CL67" t="e">
        <f>AND(#REF!,"AAAAAB///Fk=")</f>
        <v>#REF!</v>
      </c>
      <c r="CM67" t="e">
        <f>IF(#REF!,"AAAAAB///Fo=",0)</f>
        <v>#REF!</v>
      </c>
      <c r="CN67" t="e">
        <f>AND(#REF!,"AAAAAB///Fs=")</f>
        <v>#REF!</v>
      </c>
      <c r="CO67" t="e">
        <f>AND(#REF!,"AAAAAB///Fw=")</f>
        <v>#REF!</v>
      </c>
      <c r="CP67" t="e">
        <f>AND(#REF!,"AAAAAB///F0=")</f>
        <v>#REF!</v>
      </c>
      <c r="CQ67" t="e">
        <f>AND(#REF!,"AAAAAB///F4=")</f>
        <v>#REF!</v>
      </c>
      <c r="CR67" t="e">
        <f>AND(#REF!,"AAAAAB///F8=")</f>
        <v>#REF!</v>
      </c>
      <c r="CS67" t="e">
        <f>AND(#REF!,"AAAAAB///GA=")</f>
        <v>#REF!</v>
      </c>
      <c r="CT67" t="e">
        <f>IF(#REF!,"AAAAAB///GE=",0)</f>
        <v>#REF!</v>
      </c>
      <c r="CU67" t="e">
        <f>AND(#REF!,"AAAAAB///GI=")</f>
        <v>#REF!</v>
      </c>
      <c r="CV67" t="e">
        <f>AND(#REF!,"AAAAAB///GM=")</f>
        <v>#REF!</v>
      </c>
      <c r="CW67" t="e">
        <f>AND(#REF!,"AAAAAB///GQ=")</f>
        <v>#REF!</v>
      </c>
      <c r="CX67" t="e">
        <f>AND(#REF!,"AAAAAB///GU=")</f>
        <v>#REF!</v>
      </c>
      <c r="CY67" t="e">
        <f>AND(#REF!,"AAAAAB///GY=")</f>
        <v>#REF!</v>
      </c>
      <c r="CZ67" t="e">
        <f>AND(#REF!,"AAAAAB///Gc=")</f>
        <v>#REF!</v>
      </c>
      <c r="DA67" t="e">
        <f>IF(#REF!,"AAAAAB///Gg=",0)</f>
        <v>#REF!</v>
      </c>
      <c r="DB67" t="e">
        <f>AND(#REF!,"AAAAAB///Gk=")</f>
        <v>#REF!</v>
      </c>
      <c r="DC67" t="e">
        <f>AND(#REF!,"AAAAAB///Go=")</f>
        <v>#REF!</v>
      </c>
      <c r="DD67" t="e">
        <f>AND(#REF!,"AAAAAB///Gs=")</f>
        <v>#REF!</v>
      </c>
      <c r="DE67" t="e">
        <f>AND(#REF!,"AAAAAB///Gw=")</f>
        <v>#REF!</v>
      </c>
      <c r="DF67" t="e">
        <f>AND(#REF!,"AAAAAB///G0=")</f>
        <v>#REF!</v>
      </c>
      <c r="DG67" t="e">
        <f>AND(#REF!,"AAAAAB///G4=")</f>
        <v>#REF!</v>
      </c>
      <c r="DH67" t="e">
        <f>IF(#REF!,"AAAAAB///G8=",0)</f>
        <v>#REF!</v>
      </c>
      <c r="DI67" t="e">
        <f>AND(#REF!,"AAAAAB///HA=")</f>
        <v>#REF!</v>
      </c>
      <c r="DJ67" t="e">
        <f>AND(#REF!,"AAAAAB///HE=")</f>
        <v>#REF!</v>
      </c>
      <c r="DK67" t="e">
        <f>AND(#REF!,"AAAAAB///HI=")</f>
        <v>#REF!</v>
      </c>
      <c r="DL67" t="e">
        <f>AND(#REF!,"AAAAAB///HM=")</f>
        <v>#REF!</v>
      </c>
      <c r="DM67" t="e">
        <f>AND(#REF!,"AAAAAB///HQ=")</f>
        <v>#REF!</v>
      </c>
      <c r="DN67" t="e">
        <f>AND(#REF!,"AAAAAB///HU=")</f>
        <v>#REF!</v>
      </c>
      <c r="DO67" t="e">
        <f>IF(#REF!,"AAAAAB///HY=",0)</f>
        <v>#REF!</v>
      </c>
      <c r="DP67" t="e">
        <f>AND(#REF!,"AAAAAB///Hc=")</f>
        <v>#REF!</v>
      </c>
      <c r="DQ67" t="e">
        <f>AND(#REF!,"AAAAAB///Hg=")</f>
        <v>#REF!</v>
      </c>
      <c r="DR67" t="e">
        <f>AND(#REF!,"AAAAAB///Hk=")</f>
        <v>#REF!</v>
      </c>
      <c r="DS67" t="e">
        <f>AND(#REF!,"AAAAAB///Ho=")</f>
        <v>#REF!</v>
      </c>
      <c r="DT67" t="e">
        <f>AND(#REF!,"AAAAAB///Hs=")</f>
        <v>#REF!</v>
      </c>
      <c r="DU67" t="e">
        <f>AND(#REF!,"AAAAAB///Hw=")</f>
        <v>#REF!</v>
      </c>
      <c r="DV67" t="e">
        <f>IF(#REF!,"AAAAAB///H0=",0)</f>
        <v>#REF!</v>
      </c>
      <c r="DW67" t="e">
        <f>AND(#REF!,"AAAAAB///H4=")</f>
        <v>#REF!</v>
      </c>
      <c r="DX67" t="e">
        <f>AND(#REF!,"AAAAAB///H8=")</f>
        <v>#REF!</v>
      </c>
      <c r="DY67" t="e">
        <f>AND(#REF!,"AAAAAB///IA=")</f>
        <v>#REF!</v>
      </c>
      <c r="DZ67" t="e">
        <f>AND(#REF!,"AAAAAB///IE=")</f>
        <v>#REF!</v>
      </c>
      <c r="EA67" t="e">
        <f>AND(#REF!,"AAAAAB///II=")</f>
        <v>#REF!</v>
      </c>
      <c r="EB67" t="e">
        <f>AND(#REF!,"AAAAAB///IM=")</f>
        <v>#REF!</v>
      </c>
      <c r="EC67" t="e">
        <f>IF(#REF!,"AAAAAB///IQ=",0)</f>
        <v>#REF!</v>
      </c>
      <c r="ED67" t="e">
        <f>AND(#REF!,"AAAAAB///IU=")</f>
        <v>#REF!</v>
      </c>
      <c r="EE67" t="e">
        <f>AND(#REF!,"AAAAAB///IY=")</f>
        <v>#REF!</v>
      </c>
      <c r="EF67" t="e">
        <f>AND(#REF!,"AAAAAB///Ic=")</f>
        <v>#REF!</v>
      </c>
      <c r="EG67" t="e">
        <f>AND(#REF!,"AAAAAB///Ig=")</f>
        <v>#REF!</v>
      </c>
      <c r="EH67" t="e">
        <f>AND(#REF!,"AAAAAB///Ik=")</f>
        <v>#REF!</v>
      </c>
      <c r="EI67" t="e">
        <f>AND(#REF!,"AAAAAB///Io=")</f>
        <v>#REF!</v>
      </c>
      <c r="EJ67" t="e">
        <f>IF(#REF!,"AAAAAB///Is=",0)</f>
        <v>#REF!</v>
      </c>
      <c r="EK67" t="e">
        <f>AND(#REF!,"AAAAAB///Iw=")</f>
        <v>#REF!</v>
      </c>
      <c r="EL67" t="e">
        <f>AND(#REF!,"AAAAAB///I0=")</f>
        <v>#REF!</v>
      </c>
      <c r="EM67" t="e">
        <f>AND(#REF!,"AAAAAB///I4=")</f>
        <v>#REF!</v>
      </c>
      <c r="EN67" t="e">
        <f>AND(#REF!,"AAAAAB///I8=")</f>
        <v>#REF!</v>
      </c>
      <c r="EO67" t="e">
        <f>AND(#REF!,"AAAAAB///JA=")</f>
        <v>#REF!</v>
      </c>
      <c r="EP67" t="e">
        <f>AND(#REF!,"AAAAAB///JE=")</f>
        <v>#REF!</v>
      </c>
      <c r="EQ67" t="e">
        <f>IF(#REF!,"AAAAAB///JI=",0)</f>
        <v>#REF!</v>
      </c>
      <c r="ER67" t="e">
        <f>AND(#REF!,"AAAAAB///JM=")</f>
        <v>#REF!</v>
      </c>
      <c r="ES67" t="e">
        <f>AND(#REF!,"AAAAAB///JQ=")</f>
        <v>#REF!</v>
      </c>
      <c r="ET67" t="e">
        <f>AND(#REF!,"AAAAAB///JU=")</f>
        <v>#REF!</v>
      </c>
      <c r="EU67" t="e">
        <f>AND(#REF!,"AAAAAB///JY=")</f>
        <v>#REF!</v>
      </c>
      <c r="EV67" t="e">
        <f>AND(#REF!,"AAAAAB///Jc=")</f>
        <v>#REF!</v>
      </c>
      <c r="EW67" t="e">
        <f>AND(#REF!,"AAAAAB///Jg=")</f>
        <v>#REF!</v>
      </c>
      <c r="EX67" t="e">
        <f>IF(#REF!,"AAAAAB///Jk=",0)</f>
        <v>#REF!</v>
      </c>
      <c r="EY67" t="e">
        <f>AND(#REF!,"AAAAAB///Jo=")</f>
        <v>#REF!</v>
      </c>
      <c r="EZ67" t="e">
        <f>AND(#REF!,"AAAAAB///Js=")</f>
        <v>#REF!</v>
      </c>
      <c r="FA67" t="e">
        <f>AND(#REF!,"AAAAAB///Jw=")</f>
        <v>#REF!</v>
      </c>
      <c r="FB67" t="e">
        <f>AND(#REF!,"AAAAAB///J0=")</f>
        <v>#REF!</v>
      </c>
      <c r="FC67" t="e">
        <f>AND(#REF!,"AAAAAB///J4=")</f>
        <v>#REF!</v>
      </c>
      <c r="FD67" t="e">
        <f>AND(#REF!,"AAAAAB///J8=")</f>
        <v>#REF!</v>
      </c>
      <c r="FE67" t="e">
        <f>IF(#REF!,"AAAAAB///KA=",0)</f>
        <v>#REF!</v>
      </c>
      <c r="FF67" t="e">
        <f>AND(#REF!,"AAAAAB///KE=")</f>
        <v>#REF!</v>
      </c>
      <c r="FG67" t="e">
        <f>AND(#REF!,"AAAAAB///KI=")</f>
        <v>#REF!</v>
      </c>
      <c r="FH67" t="e">
        <f>AND(#REF!,"AAAAAB///KM=")</f>
        <v>#REF!</v>
      </c>
      <c r="FI67" t="e">
        <f>AND(#REF!,"AAAAAB///KQ=")</f>
        <v>#REF!</v>
      </c>
      <c r="FJ67" t="e">
        <f>AND(#REF!,"AAAAAB///KU=")</f>
        <v>#REF!</v>
      </c>
      <c r="FK67" t="e">
        <f>AND(#REF!,"AAAAAB///KY=")</f>
        <v>#REF!</v>
      </c>
      <c r="FL67" t="e">
        <f>IF(#REF!,"AAAAAB///Kc=",0)</f>
        <v>#REF!</v>
      </c>
      <c r="FM67" t="e">
        <f>AND(#REF!,"AAAAAB///Kg=")</f>
        <v>#REF!</v>
      </c>
      <c r="FN67" t="e">
        <f>AND(#REF!,"AAAAAB///Kk=")</f>
        <v>#REF!</v>
      </c>
      <c r="FO67" t="e">
        <f>AND(#REF!,"AAAAAB///Ko=")</f>
        <v>#REF!</v>
      </c>
      <c r="FP67" t="e">
        <f>AND(#REF!,"AAAAAB///Ks=")</f>
        <v>#REF!</v>
      </c>
      <c r="FQ67" t="e">
        <f>AND(#REF!,"AAAAAB///Kw=")</f>
        <v>#REF!</v>
      </c>
      <c r="FR67" t="e">
        <f>AND(#REF!,"AAAAAB///K0=")</f>
        <v>#REF!</v>
      </c>
      <c r="FS67" t="e">
        <f>IF(#REF!,"AAAAAB///K4=",0)</f>
        <v>#REF!</v>
      </c>
      <c r="FT67" t="e">
        <f>AND(#REF!,"AAAAAB///K8=")</f>
        <v>#REF!</v>
      </c>
      <c r="FU67" t="e">
        <f>AND(#REF!,"AAAAAB///LA=")</f>
        <v>#REF!</v>
      </c>
      <c r="FV67" t="e">
        <f>AND(#REF!,"AAAAAB///LE=")</f>
        <v>#REF!</v>
      </c>
      <c r="FW67" t="e">
        <f>AND(#REF!,"AAAAAB///LI=")</f>
        <v>#REF!</v>
      </c>
      <c r="FX67" t="e">
        <f>AND(#REF!,"AAAAAB///LM=")</f>
        <v>#REF!</v>
      </c>
      <c r="FY67" t="e">
        <f>AND(#REF!,"AAAAAB///LQ=")</f>
        <v>#REF!</v>
      </c>
      <c r="FZ67" t="e">
        <f>IF(#REF!,"AAAAAB///LU=",0)</f>
        <v>#REF!</v>
      </c>
      <c r="GA67" t="e">
        <f>AND(#REF!,"AAAAAB///LY=")</f>
        <v>#REF!</v>
      </c>
      <c r="GB67" t="e">
        <f>AND(#REF!,"AAAAAB///Lc=")</f>
        <v>#REF!</v>
      </c>
      <c r="GC67" t="e">
        <f>AND(#REF!,"AAAAAB///Lg=")</f>
        <v>#REF!</v>
      </c>
      <c r="GD67" t="e">
        <f>AND(#REF!,"AAAAAB///Lk=")</f>
        <v>#REF!</v>
      </c>
      <c r="GE67" t="e">
        <f>AND(#REF!,"AAAAAB///Lo=")</f>
        <v>#REF!</v>
      </c>
      <c r="GF67" t="e">
        <f>AND(#REF!,"AAAAAB///Ls=")</f>
        <v>#REF!</v>
      </c>
      <c r="GG67" t="e">
        <f>IF(#REF!,"AAAAAB///Lw=",0)</f>
        <v>#REF!</v>
      </c>
      <c r="GH67" t="e">
        <f>AND(#REF!,"AAAAAB///L0=")</f>
        <v>#REF!</v>
      </c>
      <c r="GI67" t="e">
        <f>AND(#REF!,"AAAAAB///L4=")</f>
        <v>#REF!</v>
      </c>
      <c r="GJ67" t="e">
        <f>AND(#REF!,"AAAAAB///L8=")</f>
        <v>#REF!</v>
      </c>
      <c r="GK67" t="e">
        <f>AND(#REF!,"AAAAAB///MA=")</f>
        <v>#REF!</v>
      </c>
      <c r="GL67" t="e">
        <f>AND(#REF!,"AAAAAB///ME=")</f>
        <v>#REF!</v>
      </c>
      <c r="GM67" t="e">
        <f>AND(#REF!,"AAAAAB///MI=")</f>
        <v>#REF!</v>
      </c>
      <c r="GN67" t="e">
        <f>IF(#REF!,"AAAAAB///MM=",0)</f>
        <v>#REF!</v>
      </c>
      <c r="GO67" t="e">
        <f>AND(#REF!,"AAAAAB///MQ=")</f>
        <v>#REF!</v>
      </c>
      <c r="GP67" t="e">
        <f>AND(#REF!,"AAAAAB///MU=")</f>
        <v>#REF!</v>
      </c>
      <c r="GQ67" t="e">
        <f>AND(#REF!,"AAAAAB///MY=")</f>
        <v>#REF!</v>
      </c>
      <c r="GR67" t="e">
        <f>AND(#REF!,"AAAAAB///Mc=")</f>
        <v>#REF!</v>
      </c>
      <c r="GS67" t="e">
        <f>AND(#REF!,"AAAAAB///Mg=")</f>
        <v>#REF!</v>
      </c>
      <c r="GT67" t="e">
        <f>AND(#REF!,"AAAAAB///Mk=")</f>
        <v>#REF!</v>
      </c>
      <c r="GU67" t="e">
        <f>IF(#REF!,"AAAAAB///Mo=",0)</f>
        <v>#REF!</v>
      </c>
      <c r="GV67" t="e">
        <f>AND(#REF!,"AAAAAB///Ms=")</f>
        <v>#REF!</v>
      </c>
      <c r="GW67" t="e">
        <f>AND(#REF!,"AAAAAB///Mw=")</f>
        <v>#REF!</v>
      </c>
      <c r="GX67" t="e">
        <f>AND(#REF!,"AAAAAB///M0=")</f>
        <v>#REF!</v>
      </c>
      <c r="GY67" t="e">
        <f>AND(#REF!,"AAAAAB///M4=")</f>
        <v>#REF!</v>
      </c>
      <c r="GZ67" t="e">
        <f>AND(#REF!,"AAAAAB///M8=")</f>
        <v>#REF!</v>
      </c>
      <c r="HA67" t="e">
        <f>AND(#REF!,"AAAAAB///NA=")</f>
        <v>#REF!</v>
      </c>
      <c r="HB67" t="e">
        <f>IF(#REF!,"AAAAAB///NE=",0)</f>
        <v>#REF!</v>
      </c>
      <c r="HC67" t="e">
        <f>AND(#REF!,"AAAAAB///NI=")</f>
        <v>#REF!</v>
      </c>
      <c r="HD67" t="e">
        <f>AND(#REF!,"AAAAAB///NM=")</f>
        <v>#REF!</v>
      </c>
      <c r="HE67" t="e">
        <f>AND(#REF!,"AAAAAB///NQ=")</f>
        <v>#REF!</v>
      </c>
      <c r="HF67" t="e">
        <f>AND(#REF!,"AAAAAB///NU=")</f>
        <v>#REF!</v>
      </c>
      <c r="HG67" t="e">
        <f>AND(#REF!,"AAAAAB///NY=")</f>
        <v>#REF!</v>
      </c>
      <c r="HH67" t="e">
        <f>AND(#REF!,"AAAAAB///Nc=")</f>
        <v>#REF!</v>
      </c>
      <c r="HI67" t="e">
        <f>IF(#REF!,"AAAAAB///Ng=",0)</f>
        <v>#REF!</v>
      </c>
      <c r="HJ67" t="e">
        <f>AND(#REF!,"AAAAAB///Nk=")</f>
        <v>#REF!</v>
      </c>
      <c r="HK67" t="e">
        <f>AND(#REF!,"AAAAAB///No=")</f>
        <v>#REF!</v>
      </c>
      <c r="HL67" t="e">
        <f>AND(#REF!,"AAAAAB///Ns=")</f>
        <v>#REF!</v>
      </c>
      <c r="HM67" t="e">
        <f>AND(#REF!,"AAAAAB///Nw=")</f>
        <v>#REF!</v>
      </c>
      <c r="HN67" t="e">
        <f>IF(#REF!,"AAAAAB///N0=",0)</f>
        <v>#REF!</v>
      </c>
      <c r="HO67" t="e">
        <f>AND(#REF!,"AAAAAB///N4=")</f>
        <v>#REF!</v>
      </c>
      <c r="HP67" t="e">
        <f>AND(#REF!,"AAAAAB///N8=")</f>
        <v>#REF!</v>
      </c>
      <c r="HQ67" t="e">
        <f>AND(#REF!,"AAAAAB///OA=")</f>
        <v>#REF!</v>
      </c>
      <c r="HR67" t="e">
        <f>AND(#REF!,"AAAAAB///OE=")</f>
        <v>#REF!</v>
      </c>
      <c r="HS67" t="e">
        <f>IF(#REF!,"AAAAAB///OI=",0)</f>
        <v>#REF!</v>
      </c>
      <c r="HT67" t="e">
        <f>IF(#REF!,"AAAAAB///OM=",0)</f>
        <v>#REF!</v>
      </c>
      <c r="HU67" t="e">
        <f>IF(#REF!,"AAAAAB///OQ=",0)</f>
        <v>#REF!</v>
      </c>
      <c r="HV67" t="e">
        <f>IF(#REF!,"AAAAAB///OU=",0)</f>
        <v>#REF!</v>
      </c>
      <c r="HW67" t="e">
        <f>IF(#REF!,"AAAAAB///OY=",0)</f>
        <v>#REF!</v>
      </c>
      <c r="HX67" t="e">
        <f>IF(#REF!,"AAAAAB///Oc=",0)</f>
        <v>#REF!</v>
      </c>
      <c r="HY67" t="e">
        <f>IF(#REF!,"AAAAAB///Og=",0)</f>
        <v>#REF!</v>
      </c>
      <c r="HZ67" t="e">
        <f>IF(#REF!,"AAAAAB///Ok=",0)</f>
        <v>#REF!</v>
      </c>
      <c r="IA67" t="e">
        <f>AND(#REF!,"AAAAAB///Oo=")</f>
        <v>#REF!</v>
      </c>
      <c r="IB67" t="e">
        <f>AND(#REF!,"AAAAAB///Os=")</f>
        <v>#REF!</v>
      </c>
      <c r="IC67" t="e">
        <f>AND(#REF!,"AAAAAB///Ow=")</f>
        <v>#REF!</v>
      </c>
      <c r="ID67" t="e">
        <f>AND(#REF!,"AAAAAB///O0=")</f>
        <v>#REF!</v>
      </c>
      <c r="IE67" t="e">
        <f>AND(#REF!,"AAAAAB///O4=")</f>
        <v>#REF!</v>
      </c>
      <c r="IF67" t="e">
        <f>IF(#REF!,"AAAAAB///O8=",0)</f>
        <v>#REF!</v>
      </c>
      <c r="IG67" t="e">
        <f>AND(#REF!,"AAAAAB///PA=")</f>
        <v>#REF!</v>
      </c>
      <c r="IH67" t="e">
        <f>AND(#REF!,"AAAAAB///PE=")</f>
        <v>#REF!</v>
      </c>
      <c r="II67" t="e">
        <f>AND(#REF!,"AAAAAB///PI=")</f>
        <v>#REF!</v>
      </c>
      <c r="IJ67" t="e">
        <f>AND(#REF!,"AAAAAB///PM=")</f>
        <v>#REF!</v>
      </c>
      <c r="IK67" t="e">
        <f>AND(#REF!,"AAAAAB///PQ=")</f>
        <v>#REF!</v>
      </c>
      <c r="IL67" t="e">
        <f>IF(#REF!,"AAAAAB///PU=",0)</f>
        <v>#REF!</v>
      </c>
      <c r="IM67" t="e">
        <f>AND(#REF!,"AAAAAB///PY=")</f>
        <v>#REF!</v>
      </c>
      <c r="IN67" t="e">
        <f>AND(#REF!,"AAAAAB///Pc=")</f>
        <v>#REF!</v>
      </c>
      <c r="IO67" t="e">
        <f>AND(#REF!,"AAAAAB///Pg=")</f>
        <v>#REF!</v>
      </c>
      <c r="IP67" t="e">
        <f>AND(#REF!,"AAAAAB///Pk=")</f>
        <v>#REF!</v>
      </c>
      <c r="IQ67" t="e">
        <f>AND(#REF!,"AAAAAB///Po=")</f>
        <v>#REF!</v>
      </c>
      <c r="IR67" t="e">
        <f>IF(#REF!,"AAAAAB///Ps=",0)</f>
        <v>#REF!</v>
      </c>
      <c r="IS67" t="e">
        <f>AND(#REF!,"AAAAAB///Pw=")</f>
        <v>#REF!</v>
      </c>
      <c r="IT67" t="e">
        <f>AND(#REF!,"AAAAAB///P0=")</f>
        <v>#REF!</v>
      </c>
      <c r="IU67" t="e">
        <f>AND(#REF!,"AAAAAB///P4=")</f>
        <v>#REF!</v>
      </c>
      <c r="IV67" t="e">
        <f>AND(#REF!,"AAAAAB///P8=")</f>
        <v>#REF!</v>
      </c>
    </row>
    <row r="68" spans="1:256" x14ac:dyDescent="0.25">
      <c r="A68" t="e">
        <f>AND(#REF!,"AAAAAH///wA=")</f>
        <v>#REF!</v>
      </c>
      <c r="B68" t="e">
        <f>IF(#REF!,"AAAAAH///wE=",0)</f>
        <v>#REF!</v>
      </c>
      <c r="C68" t="e">
        <f>AND(#REF!,"AAAAAH///wI=")</f>
        <v>#REF!</v>
      </c>
      <c r="D68" t="e">
        <f>AND(#REF!,"AAAAAH///wM=")</f>
        <v>#REF!</v>
      </c>
      <c r="E68" t="e">
        <f>AND(#REF!,"AAAAAH///wQ=")</f>
        <v>#REF!</v>
      </c>
      <c r="F68" t="e">
        <f>AND(#REF!,"AAAAAH///wU=")</f>
        <v>#REF!</v>
      </c>
      <c r="G68" t="e">
        <f>AND(#REF!,"AAAAAH///wY=")</f>
        <v>#REF!</v>
      </c>
      <c r="H68" t="e">
        <f>IF(#REF!,"AAAAAH///wc=",0)</f>
        <v>#REF!</v>
      </c>
      <c r="I68" t="e">
        <f>AND(#REF!,"AAAAAH///wg=")</f>
        <v>#REF!</v>
      </c>
      <c r="J68" t="e">
        <f>AND(#REF!,"AAAAAH///wk=")</f>
        <v>#REF!</v>
      </c>
      <c r="K68" t="e">
        <f>AND(#REF!,"AAAAAH///wo=")</f>
        <v>#REF!</v>
      </c>
      <c r="L68" t="e">
        <f>AND(#REF!,"AAAAAH///ws=")</f>
        <v>#REF!</v>
      </c>
      <c r="M68" t="e">
        <f>AND(#REF!,"AAAAAH///ww=")</f>
        <v>#REF!</v>
      </c>
      <c r="N68" t="e">
        <f>IF(#REF!,"AAAAAH///w0=",0)</f>
        <v>#REF!</v>
      </c>
      <c r="O68" t="e">
        <f>AND(#REF!,"AAAAAH///w4=")</f>
        <v>#REF!</v>
      </c>
      <c r="P68" t="e">
        <f>AND(#REF!,"AAAAAH///w8=")</f>
        <v>#REF!</v>
      </c>
      <c r="Q68" t="e">
        <f>AND(#REF!,"AAAAAH///xA=")</f>
        <v>#REF!</v>
      </c>
      <c r="R68" t="e">
        <f>AND(#REF!,"AAAAAH///xE=")</f>
        <v>#REF!</v>
      </c>
      <c r="S68" t="e">
        <f>AND(#REF!,"AAAAAH///xI=")</f>
        <v>#REF!</v>
      </c>
      <c r="T68" t="e">
        <f>IF(#REF!,"AAAAAH///xM=",0)</f>
        <v>#REF!</v>
      </c>
      <c r="U68" t="e">
        <f>AND(#REF!,"AAAAAH///xQ=")</f>
        <v>#REF!</v>
      </c>
      <c r="V68" t="e">
        <f>AND(#REF!,"AAAAAH///xU=")</f>
        <v>#REF!</v>
      </c>
      <c r="W68" t="e">
        <f>AND(#REF!,"AAAAAH///xY=")</f>
        <v>#REF!</v>
      </c>
      <c r="X68" t="e">
        <f>AND(#REF!,"AAAAAH///xc=")</f>
        <v>#REF!</v>
      </c>
      <c r="Y68" t="e">
        <f>AND(#REF!,"AAAAAH///xg=")</f>
        <v>#REF!</v>
      </c>
      <c r="Z68" t="e">
        <f>IF(#REF!,"AAAAAH///xk=",0)</f>
        <v>#REF!</v>
      </c>
      <c r="AA68" t="e">
        <f>AND(#REF!,"AAAAAH///xo=")</f>
        <v>#REF!</v>
      </c>
      <c r="AB68" t="e">
        <f>AND(#REF!,"AAAAAH///xs=")</f>
        <v>#REF!</v>
      </c>
      <c r="AC68" t="e">
        <f>AND(#REF!,"AAAAAH///xw=")</f>
        <v>#REF!</v>
      </c>
      <c r="AD68" t="e">
        <f>AND(#REF!,"AAAAAH///x0=")</f>
        <v>#REF!</v>
      </c>
      <c r="AE68" t="e">
        <f>AND(#REF!,"AAAAAH///x4=")</f>
        <v>#REF!</v>
      </c>
      <c r="AF68" t="e">
        <f>IF(#REF!,"AAAAAH///x8=",0)</f>
        <v>#REF!</v>
      </c>
      <c r="AG68" t="e">
        <f>AND(#REF!,"AAAAAH///yA=")</f>
        <v>#REF!</v>
      </c>
      <c r="AH68" t="e">
        <f>AND(#REF!,"AAAAAH///yE=")</f>
        <v>#REF!</v>
      </c>
      <c r="AI68" t="e">
        <f>AND(#REF!,"AAAAAH///yI=")</f>
        <v>#REF!</v>
      </c>
      <c r="AJ68" t="e">
        <f>AND(#REF!,"AAAAAH///yM=")</f>
        <v>#REF!</v>
      </c>
      <c r="AK68" t="e">
        <f>AND(#REF!,"AAAAAH///yQ=")</f>
        <v>#REF!</v>
      </c>
      <c r="AL68" t="e">
        <f>IF(#REF!,"AAAAAH///yU=",0)</f>
        <v>#REF!</v>
      </c>
      <c r="AM68" t="e">
        <f>AND(#REF!,"AAAAAH///yY=")</f>
        <v>#REF!</v>
      </c>
      <c r="AN68" t="e">
        <f>AND(#REF!,"AAAAAH///yc=")</f>
        <v>#REF!</v>
      </c>
      <c r="AO68" t="e">
        <f>AND(#REF!,"AAAAAH///yg=")</f>
        <v>#REF!</v>
      </c>
      <c r="AP68" t="e">
        <f>AND(#REF!,"AAAAAH///yk=")</f>
        <v>#REF!</v>
      </c>
      <c r="AQ68" t="e">
        <f>AND(#REF!,"AAAAAH///yo=")</f>
        <v>#REF!</v>
      </c>
      <c r="AR68" t="e">
        <f>IF(#REF!,"AAAAAH///ys=",0)</f>
        <v>#REF!</v>
      </c>
      <c r="AS68" t="e">
        <f>AND(#REF!,"AAAAAH///yw=")</f>
        <v>#REF!</v>
      </c>
      <c r="AT68" t="e">
        <f>AND(#REF!,"AAAAAH///y0=")</f>
        <v>#REF!</v>
      </c>
      <c r="AU68" t="e">
        <f>AND(#REF!,"AAAAAH///y4=")</f>
        <v>#REF!</v>
      </c>
      <c r="AV68" t="e">
        <f>AND(#REF!,"AAAAAH///y8=")</f>
        <v>#REF!</v>
      </c>
      <c r="AW68" t="e">
        <f>AND(#REF!,"AAAAAH///zA=")</f>
        <v>#REF!</v>
      </c>
      <c r="AX68" t="e">
        <f>IF(#REF!,"AAAAAH///zE=",0)</f>
        <v>#REF!</v>
      </c>
      <c r="AY68" t="e">
        <f>AND(#REF!,"AAAAAH///zI=")</f>
        <v>#REF!</v>
      </c>
      <c r="AZ68" t="e">
        <f>AND(#REF!,"AAAAAH///zM=")</f>
        <v>#REF!</v>
      </c>
      <c r="BA68" t="e">
        <f>AND(#REF!,"AAAAAH///zQ=")</f>
        <v>#REF!</v>
      </c>
      <c r="BB68" t="e">
        <f>AND(#REF!,"AAAAAH///zU=")</f>
        <v>#REF!</v>
      </c>
      <c r="BC68" t="e">
        <f>AND(#REF!,"AAAAAH///zY=")</f>
        <v>#REF!</v>
      </c>
      <c r="BD68" t="e">
        <f>IF(#REF!,"AAAAAH///zc=",0)</f>
        <v>#REF!</v>
      </c>
      <c r="BE68" t="e">
        <f>AND(#REF!,"AAAAAH///zg=")</f>
        <v>#REF!</v>
      </c>
      <c r="BF68" t="e">
        <f>AND(#REF!,"AAAAAH///zk=")</f>
        <v>#REF!</v>
      </c>
      <c r="BG68" t="e">
        <f>AND(#REF!,"AAAAAH///zo=")</f>
        <v>#REF!</v>
      </c>
      <c r="BH68" t="e">
        <f>AND(#REF!,"AAAAAH///zs=")</f>
        <v>#REF!</v>
      </c>
      <c r="BI68" t="e">
        <f>AND(#REF!,"AAAAAH///zw=")</f>
        <v>#REF!</v>
      </c>
      <c r="BJ68" t="e">
        <f>IF(#REF!,"AAAAAH///z0=",0)</f>
        <v>#REF!</v>
      </c>
      <c r="BK68" t="e">
        <f>AND(#REF!,"AAAAAH///z4=")</f>
        <v>#REF!</v>
      </c>
      <c r="BL68" t="e">
        <f>AND(#REF!,"AAAAAH///z8=")</f>
        <v>#REF!</v>
      </c>
      <c r="BM68" t="e">
        <f>AND(#REF!,"AAAAAH///0A=")</f>
        <v>#REF!</v>
      </c>
      <c r="BN68" t="e">
        <f>AND(#REF!,"AAAAAH///0E=")</f>
        <v>#REF!</v>
      </c>
      <c r="BO68" t="e">
        <f>AND(#REF!,"AAAAAH///0I=")</f>
        <v>#REF!</v>
      </c>
      <c r="BP68" t="e">
        <f>IF(#REF!,"AAAAAH///0M=",0)</f>
        <v>#REF!</v>
      </c>
      <c r="BQ68" t="e">
        <f>AND(#REF!,"AAAAAH///0Q=")</f>
        <v>#REF!</v>
      </c>
      <c r="BR68" t="e">
        <f>AND(#REF!,"AAAAAH///0U=")</f>
        <v>#REF!</v>
      </c>
      <c r="BS68" t="e">
        <f>AND(#REF!,"AAAAAH///0Y=")</f>
        <v>#REF!</v>
      </c>
      <c r="BT68" t="e">
        <f>AND(#REF!,"AAAAAH///0c=")</f>
        <v>#REF!</v>
      </c>
      <c r="BU68" t="e">
        <f>AND(#REF!,"AAAAAH///0g=")</f>
        <v>#REF!</v>
      </c>
      <c r="BV68" t="e">
        <f>IF(#REF!,"AAAAAH///0k=",0)</f>
        <v>#REF!</v>
      </c>
      <c r="BW68" t="e">
        <f>AND(#REF!,"AAAAAH///0o=")</f>
        <v>#REF!</v>
      </c>
      <c r="BX68" t="e">
        <f>AND(#REF!,"AAAAAH///0s=")</f>
        <v>#REF!</v>
      </c>
      <c r="BY68" t="e">
        <f>AND(#REF!,"AAAAAH///0w=")</f>
        <v>#REF!</v>
      </c>
      <c r="BZ68" t="e">
        <f>AND(#REF!,"AAAAAH///00=")</f>
        <v>#REF!</v>
      </c>
      <c r="CA68" t="e">
        <f>AND(#REF!,"AAAAAH///04=")</f>
        <v>#REF!</v>
      </c>
      <c r="CB68" t="e">
        <f>IF(#REF!,"AAAAAH///08=",0)</f>
        <v>#REF!</v>
      </c>
      <c r="CC68" t="e">
        <f>AND(#REF!,"AAAAAH///1A=")</f>
        <v>#REF!</v>
      </c>
      <c r="CD68" t="e">
        <f>AND(#REF!,"AAAAAH///1E=")</f>
        <v>#REF!</v>
      </c>
      <c r="CE68" t="e">
        <f>AND(#REF!,"AAAAAH///1I=")</f>
        <v>#REF!</v>
      </c>
      <c r="CF68" t="e">
        <f>AND(#REF!,"AAAAAH///1M=")</f>
        <v>#REF!</v>
      </c>
      <c r="CG68" t="e">
        <f>AND(#REF!,"AAAAAH///1Q=")</f>
        <v>#REF!</v>
      </c>
      <c r="CH68" t="e">
        <f>IF(#REF!,"AAAAAH///1U=",0)</f>
        <v>#REF!</v>
      </c>
      <c r="CI68" t="e">
        <f>AND(#REF!,"AAAAAH///1Y=")</f>
        <v>#REF!</v>
      </c>
      <c r="CJ68" t="e">
        <f>AND(#REF!,"AAAAAH///1c=")</f>
        <v>#REF!</v>
      </c>
      <c r="CK68" t="e">
        <f>AND(#REF!,"AAAAAH///1g=")</f>
        <v>#REF!</v>
      </c>
      <c r="CL68" t="e">
        <f>AND(#REF!,"AAAAAH///1k=")</f>
        <v>#REF!</v>
      </c>
      <c r="CM68" t="e">
        <f>AND(#REF!,"AAAAAH///1o=")</f>
        <v>#REF!</v>
      </c>
      <c r="CN68" t="e">
        <f>IF(#REF!,"AAAAAH///1s=",0)</f>
        <v>#REF!</v>
      </c>
      <c r="CO68" t="e">
        <f>AND(#REF!,"AAAAAH///1w=")</f>
        <v>#REF!</v>
      </c>
      <c r="CP68" t="e">
        <f>AND(#REF!,"AAAAAH///10=")</f>
        <v>#REF!</v>
      </c>
      <c r="CQ68" t="e">
        <f>AND(#REF!,"AAAAAH///14=")</f>
        <v>#REF!</v>
      </c>
      <c r="CR68" t="e">
        <f>AND(#REF!,"AAAAAH///18=")</f>
        <v>#REF!</v>
      </c>
      <c r="CS68" t="e">
        <f>AND(#REF!,"AAAAAH///2A=")</f>
        <v>#REF!</v>
      </c>
      <c r="CT68" t="e">
        <f>IF(#REF!,"AAAAAH///2E=",0)</f>
        <v>#REF!</v>
      </c>
      <c r="CU68" t="e">
        <f>AND(#REF!,"AAAAAH///2I=")</f>
        <v>#REF!</v>
      </c>
      <c r="CV68" t="e">
        <f>AND(#REF!,"AAAAAH///2M=")</f>
        <v>#REF!</v>
      </c>
      <c r="CW68" t="e">
        <f>AND(#REF!,"AAAAAH///2Q=")</f>
        <v>#REF!</v>
      </c>
      <c r="CX68" t="e">
        <f>AND(#REF!,"AAAAAH///2U=")</f>
        <v>#REF!</v>
      </c>
      <c r="CY68" t="e">
        <f>AND(#REF!,"AAAAAH///2Y=")</f>
        <v>#REF!</v>
      </c>
      <c r="CZ68" t="e">
        <f>IF(#REF!,"AAAAAH///2c=",0)</f>
        <v>#REF!</v>
      </c>
      <c r="DA68" t="e">
        <f>AND(#REF!,"AAAAAH///2g=")</f>
        <v>#REF!</v>
      </c>
      <c r="DB68" t="e">
        <f>AND(#REF!,"AAAAAH///2k=")</f>
        <v>#REF!</v>
      </c>
      <c r="DC68" t="e">
        <f>AND(#REF!,"AAAAAH///2o=")</f>
        <v>#REF!</v>
      </c>
      <c r="DD68" t="e">
        <f>AND(#REF!,"AAAAAH///2s=")</f>
        <v>#REF!</v>
      </c>
      <c r="DE68" t="e">
        <f>AND(#REF!,"AAAAAH///2w=")</f>
        <v>#REF!</v>
      </c>
      <c r="DF68" t="e">
        <f>IF(#REF!,"AAAAAH///20=",0)</f>
        <v>#REF!</v>
      </c>
      <c r="DG68" t="e">
        <f>AND(#REF!,"AAAAAH///24=")</f>
        <v>#REF!</v>
      </c>
      <c r="DH68" t="e">
        <f>AND(#REF!,"AAAAAH///28=")</f>
        <v>#REF!</v>
      </c>
      <c r="DI68" t="e">
        <f>AND(#REF!,"AAAAAH///3A=")</f>
        <v>#REF!</v>
      </c>
      <c r="DJ68" t="e">
        <f>AND(#REF!,"AAAAAH///3E=")</f>
        <v>#REF!</v>
      </c>
      <c r="DK68" t="e">
        <f>AND(#REF!,"AAAAAH///3I=")</f>
        <v>#REF!</v>
      </c>
      <c r="DL68" t="e">
        <f>IF(#REF!,"AAAAAH///3M=",0)</f>
        <v>#REF!</v>
      </c>
      <c r="DM68" t="e">
        <f>AND(#REF!,"AAAAAH///3Q=")</f>
        <v>#REF!</v>
      </c>
      <c r="DN68" t="e">
        <f>AND(#REF!,"AAAAAH///3U=")</f>
        <v>#REF!</v>
      </c>
      <c r="DO68" t="e">
        <f>AND(#REF!,"AAAAAH///3Y=")</f>
        <v>#REF!</v>
      </c>
      <c r="DP68" t="e">
        <f>AND(#REF!,"AAAAAH///3c=")</f>
        <v>#REF!</v>
      </c>
      <c r="DQ68" t="e">
        <f>AND(#REF!,"AAAAAH///3g=")</f>
        <v>#REF!</v>
      </c>
      <c r="DR68" t="e">
        <f>IF(#REF!,"AAAAAH///3k=",0)</f>
        <v>#REF!</v>
      </c>
      <c r="DS68" t="e">
        <f>AND(#REF!,"AAAAAH///3o=")</f>
        <v>#REF!</v>
      </c>
      <c r="DT68" t="e">
        <f>AND(#REF!,"AAAAAH///3s=")</f>
        <v>#REF!</v>
      </c>
      <c r="DU68" t="e">
        <f>AND(#REF!,"AAAAAH///3w=")</f>
        <v>#REF!</v>
      </c>
      <c r="DV68" t="e">
        <f>AND(#REF!,"AAAAAH///30=")</f>
        <v>#REF!</v>
      </c>
      <c r="DW68" t="e">
        <f>AND(#REF!,"AAAAAH///34=")</f>
        <v>#REF!</v>
      </c>
      <c r="DX68" t="e">
        <f>IF(#REF!,"AAAAAH///38=",0)</f>
        <v>#REF!</v>
      </c>
      <c r="DY68" t="e">
        <f>AND(#REF!,"AAAAAH///4A=")</f>
        <v>#REF!</v>
      </c>
      <c r="DZ68" t="e">
        <f>AND(#REF!,"AAAAAH///4E=")</f>
        <v>#REF!</v>
      </c>
      <c r="EA68" t="e">
        <f>AND(#REF!,"AAAAAH///4I=")</f>
        <v>#REF!</v>
      </c>
      <c r="EB68" t="e">
        <f>AND(#REF!,"AAAAAH///4M=")</f>
        <v>#REF!</v>
      </c>
      <c r="EC68" t="e">
        <f>AND(#REF!,"AAAAAH///4Q=")</f>
        <v>#REF!</v>
      </c>
      <c r="ED68" t="e">
        <f>IF(#REF!,"AAAAAH///4U=",0)</f>
        <v>#REF!</v>
      </c>
      <c r="EE68" t="e">
        <f>AND(#REF!,"AAAAAH///4Y=")</f>
        <v>#REF!</v>
      </c>
      <c r="EF68" t="e">
        <f>AND(#REF!,"AAAAAH///4c=")</f>
        <v>#REF!</v>
      </c>
      <c r="EG68" t="e">
        <f>AND(#REF!,"AAAAAH///4g=")</f>
        <v>#REF!</v>
      </c>
      <c r="EH68" t="e">
        <f>AND(#REF!,"AAAAAH///4k=")</f>
        <v>#REF!</v>
      </c>
      <c r="EI68" t="e">
        <f>AND(#REF!,"AAAAAH///4o=")</f>
        <v>#REF!</v>
      </c>
      <c r="EJ68" t="e">
        <f>IF(#REF!,"AAAAAH///4s=",0)</f>
        <v>#REF!</v>
      </c>
      <c r="EK68" t="e">
        <f>AND(#REF!,"AAAAAH///4w=")</f>
        <v>#REF!</v>
      </c>
      <c r="EL68" t="e">
        <f>AND(#REF!,"AAAAAH///40=")</f>
        <v>#REF!</v>
      </c>
      <c r="EM68" t="e">
        <f>AND(#REF!,"AAAAAH///44=")</f>
        <v>#REF!</v>
      </c>
      <c r="EN68" t="e">
        <f>AND(#REF!,"AAAAAH///48=")</f>
        <v>#REF!</v>
      </c>
      <c r="EO68" t="e">
        <f>AND(#REF!,"AAAAAH///5A=")</f>
        <v>#REF!</v>
      </c>
      <c r="EP68" t="e">
        <f>IF(#REF!,"AAAAAH///5E=",0)</f>
        <v>#REF!</v>
      </c>
      <c r="EQ68" t="e">
        <f>AND(#REF!,"AAAAAH///5I=")</f>
        <v>#REF!</v>
      </c>
      <c r="ER68" t="e">
        <f>AND(#REF!,"AAAAAH///5M=")</f>
        <v>#REF!</v>
      </c>
      <c r="ES68" t="e">
        <f>AND(#REF!,"AAAAAH///5Q=")</f>
        <v>#REF!</v>
      </c>
      <c r="ET68" t="e">
        <f>AND(#REF!,"AAAAAH///5U=")</f>
        <v>#REF!</v>
      </c>
      <c r="EU68" t="e">
        <f>AND(#REF!,"AAAAAH///5Y=")</f>
        <v>#REF!</v>
      </c>
      <c r="EV68" t="e">
        <f>IF(#REF!,"AAAAAH///5c=",0)</f>
        <v>#REF!</v>
      </c>
      <c r="EW68" t="e">
        <f>AND(#REF!,"AAAAAH///5g=")</f>
        <v>#REF!</v>
      </c>
      <c r="EX68" t="e">
        <f>AND(#REF!,"AAAAAH///5k=")</f>
        <v>#REF!</v>
      </c>
      <c r="EY68" t="e">
        <f>AND(#REF!,"AAAAAH///5o=")</f>
        <v>#REF!</v>
      </c>
      <c r="EZ68" t="e">
        <f>AND(#REF!,"AAAAAH///5s=")</f>
        <v>#REF!</v>
      </c>
      <c r="FA68" t="e">
        <f>AND(#REF!,"AAAAAH///5w=")</f>
        <v>#REF!</v>
      </c>
      <c r="FB68" t="e">
        <f>IF(#REF!,"AAAAAH///50=",0)</f>
        <v>#REF!</v>
      </c>
      <c r="FC68" t="e">
        <f>AND(#REF!,"AAAAAH///54=")</f>
        <v>#REF!</v>
      </c>
      <c r="FD68" t="e">
        <f>AND(#REF!,"AAAAAH///58=")</f>
        <v>#REF!</v>
      </c>
      <c r="FE68" t="e">
        <f>AND(#REF!,"AAAAAH///6A=")</f>
        <v>#REF!</v>
      </c>
      <c r="FF68" t="e">
        <f>AND(#REF!,"AAAAAH///6E=")</f>
        <v>#REF!</v>
      </c>
      <c r="FG68" t="e">
        <f>AND(#REF!,"AAAAAH///6I=")</f>
        <v>#REF!</v>
      </c>
      <c r="FH68" t="e">
        <f>IF(#REF!,"AAAAAH///6M=",0)</f>
        <v>#REF!</v>
      </c>
      <c r="FI68" t="e">
        <f>AND(#REF!,"AAAAAH///6Q=")</f>
        <v>#REF!</v>
      </c>
      <c r="FJ68" t="e">
        <f>AND(#REF!,"AAAAAH///6U=")</f>
        <v>#REF!</v>
      </c>
      <c r="FK68" t="e">
        <f>AND(#REF!,"AAAAAH///6Y=")</f>
        <v>#REF!</v>
      </c>
      <c r="FL68" t="e">
        <f>AND(#REF!,"AAAAAH///6c=")</f>
        <v>#REF!</v>
      </c>
      <c r="FM68" t="e">
        <f>AND(#REF!,"AAAAAH///6g=")</f>
        <v>#REF!</v>
      </c>
      <c r="FN68" t="e">
        <f>IF(#REF!,"AAAAAH///6k=",0)</f>
        <v>#REF!</v>
      </c>
      <c r="FO68" t="e">
        <f>AND(#REF!,"AAAAAH///6o=")</f>
        <v>#REF!</v>
      </c>
      <c r="FP68" t="e">
        <f>AND(#REF!,"AAAAAH///6s=")</f>
        <v>#REF!</v>
      </c>
      <c r="FQ68" t="e">
        <f>AND(#REF!,"AAAAAH///6w=")</f>
        <v>#REF!</v>
      </c>
      <c r="FR68" t="e">
        <f>AND(#REF!,"AAAAAH///60=")</f>
        <v>#REF!</v>
      </c>
      <c r="FS68" t="e">
        <f>AND(#REF!,"AAAAAH///64=")</f>
        <v>#REF!</v>
      </c>
      <c r="FT68" t="e">
        <f>IF(#REF!,"AAAAAH///68=",0)</f>
        <v>#REF!</v>
      </c>
      <c r="FU68" t="e">
        <f>AND(#REF!,"AAAAAH///7A=")</f>
        <v>#REF!</v>
      </c>
      <c r="FV68" t="e">
        <f>AND(#REF!,"AAAAAH///7E=")</f>
        <v>#REF!</v>
      </c>
      <c r="FW68" t="e">
        <f>AND(#REF!,"AAAAAH///7I=")</f>
        <v>#REF!</v>
      </c>
      <c r="FX68" t="e">
        <f>AND(#REF!,"AAAAAH///7M=")</f>
        <v>#REF!</v>
      </c>
      <c r="FY68" t="e">
        <f>AND(#REF!,"AAAAAH///7Q=")</f>
        <v>#REF!</v>
      </c>
      <c r="FZ68" t="e">
        <f>IF(#REF!,"AAAAAH///7U=",0)</f>
        <v>#REF!</v>
      </c>
      <c r="GA68" t="e">
        <f>AND(#REF!,"AAAAAH///7Y=")</f>
        <v>#REF!</v>
      </c>
      <c r="GB68" t="e">
        <f>AND(#REF!,"AAAAAH///7c=")</f>
        <v>#REF!</v>
      </c>
      <c r="GC68" t="e">
        <f>AND(#REF!,"AAAAAH///7g=")</f>
        <v>#REF!</v>
      </c>
      <c r="GD68" t="e">
        <f>AND(#REF!,"AAAAAH///7k=")</f>
        <v>#REF!</v>
      </c>
      <c r="GE68" t="e">
        <f>AND(#REF!,"AAAAAH///7o=")</f>
        <v>#REF!</v>
      </c>
      <c r="GF68" t="e">
        <f>IF(#REF!,"AAAAAH///7s=",0)</f>
        <v>#REF!</v>
      </c>
      <c r="GG68" t="e">
        <f>AND(#REF!,"AAAAAH///7w=")</f>
        <v>#REF!</v>
      </c>
      <c r="GH68" t="e">
        <f>AND(#REF!,"AAAAAH///70=")</f>
        <v>#REF!</v>
      </c>
      <c r="GI68" t="e">
        <f>AND(#REF!,"AAAAAH///74=")</f>
        <v>#REF!</v>
      </c>
      <c r="GJ68" t="e">
        <f>AND(#REF!,"AAAAAH///78=")</f>
        <v>#REF!</v>
      </c>
      <c r="GK68" t="e">
        <f>AND(#REF!,"AAAAAH///8A=")</f>
        <v>#REF!</v>
      </c>
      <c r="GL68" t="e">
        <f>IF(#REF!,"AAAAAH///8E=",0)</f>
        <v>#REF!</v>
      </c>
      <c r="GM68" t="e">
        <f>AND(#REF!,"AAAAAH///8I=")</f>
        <v>#REF!</v>
      </c>
      <c r="GN68" t="e">
        <f>AND(#REF!,"AAAAAH///8M=")</f>
        <v>#REF!</v>
      </c>
      <c r="GO68" t="e">
        <f>AND(#REF!,"AAAAAH///8Q=")</f>
        <v>#REF!</v>
      </c>
      <c r="GP68" t="e">
        <f>AND(#REF!,"AAAAAH///8U=")</f>
        <v>#REF!</v>
      </c>
      <c r="GQ68" t="e">
        <f>AND(#REF!,"AAAAAH///8Y=")</f>
        <v>#REF!</v>
      </c>
      <c r="GR68" t="e">
        <f>IF(#REF!,"AAAAAH///8c=",0)</f>
        <v>#REF!</v>
      </c>
      <c r="GS68" t="e">
        <f>AND(#REF!,"AAAAAH///8g=")</f>
        <v>#REF!</v>
      </c>
      <c r="GT68" t="e">
        <f>AND(#REF!,"AAAAAH///8k=")</f>
        <v>#REF!</v>
      </c>
      <c r="GU68" t="e">
        <f>AND(#REF!,"AAAAAH///8o=")</f>
        <v>#REF!</v>
      </c>
      <c r="GV68" t="e">
        <f>AND(#REF!,"AAAAAH///8s=")</f>
        <v>#REF!</v>
      </c>
      <c r="GW68" t="e">
        <f>AND(#REF!,"AAAAAH///8w=")</f>
        <v>#REF!</v>
      </c>
      <c r="GX68" t="e">
        <f>IF(#REF!,"AAAAAH///80=",0)</f>
        <v>#REF!</v>
      </c>
      <c r="GY68" t="e">
        <f>AND(#REF!,"AAAAAH///84=")</f>
        <v>#REF!</v>
      </c>
      <c r="GZ68" t="e">
        <f>AND(#REF!,"AAAAAH///88=")</f>
        <v>#REF!</v>
      </c>
      <c r="HA68" t="e">
        <f>AND(#REF!,"AAAAAH///9A=")</f>
        <v>#REF!</v>
      </c>
      <c r="HB68" t="e">
        <f>AND(#REF!,"AAAAAH///9E=")</f>
        <v>#REF!</v>
      </c>
      <c r="HC68" t="e">
        <f>AND(#REF!,"AAAAAH///9I=")</f>
        <v>#REF!</v>
      </c>
      <c r="HD68" t="e">
        <f>IF(#REF!,"AAAAAH///9M=",0)</f>
        <v>#REF!</v>
      </c>
      <c r="HE68" t="e">
        <f>AND(#REF!,"AAAAAH///9Q=")</f>
        <v>#REF!</v>
      </c>
      <c r="HF68" t="e">
        <f>AND(#REF!,"AAAAAH///9U=")</f>
        <v>#REF!</v>
      </c>
      <c r="HG68" t="e">
        <f>AND(#REF!,"AAAAAH///9Y=")</f>
        <v>#REF!</v>
      </c>
      <c r="HH68" t="e">
        <f>AND(#REF!,"AAAAAH///9c=")</f>
        <v>#REF!</v>
      </c>
      <c r="HI68" t="e">
        <f>AND(#REF!,"AAAAAH///9g=")</f>
        <v>#REF!</v>
      </c>
      <c r="HJ68" t="e">
        <f>IF(#REF!,"AAAAAH///9k=",0)</f>
        <v>#REF!</v>
      </c>
      <c r="HK68" t="e">
        <f>AND(#REF!,"AAAAAH///9o=")</f>
        <v>#REF!</v>
      </c>
      <c r="HL68" t="e">
        <f>AND(#REF!,"AAAAAH///9s=")</f>
        <v>#REF!</v>
      </c>
      <c r="HM68" t="e">
        <f>AND(#REF!,"AAAAAH///9w=")</f>
        <v>#REF!</v>
      </c>
      <c r="HN68" t="e">
        <f>AND(#REF!,"AAAAAH///90=")</f>
        <v>#REF!</v>
      </c>
      <c r="HO68" t="e">
        <f>AND(#REF!,"AAAAAH///94=")</f>
        <v>#REF!</v>
      </c>
      <c r="HP68" t="e">
        <f>IF(#REF!,"AAAAAH///98=",0)</f>
        <v>#REF!</v>
      </c>
      <c r="HQ68" t="e">
        <f>AND(#REF!,"AAAAAH///+A=")</f>
        <v>#REF!</v>
      </c>
      <c r="HR68" t="e">
        <f>AND(#REF!,"AAAAAH///+E=")</f>
        <v>#REF!</v>
      </c>
      <c r="HS68" t="e">
        <f>AND(#REF!,"AAAAAH///+I=")</f>
        <v>#REF!</v>
      </c>
      <c r="HT68" t="e">
        <f>AND(#REF!,"AAAAAH///+M=")</f>
        <v>#REF!</v>
      </c>
      <c r="HU68" t="e">
        <f>AND(#REF!,"AAAAAH///+Q=")</f>
        <v>#REF!</v>
      </c>
      <c r="HV68" t="e">
        <f>IF(#REF!,"AAAAAH///+U=",0)</f>
        <v>#REF!</v>
      </c>
      <c r="HW68" t="e">
        <f>AND(#REF!,"AAAAAH///+Y=")</f>
        <v>#REF!</v>
      </c>
      <c r="HX68" t="e">
        <f>AND(#REF!,"AAAAAH///+c=")</f>
        <v>#REF!</v>
      </c>
      <c r="HY68" t="e">
        <f>AND(#REF!,"AAAAAH///+g=")</f>
        <v>#REF!</v>
      </c>
      <c r="HZ68" t="e">
        <f>AND(#REF!,"AAAAAH///+k=")</f>
        <v>#REF!</v>
      </c>
      <c r="IA68" t="e">
        <f>AND(#REF!,"AAAAAH///+o=")</f>
        <v>#REF!</v>
      </c>
      <c r="IB68" t="e">
        <f>IF(#REF!,"AAAAAH///+s=",0)</f>
        <v>#REF!</v>
      </c>
      <c r="IC68" t="e">
        <f>AND(#REF!,"AAAAAH///+w=")</f>
        <v>#REF!</v>
      </c>
      <c r="ID68" t="e">
        <f>AND(#REF!,"AAAAAH///+0=")</f>
        <v>#REF!</v>
      </c>
      <c r="IE68" t="e">
        <f>AND(#REF!,"AAAAAH///+4=")</f>
        <v>#REF!</v>
      </c>
      <c r="IF68" t="e">
        <f>AND(#REF!,"AAAAAH///+8=")</f>
        <v>#REF!</v>
      </c>
      <c r="IG68" t="e">
        <f>AND(#REF!,"AAAAAH////A=")</f>
        <v>#REF!</v>
      </c>
      <c r="IH68" t="e">
        <f>IF(#REF!,"AAAAAH////E=",0)</f>
        <v>#REF!</v>
      </c>
      <c r="II68" t="e">
        <f>AND(#REF!,"AAAAAH////I=")</f>
        <v>#REF!</v>
      </c>
      <c r="IJ68" t="e">
        <f>AND(#REF!,"AAAAAH////M=")</f>
        <v>#REF!</v>
      </c>
      <c r="IK68" t="e">
        <f>AND(#REF!,"AAAAAH////Q=")</f>
        <v>#REF!</v>
      </c>
      <c r="IL68" t="e">
        <f>AND(#REF!,"AAAAAH////U=")</f>
        <v>#REF!</v>
      </c>
      <c r="IM68" t="e">
        <f>AND(#REF!,"AAAAAH////Y=")</f>
        <v>#REF!</v>
      </c>
      <c r="IN68" t="e">
        <f>IF(#REF!,"AAAAAH////c=",0)</f>
        <v>#REF!</v>
      </c>
      <c r="IO68" t="e">
        <f>AND(#REF!,"AAAAAH////g=")</f>
        <v>#REF!</v>
      </c>
      <c r="IP68" t="e">
        <f>AND(#REF!,"AAAAAH////k=")</f>
        <v>#REF!</v>
      </c>
      <c r="IQ68" t="e">
        <f>AND(#REF!,"AAAAAH////o=")</f>
        <v>#REF!</v>
      </c>
      <c r="IR68" t="e">
        <f>AND(#REF!,"AAAAAH////s=")</f>
        <v>#REF!</v>
      </c>
      <c r="IS68" t="e">
        <f>AND(#REF!,"AAAAAH////w=")</f>
        <v>#REF!</v>
      </c>
      <c r="IT68" t="e">
        <f>IF(#REF!,"AAAAAH////0=",0)</f>
        <v>#REF!</v>
      </c>
      <c r="IU68" t="e">
        <f>AND(#REF!,"AAAAAH////4=")</f>
        <v>#REF!</v>
      </c>
      <c r="IV68" t="e">
        <f>AND(#REF!,"AAAAAH////8=")</f>
        <v>#REF!</v>
      </c>
    </row>
    <row r="69" spans="1:256" x14ac:dyDescent="0.25">
      <c r="A69" t="e">
        <f>AND(#REF!,"AAAAAG/VfwA=")</f>
        <v>#REF!</v>
      </c>
      <c r="B69" t="e">
        <f>AND(#REF!,"AAAAAG/VfwE=")</f>
        <v>#REF!</v>
      </c>
      <c r="C69" t="e">
        <f>AND(#REF!,"AAAAAG/VfwI=")</f>
        <v>#REF!</v>
      </c>
      <c r="D69" t="e">
        <f>IF(#REF!,"AAAAAG/VfwM=",0)</f>
        <v>#REF!</v>
      </c>
      <c r="E69" t="e">
        <f>AND(#REF!,"AAAAAG/VfwQ=")</f>
        <v>#REF!</v>
      </c>
      <c r="F69" t="e">
        <f>AND(#REF!,"AAAAAG/VfwU=")</f>
        <v>#REF!</v>
      </c>
      <c r="G69" t="e">
        <f>AND(#REF!,"AAAAAG/VfwY=")</f>
        <v>#REF!</v>
      </c>
      <c r="H69" t="e">
        <f>AND(#REF!,"AAAAAG/Vfwc=")</f>
        <v>#REF!</v>
      </c>
      <c r="I69" t="e">
        <f>AND(#REF!,"AAAAAG/Vfwg=")</f>
        <v>#REF!</v>
      </c>
      <c r="J69" t="e">
        <f>IF(#REF!,"AAAAAG/Vfwk=",0)</f>
        <v>#REF!</v>
      </c>
      <c r="K69" t="e">
        <f>AND(#REF!,"AAAAAG/Vfwo=")</f>
        <v>#REF!</v>
      </c>
      <c r="L69" t="e">
        <f>AND(#REF!,"AAAAAG/Vfws=")</f>
        <v>#REF!</v>
      </c>
      <c r="M69" t="e">
        <f>AND(#REF!,"AAAAAG/Vfww=")</f>
        <v>#REF!</v>
      </c>
      <c r="N69" t="e">
        <f>AND(#REF!,"AAAAAG/Vfw0=")</f>
        <v>#REF!</v>
      </c>
      <c r="O69" t="e">
        <f>AND(#REF!,"AAAAAG/Vfw4=")</f>
        <v>#REF!</v>
      </c>
      <c r="P69" t="e">
        <f>IF(#REF!,"AAAAAG/Vfw8=",0)</f>
        <v>#REF!</v>
      </c>
      <c r="Q69" t="e">
        <f>AND(#REF!,"AAAAAG/VfxA=")</f>
        <v>#REF!</v>
      </c>
      <c r="R69" t="e">
        <f>AND(#REF!,"AAAAAG/VfxE=")</f>
        <v>#REF!</v>
      </c>
      <c r="S69" t="e">
        <f>AND(#REF!,"AAAAAG/VfxI=")</f>
        <v>#REF!</v>
      </c>
      <c r="T69" t="e">
        <f>AND(#REF!,"AAAAAG/VfxM=")</f>
        <v>#REF!</v>
      </c>
      <c r="U69" t="e">
        <f>AND(#REF!,"AAAAAG/VfxQ=")</f>
        <v>#REF!</v>
      </c>
      <c r="V69" t="e">
        <f>IF(#REF!,"AAAAAG/VfxU=",0)</f>
        <v>#REF!</v>
      </c>
      <c r="W69" t="e">
        <f>AND(#REF!,"AAAAAG/VfxY=")</f>
        <v>#REF!</v>
      </c>
      <c r="X69" t="e">
        <f>AND(#REF!,"AAAAAG/Vfxc=")</f>
        <v>#REF!</v>
      </c>
      <c r="Y69" t="e">
        <f>AND(#REF!,"AAAAAG/Vfxg=")</f>
        <v>#REF!</v>
      </c>
      <c r="Z69" t="e">
        <f>AND(#REF!,"AAAAAG/Vfxk=")</f>
        <v>#REF!</v>
      </c>
      <c r="AA69" t="e">
        <f>AND(#REF!,"AAAAAG/Vfxo=")</f>
        <v>#REF!</v>
      </c>
      <c r="AB69" t="e">
        <f>IF(#REF!,"AAAAAG/Vfxs=",0)</f>
        <v>#REF!</v>
      </c>
      <c r="AC69" t="e">
        <f>AND(#REF!,"AAAAAG/Vfxw=")</f>
        <v>#REF!</v>
      </c>
      <c r="AD69" t="e">
        <f>AND(#REF!,"AAAAAG/Vfx0=")</f>
        <v>#REF!</v>
      </c>
      <c r="AE69" t="e">
        <f>AND(#REF!,"AAAAAG/Vfx4=")</f>
        <v>#REF!</v>
      </c>
      <c r="AF69" t="e">
        <f>AND(#REF!,"AAAAAG/Vfx8=")</f>
        <v>#REF!</v>
      </c>
      <c r="AG69" t="e">
        <f>AND(#REF!,"AAAAAG/VfyA=")</f>
        <v>#REF!</v>
      </c>
      <c r="AH69" t="e">
        <f>IF(#REF!,"AAAAAG/VfyE=",0)</f>
        <v>#REF!</v>
      </c>
      <c r="AI69" t="e">
        <f>AND(#REF!,"AAAAAG/VfyI=")</f>
        <v>#REF!</v>
      </c>
      <c r="AJ69" t="e">
        <f>AND(#REF!,"AAAAAG/VfyM=")</f>
        <v>#REF!</v>
      </c>
      <c r="AK69" t="e">
        <f>AND(#REF!,"AAAAAG/VfyQ=")</f>
        <v>#REF!</v>
      </c>
      <c r="AL69" t="e">
        <f>AND(#REF!,"AAAAAG/VfyU=")</f>
        <v>#REF!</v>
      </c>
      <c r="AM69" t="e">
        <f>AND(#REF!,"AAAAAG/VfyY=")</f>
        <v>#REF!</v>
      </c>
      <c r="AN69" t="e">
        <f>IF(#REF!,"AAAAAG/Vfyc=",0)</f>
        <v>#REF!</v>
      </c>
      <c r="AO69" t="e">
        <f>AND(#REF!,"AAAAAG/Vfyg=")</f>
        <v>#REF!</v>
      </c>
      <c r="AP69" t="e">
        <f>AND(#REF!,"AAAAAG/Vfyk=")</f>
        <v>#REF!</v>
      </c>
      <c r="AQ69" t="e">
        <f>AND(#REF!,"AAAAAG/Vfyo=")</f>
        <v>#REF!</v>
      </c>
      <c r="AR69" t="e">
        <f>AND(#REF!,"AAAAAG/Vfys=")</f>
        <v>#REF!</v>
      </c>
      <c r="AS69" t="e">
        <f>AND(#REF!,"AAAAAG/Vfyw=")</f>
        <v>#REF!</v>
      </c>
      <c r="AT69" t="e">
        <f>IF(#REF!,"AAAAAG/Vfy0=",0)</f>
        <v>#REF!</v>
      </c>
      <c r="AU69" t="e">
        <f>AND(#REF!,"AAAAAG/Vfy4=")</f>
        <v>#REF!</v>
      </c>
      <c r="AV69" t="e">
        <f>AND(#REF!,"AAAAAG/Vfy8=")</f>
        <v>#REF!</v>
      </c>
      <c r="AW69" t="e">
        <f>AND(#REF!,"AAAAAG/VfzA=")</f>
        <v>#REF!</v>
      </c>
      <c r="AX69" t="e">
        <f>AND(#REF!,"AAAAAG/VfzE=")</f>
        <v>#REF!</v>
      </c>
      <c r="AY69" t="e">
        <f>AND(#REF!,"AAAAAG/VfzI=")</f>
        <v>#REF!</v>
      </c>
      <c r="AZ69" t="e">
        <f>IF(#REF!,"AAAAAG/VfzM=",0)</f>
        <v>#REF!</v>
      </c>
      <c r="BA69" t="e">
        <f>AND(#REF!,"AAAAAG/VfzQ=")</f>
        <v>#REF!</v>
      </c>
      <c r="BB69" t="e">
        <f>AND(#REF!,"AAAAAG/VfzU=")</f>
        <v>#REF!</v>
      </c>
      <c r="BC69" t="e">
        <f>AND(#REF!,"AAAAAG/VfzY=")</f>
        <v>#REF!</v>
      </c>
      <c r="BD69" t="e">
        <f>AND(#REF!,"AAAAAG/Vfzc=")</f>
        <v>#REF!</v>
      </c>
      <c r="BE69" t="e">
        <f>AND(#REF!,"AAAAAG/Vfzg=")</f>
        <v>#REF!</v>
      </c>
      <c r="BF69" t="e">
        <f>IF(#REF!,"AAAAAG/Vfzk=",0)</f>
        <v>#REF!</v>
      </c>
      <c r="BG69" t="e">
        <f>AND(#REF!,"AAAAAG/Vfzo=")</f>
        <v>#REF!</v>
      </c>
      <c r="BH69" t="e">
        <f>AND(#REF!,"AAAAAG/Vfzs=")</f>
        <v>#REF!</v>
      </c>
      <c r="BI69" t="e">
        <f>AND(#REF!,"AAAAAG/Vfzw=")</f>
        <v>#REF!</v>
      </c>
      <c r="BJ69" t="e">
        <f>AND(#REF!,"AAAAAG/Vfz0=")</f>
        <v>#REF!</v>
      </c>
      <c r="BK69" t="e">
        <f>AND(#REF!,"AAAAAG/Vfz4=")</f>
        <v>#REF!</v>
      </c>
      <c r="BL69" t="e">
        <f>IF(#REF!,"AAAAAG/Vfz8=",0)</f>
        <v>#REF!</v>
      </c>
      <c r="BM69" t="e">
        <f>AND(#REF!,"AAAAAG/Vf0A=")</f>
        <v>#REF!</v>
      </c>
      <c r="BN69" t="e">
        <f>AND(#REF!,"AAAAAG/Vf0E=")</f>
        <v>#REF!</v>
      </c>
      <c r="BO69" t="e">
        <f>AND(#REF!,"AAAAAG/Vf0I=")</f>
        <v>#REF!</v>
      </c>
      <c r="BP69" t="e">
        <f>AND(#REF!,"AAAAAG/Vf0M=")</f>
        <v>#REF!</v>
      </c>
      <c r="BQ69" t="e">
        <f>AND(#REF!,"AAAAAG/Vf0Q=")</f>
        <v>#REF!</v>
      </c>
      <c r="BR69" t="e">
        <f>IF(#REF!,"AAAAAG/Vf0U=",0)</f>
        <v>#REF!</v>
      </c>
      <c r="BS69" t="e">
        <f>AND(#REF!,"AAAAAG/Vf0Y=")</f>
        <v>#REF!</v>
      </c>
      <c r="BT69" t="e">
        <f>AND(#REF!,"AAAAAG/Vf0c=")</f>
        <v>#REF!</v>
      </c>
      <c r="BU69" t="e">
        <f>AND(#REF!,"AAAAAG/Vf0g=")</f>
        <v>#REF!</v>
      </c>
      <c r="BV69" t="e">
        <f>AND(#REF!,"AAAAAG/Vf0k=")</f>
        <v>#REF!</v>
      </c>
      <c r="BW69" t="e">
        <f>AND(#REF!,"AAAAAG/Vf0o=")</f>
        <v>#REF!</v>
      </c>
      <c r="BX69" t="e">
        <f>IF(#REF!,"AAAAAG/Vf0s=",0)</f>
        <v>#REF!</v>
      </c>
      <c r="BY69" t="e">
        <f>AND(#REF!,"AAAAAG/Vf0w=")</f>
        <v>#REF!</v>
      </c>
      <c r="BZ69" t="e">
        <f>AND(#REF!,"AAAAAG/Vf00=")</f>
        <v>#REF!</v>
      </c>
      <c r="CA69" t="e">
        <f>AND(#REF!,"AAAAAG/Vf04=")</f>
        <v>#REF!</v>
      </c>
      <c r="CB69" t="e">
        <f>AND(#REF!,"AAAAAG/Vf08=")</f>
        <v>#REF!</v>
      </c>
      <c r="CC69" t="e">
        <f>AND(#REF!,"AAAAAG/Vf1A=")</f>
        <v>#REF!</v>
      </c>
      <c r="CD69" t="e">
        <f>IF(#REF!,"AAAAAG/Vf1E=",0)</f>
        <v>#REF!</v>
      </c>
      <c r="CE69" t="e">
        <f>AND(#REF!,"AAAAAG/Vf1I=")</f>
        <v>#REF!</v>
      </c>
      <c r="CF69" t="e">
        <f>AND(#REF!,"AAAAAG/Vf1M=")</f>
        <v>#REF!</v>
      </c>
      <c r="CG69" t="e">
        <f>AND(#REF!,"AAAAAG/Vf1Q=")</f>
        <v>#REF!</v>
      </c>
      <c r="CH69" t="e">
        <f>AND(#REF!,"AAAAAG/Vf1U=")</f>
        <v>#REF!</v>
      </c>
      <c r="CI69" t="e">
        <f>AND(#REF!,"AAAAAG/Vf1Y=")</f>
        <v>#REF!</v>
      </c>
      <c r="CJ69" t="e">
        <f>IF(#REF!,"AAAAAG/Vf1c=",0)</f>
        <v>#REF!</v>
      </c>
      <c r="CK69" t="e">
        <f>AND(#REF!,"AAAAAG/Vf1g=")</f>
        <v>#REF!</v>
      </c>
      <c r="CL69" t="e">
        <f>AND(#REF!,"AAAAAG/Vf1k=")</f>
        <v>#REF!</v>
      </c>
      <c r="CM69" t="e">
        <f>AND(#REF!,"AAAAAG/Vf1o=")</f>
        <v>#REF!</v>
      </c>
      <c r="CN69" t="e">
        <f>AND(#REF!,"AAAAAG/Vf1s=")</f>
        <v>#REF!</v>
      </c>
      <c r="CO69" t="e">
        <f>AND(#REF!,"AAAAAG/Vf1w=")</f>
        <v>#REF!</v>
      </c>
      <c r="CP69" t="e">
        <f>IF(#REF!,"AAAAAG/Vf10=",0)</f>
        <v>#REF!</v>
      </c>
      <c r="CQ69" t="e">
        <f>AND(#REF!,"AAAAAG/Vf14=")</f>
        <v>#REF!</v>
      </c>
      <c r="CR69" t="e">
        <f>AND(#REF!,"AAAAAG/Vf18=")</f>
        <v>#REF!</v>
      </c>
      <c r="CS69" t="e">
        <f>AND(#REF!,"AAAAAG/Vf2A=")</f>
        <v>#REF!</v>
      </c>
      <c r="CT69" t="e">
        <f>AND(#REF!,"AAAAAG/Vf2E=")</f>
        <v>#REF!</v>
      </c>
      <c r="CU69" t="e">
        <f>AND(#REF!,"AAAAAG/Vf2I=")</f>
        <v>#REF!</v>
      </c>
      <c r="CV69" t="e">
        <f>IF(#REF!,"AAAAAG/Vf2M=",0)</f>
        <v>#REF!</v>
      </c>
      <c r="CW69" t="e">
        <f>AND(#REF!,"AAAAAG/Vf2Q=")</f>
        <v>#REF!</v>
      </c>
      <c r="CX69" t="e">
        <f>AND(#REF!,"AAAAAG/Vf2U=")</f>
        <v>#REF!</v>
      </c>
      <c r="CY69" t="e">
        <f>AND(#REF!,"AAAAAG/Vf2Y=")</f>
        <v>#REF!</v>
      </c>
      <c r="CZ69" t="e">
        <f>AND(#REF!,"AAAAAG/Vf2c=")</f>
        <v>#REF!</v>
      </c>
      <c r="DA69" t="e">
        <f>AND(#REF!,"AAAAAG/Vf2g=")</f>
        <v>#REF!</v>
      </c>
      <c r="DB69" t="e">
        <f>IF(#REF!,"AAAAAG/Vf2k=",0)</f>
        <v>#REF!</v>
      </c>
      <c r="DC69" t="e">
        <f>AND(#REF!,"AAAAAG/Vf2o=")</f>
        <v>#REF!</v>
      </c>
      <c r="DD69" t="e">
        <f>AND(#REF!,"AAAAAG/Vf2s=")</f>
        <v>#REF!</v>
      </c>
      <c r="DE69" t="e">
        <f>AND(#REF!,"AAAAAG/Vf2w=")</f>
        <v>#REF!</v>
      </c>
      <c r="DF69" t="e">
        <f>AND(#REF!,"AAAAAG/Vf20=")</f>
        <v>#REF!</v>
      </c>
      <c r="DG69" t="e">
        <f>AND(#REF!,"AAAAAG/Vf24=")</f>
        <v>#REF!</v>
      </c>
      <c r="DH69" t="e">
        <f>IF(#REF!,"AAAAAG/Vf28=",0)</f>
        <v>#REF!</v>
      </c>
      <c r="DI69" t="e">
        <f>AND(#REF!,"AAAAAG/Vf3A=")</f>
        <v>#REF!</v>
      </c>
      <c r="DJ69" t="e">
        <f>AND(#REF!,"AAAAAG/Vf3E=")</f>
        <v>#REF!</v>
      </c>
      <c r="DK69" t="e">
        <f>AND(#REF!,"AAAAAG/Vf3I=")</f>
        <v>#REF!</v>
      </c>
      <c r="DL69" t="e">
        <f>AND(#REF!,"AAAAAG/Vf3M=")</f>
        <v>#REF!</v>
      </c>
      <c r="DM69" t="e">
        <f>AND(#REF!,"AAAAAG/Vf3Q=")</f>
        <v>#REF!</v>
      </c>
      <c r="DN69" t="e">
        <f>IF(#REF!,"AAAAAG/Vf3U=",0)</f>
        <v>#REF!</v>
      </c>
      <c r="DO69" t="e">
        <f>AND(#REF!,"AAAAAG/Vf3Y=")</f>
        <v>#REF!</v>
      </c>
      <c r="DP69" t="e">
        <f>AND(#REF!,"AAAAAG/Vf3c=")</f>
        <v>#REF!</v>
      </c>
      <c r="DQ69" t="e">
        <f>AND(#REF!,"AAAAAG/Vf3g=")</f>
        <v>#REF!</v>
      </c>
      <c r="DR69" t="e">
        <f>AND(#REF!,"AAAAAG/Vf3k=")</f>
        <v>#REF!</v>
      </c>
      <c r="DS69" t="e">
        <f>AND(#REF!,"AAAAAG/Vf3o=")</f>
        <v>#REF!</v>
      </c>
      <c r="DT69" t="e">
        <f>IF(#REF!,"AAAAAG/Vf3s=",0)</f>
        <v>#REF!</v>
      </c>
      <c r="DU69" t="e">
        <f>AND(#REF!,"AAAAAG/Vf3w=")</f>
        <v>#REF!</v>
      </c>
      <c r="DV69" t="e">
        <f>AND(#REF!,"AAAAAG/Vf30=")</f>
        <v>#REF!</v>
      </c>
      <c r="DW69" t="e">
        <f>AND(#REF!,"AAAAAG/Vf34=")</f>
        <v>#REF!</v>
      </c>
      <c r="DX69" t="e">
        <f>AND(#REF!,"AAAAAG/Vf38=")</f>
        <v>#REF!</v>
      </c>
      <c r="DY69" t="e">
        <f>AND(#REF!,"AAAAAG/Vf4A=")</f>
        <v>#REF!</v>
      </c>
      <c r="DZ69" t="e">
        <f>IF(#REF!,"AAAAAG/Vf4E=",0)</f>
        <v>#REF!</v>
      </c>
      <c r="EA69" t="e">
        <f>AND(#REF!,"AAAAAG/Vf4I=")</f>
        <v>#REF!</v>
      </c>
      <c r="EB69" t="e">
        <f>AND(#REF!,"AAAAAG/Vf4M=")</f>
        <v>#REF!</v>
      </c>
      <c r="EC69" t="e">
        <f>AND(#REF!,"AAAAAG/Vf4Q=")</f>
        <v>#REF!</v>
      </c>
      <c r="ED69" t="e">
        <f>AND(#REF!,"AAAAAG/Vf4U=")</f>
        <v>#REF!</v>
      </c>
      <c r="EE69" t="e">
        <f>AND(#REF!,"AAAAAG/Vf4Y=")</f>
        <v>#REF!</v>
      </c>
      <c r="EF69" t="e">
        <f>IF(#REF!,"AAAAAG/Vf4c=",0)</f>
        <v>#REF!</v>
      </c>
      <c r="EG69" t="e">
        <f>AND(#REF!,"AAAAAG/Vf4g=")</f>
        <v>#REF!</v>
      </c>
      <c r="EH69" t="e">
        <f>AND(#REF!,"AAAAAG/Vf4k=")</f>
        <v>#REF!</v>
      </c>
      <c r="EI69" t="e">
        <f>AND(#REF!,"AAAAAG/Vf4o=")</f>
        <v>#REF!</v>
      </c>
      <c r="EJ69" t="e">
        <f>AND(#REF!,"AAAAAG/Vf4s=")</f>
        <v>#REF!</v>
      </c>
      <c r="EK69" t="e">
        <f>AND(#REF!,"AAAAAG/Vf4w=")</f>
        <v>#REF!</v>
      </c>
      <c r="EL69" t="e">
        <f>IF(#REF!,"AAAAAG/Vf40=",0)</f>
        <v>#REF!</v>
      </c>
      <c r="EM69" t="e">
        <f>AND(#REF!,"AAAAAG/Vf44=")</f>
        <v>#REF!</v>
      </c>
      <c r="EN69" t="e">
        <f>AND(#REF!,"AAAAAG/Vf48=")</f>
        <v>#REF!</v>
      </c>
      <c r="EO69" t="e">
        <f>AND(#REF!,"AAAAAG/Vf5A=")</f>
        <v>#REF!</v>
      </c>
      <c r="EP69" t="e">
        <f>AND(#REF!,"AAAAAG/Vf5E=")</f>
        <v>#REF!</v>
      </c>
      <c r="EQ69" t="e">
        <f>AND(#REF!,"AAAAAG/Vf5I=")</f>
        <v>#REF!</v>
      </c>
      <c r="ER69" t="e">
        <f>IF(#REF!,"AAAAAG/Vf5M=",0)</f>
        <v>#REF!</v>
      </c>
      <c r="ES69" t="e">
        <f>AND(#REF!,"AAAAAG/Vf5Q=")</f>
        <v>#REF!</v>
      </c>
      <c r="ET69" t="e">
        <f>AND(#REF!,"AAAAAG/Vf5U=")</f>
        <v>#REF!</v>
      </c>
      <c r="EU69" t="e">
        <f>AND(#REF!,"AAAAAG/Vf5Y=")</f>
        <v>#REF!</v>
      </c>
      <c r="EV69" t="e">
        <f>AND(#REF!,"AAAAAG/Vf5c=")</f>
        <v>#REF!</v>
      </c>
      <c r="EW69" t="e">
        <f>AND(#REF!,"AAAAAG/Vf5g=")</f>
        <v>#REF!</v>
      </c>
      <c r="EX69" t="e">
        <f>IF(#REF!,"AAAAAG/Vf5k=",0)</f>
        <v>#REF!</v>
      </c>
      <c r="EY69" t="e">
        <f>AND(#REF!,"AAAAAG/Vf5o=")</f>
        <v>#REF!</v>
      </c>
      <c r="EZ69" t="e">
        <f>AND(#REF!,"AAAAAG/Vf5s=")</f>
        <v>#REF!</v>
      </c>
      <c r="FA69" t="e">
        <f>AND(#REF!,"AAAAAG/Vf5w=")</f>
        <v>#REF!</v>
      </c>
      <c r="FB69" t="e">
        <f>AND(#REF!,"AAAAAG/Vf50=")</f>
        <v>#REF!</v>
      </c>
      <c r="FC69" t="e">
        <f>AND(#REF!,"AAAAAG/Vf54=")</f>
        <v>#REF!</v>
      </c>
      <c r="FD69" t="e">
        <f>IF(#REF!,"AAAAAG/Vf58=",0)</f>
        <v>#REF!</v>
      </c>
      <c r="FE69" t="e">
        <f>AND(#REF!,"AAAAAG/Vf6A=")</f>
        <v>#REF!</v>
      </c>
      <c r="FF69" t="e">
        <f>AND(#REF!,"AAAAAG/Vf6E=")</f>
        <v>#REF!</v>
      </c>
      <c r="FG69" t="e">
        <f>AND(#REF!,"AAAAAG/Vf6I=")</f>
        <v>#REF!</v>
      </c>
      <c r="FH69" t="e">
        <f>AND(#REF!,"AAAAAG/Vf6M=")</f>
        <v>#REF!</v>
      </c>
      <c r="FI69" t="e">
        <f>AND(#REF!,"AAAAAG/Vf6Q=")</f>
        <v>#REF!</v>
      </c>
      <c r="FJ69" t="e">
        <f>IF(#REF!,"AAAAAG/Vf6U=",0)</f>
        <v>#REF!</v>
      </c>
      <c r="FK69" t="e">
        <f>AND(#REF!,"AAAAAG/Vf6Y=")</f>
        <v>#REF!</v>
      </c>
      <c r="FL69" t="e">
        <f>AND(#REF!,"AAAAAG/Vf6c=")</f>
        <v>#REF!</v>
      </c>
      <c r="FM69" t="e">
        <f>AND(#REF!,"AAAAAG/Vf6g=")</f>
        <v>#REF!</v>
      </c>
      <c r="FN69" t="e">
        <f>AND(#REF!,"AAAAAG/Vf6k=")</f>
        <v>#REF!</v>
      </c>
      <c r="FO69" t="e">
        <f>AND(#REF!,"AAAAAG/Vf6o=")</f>
        <v>#REF!</v>
      </c>
      <c r="FP69" t="e">
        <f>IF(#REF!,"AAAAAG/Vf6s=",0)</f>
        <v>#REF!</v>
      </c>
      <c r="FQ69" t="e">
        <f>AND(#REF!,"AAAAAG/Vf6w=")</f>
        <v>#REF!</v>
      </c>
      <c r="FR69" t="e">
        <f>AND(#REF!,"AAAAAG/Vf60=")</f>
        <v>#REF!</v>
      </c>
      <c r="FS69" t="e">
        <f>AND(#REF!,"AAAAAG/Vf64=")</f>
        <v>#REF!</v>
      </c>
      <c r="FT69" t="e">
        <f>AND(#REF!,"AAAAAG/Vf68=")</f>
        <v>#REF!</v>
      </c>
      <c r="FU69" t="e">
        <f>AND(#REF!,"AAAAAG/Vf7A=")</f>
        <v>#REF!</v>
      </c>
      <c r="FV69" t="e">
        <f>IF(#REF!,"AAAAAG/Vf7E=",0)</f>
        <v>#REF!</v>
      </c>
      <c r="FW69" t="e">
        <f>AND(#REF!,"AAAAAG/Vf7I=")</f>
        <v>#REF!</v>
      </c>
      <c r="FX69" t="e">
        <f>AND(#REF!,"AAAAAG/Vf7M=")</f>
        <v>#REF!</v>
      </c>
      <c r="FY69" t="e">
        <f>AND(#REF!,"AAAAAG/Vf7Q=")</f>
        <v>#REF!</v>
      </c>
      <c r="FZ69" t="e">
        <f>AND(#REF!,"AAAAAG/Vf7U=")</f>
        <v>#REF!</v>
      </c>
      <c r="GA69" t="e">
        <f>AND(#REF!,"AAAAAG/Vf7Y=")</f>
        <v>#REF!</v>
      </c>
      <c r="GB69" t="e">
        <f>IF(#REF!,"AAAAAG/Vf7c=",0)</f>
        <v>#REF!</v>
      </c>
      <c r="GC69" t="e">
        <f>AND(#REF!,"AAAAAG/Vf7g=")</f>
        <v>#REF!</v>
      </c>
      <c r="GD69" t="e">
        <f>AND(#REF!,"AAAAAG/Vf7k=")</f>
        <v>#REF!</v>
      </c>
      <c r="GE69" t="e">
        <f>AND(#REF!,"AAAAAG/Vf7o=")</f>
        <v>#REF!</v>
      </c>
      <c r="GF69" t="e">
        <f>AND(#REF!,"AAAAAG/Vf7s=")</f>
        <v>#REF!</v>
      </c>
      <c r="GG69" t="e">
        <f>AND(#REF!,"AAAAAG/Vf7w=")</f>
        <v>#REF!</v>
      </c>
      <c r="GH69" t="e">
        <f>IF(#REF!,"AAAAAG/Vf70=",0)</f>
        <v>#REF!</v>
      </c>
      <c r="GI69" t="e">
        <f>AND(#REF!,"AAAAAG/Vf74=")</f>
        <v>#REF!</v>
      </c>
      <c r="GJ69" t="e">
        <f>AND(#REF!,"AAAAAG/Vf78=")</f>
        <v>#REF!</v>
      </c>
      <c r="GK69" t="e">
        <f>AND(#REF!,"AAAAAG/Vf8A=")</f>
        <v>#REF!</v>
      </c>
      <c r="GL69" t="e">
        <f>AND(#REF!,"AAAAAG/Vf8E=")</f>
        <v>#REF!</v>
      </c>
      <c r="GM69" t="e">
        <f>AND(#REF!,"AAAAAG/Vf8I=")</f>
        <v>#REF!</v>
      </c>
      <c r="GN69" t="e">
        <f>IF(#REF!,"AAAAAG/Vf8M=",0)</f>
        <v>#REF!</v>
      </c>
      <c r="GO69" t="e">
        <f>AND(#REF!,"AAAAAG/Vf8Q=")</f>
        <v>#REF!</v>
      </c>
      <c r="GP69" t="e">
        <f>AND(#REF!,"AAAAAG/Vf8U=")</f>
        <v>#REF!</v>
      </c>
      <c r="GQ69" t="e">
        <f>AND(#REF!,"AAAAAG/Vf8Y=")</f>
        <v>#REF!</v>
      </c>
      <c r="GR69" t="e">
        <f>AND(#REF!,"AAAAAG/Vf8c=")</f>
        <v>#REF!</v>
      </c>
      <c r="GS69" t="e">
        <f>AND(#REF!,"AAAAAG/Vf8g=")</f>
        <v>#REF!</v>
      </c>
      <c r="GT69" t="e">
        <f>IF(#REF!,"AAAAAG/Vf8k=",0)</f>
        <v>#REF!</v>
      </c>
      <c r="GU69" t="e">
        <f>AND(#REF!,"AAAAAG/Vf8o=")</f>
        <v>#REF!</v>
      </c>
      <c r="GV69" t="e">
        <f>AND(#REF!,"AAAAAG/Vf8s=")</f>
        <v>#REF!</v>
      </c>
      <c r="GW69" t="e">
        <f>AND(#REF!,"AAAAAG/Vf8w=")</f>
        <v>#REF!</v>
      </c>
      <c r="GX69" t="e">
        <f>AND(#REF!,"AAAAAG/Vf80=")</f>
        <v>#REF!</v>
      </c>
      <c r="GY69" t="e">
        <f>AND(#REF!,"AAAAAG/Vf84=")</f>
        <v>#REF!</v>
      </c>
      <c r="GZ69" t="e">
        <f>IF(#REF!,"AAAAAG/Vf88=",0)</f>
        <v>#REF!</v>
      </c>
      <c r="HA69" t="e">
        <f>AND(#REF!,"AAAAAG/Vf9A=")</f>
        <v>#REF!</v>
      </c>
      <c r="HB69" t="e">
        <f>AND(#REF!,"AAAAAG/Vf9E=")</f>
        <v>#REF!</v>
      </c>
      <c r="HC69" t="e">
        <f>AND(#REF!,"AAAAAG/Vf9I=")</f>
        <v>#REF!</v>
      </c>
      <c r="HD69" t="e">
        <f>AND(#REF!,"AAAAAG/Vf9M=")</f>
        <v>#REF!</v>
      </c>
      <c r="HE69" t="e">
        <f>AND(#REF!,"AAAAAG/Vf9Q=")</f>
        <v>#REF!</v>
      </c>
      <c r="HF69" t="e">
        <f>IF(#REF!,"AAAAAG/Vf9U=",0)</f>
        <v>#REF!</v>
      </c>
      <c r="HG69" t="e">
        <f>IF(#REF!,"AAAAAG/Vf9Y=",0)</f>
        <v>#REF!</v>
      </c>
      <c r="HH69" t="e">
        <f>IF(#REF!,"AAAAAG/Vf9c=",0)</f>
        <v>#REF!</v>
      </c>
      <c r="HI69" t="e">
        <f>IF(#REF!,"AAAAAG/Vf9g=",0)</f>
        <v>#REF!</v>
      </c>
      <c r="HJ69" t="e">
        <f>IF(#REF!,"AAAAAG/Vf9k=",0)</f>
        <v>#REF!</v>
      </c>
      <c r="HK69" t="e">
        <f>IF(#REF!,"AAAAAG/Vf9o=",0)</f>
        <v>#REF!</v>
      </c>
      <c r="HL69" t="e">
        <f>IF(#REF!,"AAAAAG/Vf9s=",0)</f>
        <v>#REF!</v>
      </c>
      <c r="HM69" t="e">
        <f>IF(#REF!,"AAAAAG/Vf9w=",0)</f>
        <v>#REF!</v>
      </c>
      <c r="HN69" t="e">
        <f>IF(#REF!,"AAAAAG/Vf90=",0)</f>
        <v>#REF!</v>
      </c>
      <c r="HO69" t="e">
        <f>IF(#REF!,"AAAAAG/Vf94=",0)</f>
        <v>#REF!</v>
      </c>
      <c r="HP69" t="e">
        <f>IF(#REF!,"AAAAAG/Vf98=",0)</f>
        <v>#REF!</v>
      </c>
      <c r="HQ69" t="e">
        <f>AND(#REF!,"AAAAAG/Vf+A=")</f>
        <v>#REF!</v>
      </c>
      <c r="HR69" t="e">
        <f>AND(#REF!,"AAAAAG/Vf+E=")</f>
        <v>#REF!</v>
      </c>
      <c r="HS69" t="e">
        <f>AND(#REF!,"AAAAAG/Vf+I=")</f>
        <v>#REF!</v>
      </c>
      <c r="HT69" t="e">
        <f>AND(#REF!,"AAAAAG/Vf+M=")</f>
        <v>#REF!</v>
      </c>
      <c r="HU69" t="e">
        <f>AND(#REF!,"AAAAAG/Vf+Q=")</f>
        <v>#REF!</v>
      </c>
      <c r="HV69" t="e">
        <f>AND(#REF!,"AAAAAG/Vf+U=")</f>
        <v>#REF!</v>
      </c>
      <c r="HW69" t="e">
        <f>AND(#REF!,"AAAAAG/Vf+Y=")</f>
        <v>#REF!</v>
      </c>
      <c r="HX69" t="e">
        <f>AND(#REF!,"AAAAAG/Vf+c=")</f>
        <v>#REF!</v>
      </c>
      <c r="HY69" t="e">
        <f>IF(#REF!,"AAAAAG/Vf+g=",0)</f>
        <v>#REF!</v>
      </c>
      <c r="HZ69" t="e">
        <f>AND(#REF!,"AAAAAG/Vf+k=")</f>
        <v>#REF!</v>
      </c>
      <c r="IA69" t="e">
        <f>AND(#REF!,"AAAAAG/Vf+o=")</f>
        <v>#REF!</v>
      </c>
      <c r="IB69" t="e">
        <f>AND(#REF!,"AAAAAG/Vf+s=")</f>
        <v>#REF!</v>
      </c>
      <c r="IC69" t="e">
        <f>AND(#REF!,"AAAAAG/Vf+w=")</f>
        <v>#REF!</v>
      </c>
      <c r="ID69" t="e">
        <f>AND(#REF!,"AAAAAG/Vf+0=")</f>
        <v>#REF!</v>
      </c>
      <c r="IE69" t="e">
        <f>AND(#REF!,"AAAAAG/Vf+4=")</f>
        <v>#REF!</v>
      </c>
      <c r="IF69" t="e">
        <f>AND(#REF!,"AAAAAG/Vf+8=")</f>
        <v>#REF!</v>
      </c>
      <c r="IG69" t="e">
        <f>AND(#REF!,"AAAAAG/Vf/A=")</f>
        <v>#REF!</v>
      </c>
      <c r="IH69" t="e">
        <f>IF(#REF!,"AAAAAG/Vf/E=",0)</f>
        <v>#REF!</v>
      </c>
      <c r="II69" t="e">
        <f>AND(#REF!,"AAAAAG/Vf/I=")</f>
        <v>#REF!</v>
      </c>
      <c r="IJ69" t="e">
        <f>AND(#REF!,"AAAAAG/Vf/M=")</f>
        <v>#REF!</v>
      </c>
      <c r="IK69" t="e">
        <f>AND(#REF!,"AAAAAG/Vf/Q=")</f>
        <v>#REF!</v>
      </c>
      <c r="IL69" t="e">
        <f>AND(#REF!,"AAAAAG/Vf/U=")</f>
        <v>#REF!</v>
      </c>
      <c r="IM69" t="e">
        <f>AND(#REF!,"AAAAAG/Vf/Y=")</f>
        <v>#REF!</v>
      </c>
      <c r="IN69" t="e">
        <f>AND(#REF!,"AAAAAG/Vf/c=")</f>
        <v>#REF!</v>
      </c>
      <c r="IO69" t="e">
        <f>AND(#REF!,"AAAAAG/Vf/g=")</f>
        <v>#REF!</v>
      </c>
      <c r="IP69" t="e">
        <f>AND(#REF!,"AAAAAG/Vf/k=")</f>
        <v>#REF!</v>
      </c>
      <c r="IQ69" t="e">
        <f>IF(#REF!,"AAAAAG/Vf/o=",0)</f>
        <v>#REF!</v>
      </c>
      <c r="IR69" t="e">
        <f>AND(#REF!,"AAAAAG/Vf/s=")</f>
        <v>#REF!</v>
      </c>
      <c r="IS69" t="e">
        <f>AND(#REF!,"AAAAAG/Vf/w=")</f>
        <v>#REF!</v>
      </c>
      <c r="IT69" t="e">
        <f>AND(#REF!,"AAAAAG/Vf/0=")</f>
        <v>#REF!</v>
      </c>
      <c r="IU69" t="e">
        <f>AND(#REF!,"AAAAAG/Vf/4=")</f>
        <v>#REF!</v>
      </c>
      <c r="IV69" t="e">
        <f>AND(#REF!,"AAAAAG/Vf/8=")</f>
        <v>#REF!</v>
      </c>
    </row>
    <row r="70" spans="1:256" x14ac:dyDescent="0.25">
      <c r="A70" t="e">
        <f>AND(#REF!,"AAAAAH3vfQA=")</f>
        <v>#REF!</v>
      </c>
      <c r="B70" t="e">
        <f>AND(#REF!,"AAAAAH3vfQE=")</f>
        <v>#REF!</v>
      </c>
      <c r="C70" t="e">
        <f>AND(#REF!,"AAAAAH3vfQI=")</f>
        <v>#REF!</v>
      </c>
      <c r="D70" t="e">
        <f>IF(#REF!,"AAAAAH3vfQM=",0)</f>
        <v>#REF!</v>
      </c>
      <c r="E70" t="e">
        <f>AND(#REF!,"AAAAAH3vfQQ=")</f>
        <v>#REF!</v>
      </c>
      <c r="F70" t="e">
        <f>AND(#REF!,"AAAAAH3vfQU=")</f>
        <v>#REF!</v>
      </c>
      <c r="G70" t="e">
        <f>AND(#REF!,"AAAAAH3vfQY=")</f>
        <v>#REF!</v>
      </c>
      <c r="H70" t="e">
        <f>AND(#REF!,"AAAAAH3vfQc=")</f>
        <v>#REF!</v>
      </c>
      <c r="I70" t="e">
        <f>AND(#REF!,"AAAAAH3vfQg=")</f>
        <v>#REF!</v>
      </c>
      <c r="J70" t="e">
        <f>AND(#REF!,"AAAAAH3vfQk=")</f>
        <v>#REF!</v>
      </c>
      <c r="K70" t="e">
        <f>AND(#REF!,"AAAAAH3vfQo=")</f>
        <v>#REF!</v>
      </c>
      <c r="L70" t="e">
        <f>AND(#REF!,"AAAAAH3vfQs=")</f>
        <v>#REF!</v>
      </c>
      <c r="M70" t="e">
        <f>IF(#REF!,"AAAAAH3vfQw=",0)</f>
        <v>#REF!</v>
      </c>
      <c r="N70" t="e">
        <f>AND(#REF!,"AAAAAH3vfQ0=")</f>
        <v>#REF!</v>
      </c>
      <c r="O70" t="e">
        <f>AND(#REF!,"AAAAAH3vfQ4=")</f>
        <v>#REF!</v>
      </c>
      <c r="P70" t="e">
        <f>AND(#REF!,"AAAAAH3vfQ8=")</f>
        <v>#REF!</v>
      </c>
      <c r="Q70" t="e">
        <f>AND(#REF!,"AAAAAH3vfRA=")</f>
        <v>#REF!</v>
      </c>
      <c r="R70" t="e">
        <f>AND(#REF!,"AAAAAH3vfRE=")</f>
        <v>#REF!</v>
      </c>
      <c r="S70" t="e">
        <f>AND(#REF!,"AAAAAH3vfRI=")</f>
        <v>#REF!</v>
      </c>
      <c r="T70" t="e">
        <f>AND(#REF!,"AAAAAH3vfRM=")</f>
        <v>#REF!</v>
      </c>
      <c r="U70" t="e">
        <f>AND(#REF!,"AAAAAH3vfRQ=")</f>
        <v>#REF!</v>
      </c>
      <c r="V70" t="e">
        <f>IF(#REF!,"AAAAAH3vfRU=",0)</f>
        <v>#REF!</v>
      </c>
      <c r="W70" t="e">
        <f>AND(#REF!,"AAAAAH3vfRY=")</f>
        <v>#REF!</v>
      </c>
      <c r="X70" t="e">
        <f>AND(#REF!,"AAAAAH3vfRc=")</f>
        <v>#REF!</v>
      </c>
      <c r="Y70" t="e">
        <f>AND(#REF!,"AAAAAH3vfRg=")</f>
        <v>#REF!</v>
      </c>
      <c r="Z70" t="e">
        <f>AND(#REF!,"AAAAAH3vfRk=")</f>
        <v>#REF!</v>
      </c>
      <c r="AA70" t="e">
        <f>AND(#REF!,"AAAAAH3vfRo=")</f>
        <v>#REF!</v>
      </c>
      <c r="AB70" t="e">
        <f>AND(#REF!,"AAAAAH3vfRs=")</f>
        <v>#REF!</v>
      </c>
      <c r="AC70" t="e">
        <f>AND(#REF!,"AAAAAH3vfRw=")</f>
        <v>#REF!</v>
      </c>
      <c r="AD70" t="e">
        <f>AND(#REF!,"AAAAAH3vfR0=")</f>
        <v>#REF!</v>
      </c>
      <c r="AE70" t="e">
        <f>IF(#REF!,"AAAAAH3vfR4=",0)</f>
        <v>#REF!</v>
      </c>
      <c r="AF70" t="e">
        <f>AND(#REF!,"AAAAAH3vfR8=")</f>
        <v>#REF!</v>
      </c>
      <c r="AG70" t="e">
        <f>AND(#REF!,"AAAAAH3vfSA=")</f>
        <v>#REF!</v>
      </c>
      <c r="AH70" t="e">
        <f>AND(#REF!,"AAAAAH3vfSE=")</f>
        <v>#REF!</v>
      </c>
      <c r="AI70" t="e">
        <f>AND(#REF!,"AAAAAH3vfSI=")</f>
        <v>#REF!</v>
      </c>
      <c r="AJ70" t="e">
        <f>AND(#REF!,"AAAAAH3vfSM=")</f>
        <v>#REF!</v>
      </c>
      <c r="AK70" t="e">
        <f>AND(#REF!,"AAAAAH3vfSQ=")</f>
        <v>#REF!</v>
      </c>
      <c r="AL70" t="e">
        <f>AND(#REF!,"AAAAAH3vfSU=")</f>
        <v>#REF!</v>
      </c>
      <c r="AM70" t="e">
        <f>AND(#REF!,"AAAAAH3vfSY=")</f>
        <v>#REF!</v>
      </c>
      <c r="AN70" t="e">
        <f>IF(#REF!,"AAAAAH3vfSc=",0)</f>
        <v>#REF!</v>
      </c>
      <c r="AO70" t="e">
        <f>AND(#REF!,"AAAAAH3vfSg=")</f>
        <v>#REF!</v>
      </c>
      <c r="AP70" t="e">
        <f>AND(#REF!,"AAAAAH3vfSk=")</f>
        <v>#REF!</v>
      </c>
      <c r="AQ70" t="e">
        <f>AND(#REF!,"AAAAAH3vfSo=")</f>
        <v>#REF!</v>
      </c>
      <c r="AR70" t="e">
        <f>AND(#REF!,"AAAAAH3vfSs=")</f>
        <v>#REF!</v>
      </c>
      <c r="AS70" t="e">
        <f>AND(#REF!,"AAAAAH3vfSw=")</f>
        <v>#REF!</v>
      </c>
      <c r="AT70" t="e">
        <f>AND(#REF!,"AAAAAH3vfS0=")</f>
        <v>#REF!</v>
      </c>
      <c r="AU70" t="e">
        <f>AND(#REF!,"AAAAAH3vfS4=")</f>
        <v>#REF!</v>
      </c>
      <c r="AV70" t="e">
        <f>AND(#REF!,"AAAAAH3vfS8=")</f>
        <v>#REF!</v>
      </c>
      <c r="AW70" t="e">
        <f>IF(#REF!,"AAAAAH3vfTA=",0)</f>
        <v>#REF!</v>
      </c>
      <c r="AX70" t="e">
        <f>AND(#REF!,"AAAAAH3vfTE=")</f>
        <v>#REF!</v>
      </c>
      <c r="AY70" t="e">
        <f>AND(#REF!,"AAAAAH3vfTI=")</f>
        <v>#REF!</v>
      </c>
      <c r="AZ70" t="e">
        <f>AND(#REF!,"AAAAAH3vfTM=")</f>
        <v>#REF!</v>
      </c>
      <c r="BA70" t="e">
        <f>AND(#REF!,"AAAAAH3vfTQ=")</f>
        <v>#REF!</v>
      </c>
      <c r="BB70" t="e">
        <f>AND(#REF!,"AAAAAH3vfTU=")</f>
        <v>#REF!</v>
      </c>
      <c r="BC70" t="e">
        <f>AND(#REF!,"AAAAAH3vfTY=")</f>
        <v>#REF!</v>
      </c>
      <c r="BD70" t="e">
        <f>AND(#REF!,"AAAAAH3vfTc=")</f>
        <v>#REF!</v>
      </c>
      <c r="BE70" t="e">
        <f>AND(#REF!,"AAAAAH3vfTg=")</f>
        <v>#REF!</v>
      </c>
      <c r="BF70" t="e">
        <f>IF(#REF!,"AAAAAH3vfTk=",0)</f>
        <v>#REF!</v>
      </c>
      <c r="BG70" t="e">
        <f>AND(#REF!,"AAAAAH3vfTo=")</f>
        <v>#REF!</v>
      </c>
      <c r="BH70" t="e">
        <f>AND(#REF!,"AAAAAH3vfTs=")</f>
        <v>#REF!</v>
      </c>
      <c r="BI70" t="e">
        <f>AND(#REF!,"AAAAAH3vfTw=")</f>
        <v>#REF!</v>
      </c>
      <c r="BJ70" t="e">
        <f>AND(#REF!,"AAAAAH3vfT0=")</f>
        <v>#REF!</v>
      </c>
      <c r="BK70" t="e">
        <f>AND(#REF!,"AAAAAH3vfT4=")</f>
        <v>#REF!</v>
      </c>
      <c r="BL70" t="e">
        <f>AND(#REF!,"AAAAAH3vfT8=")</f>
        <v>#REF!</v>
      </c>
      <c r="BM70" t="e">
        <f>AND(#REF!,"AAAAAH3vfUA=")</f>
        <v>#REF!</v>
      </c>
      <c r="BN70" t="e">
        <f>AND(#REF!,"AAAAAH3vfUE=")</f>
        <v>#REF!</v>
      </c>
      <c r="BO70" t="e">
        <f>IF(#REF!,"AAAAAH3vfUI=",0)</f>
        <v>#REF!</v>
      </c>
      <c r="BP70" t="e">
        <f>AND(#REF!,"AAAAAH3vfUM=")</f>
        <v>#REF!</v>
      </c>
      <c r="BQ70" t="e">
        <f>AND(#REF!,"AAAAAH3vfUQ=")</f>
        <v>#REF!</v>
      </c>
      <c r="BR70" t="e">
        <f>AND(#REF!,"AAAAAH3vfUU=")</f>
        <v>#REF!</v>
      </c>
      <c r="BS70" t="e">
        <f>AND(#REF!,"AAAAAH3vfUY=")</f>
        <v>#REF!</v>
      </c>
      <c r="BT70" t="e">
        <f>AND(#REF!,"AAAAAH3vfUc=")</f>
        <v>#REF!</v>
      </c>
      <c r="BU70" t="e">
        <f>AND(#REF!,"AAAAAH3vfUg=")</f>
        <v>#REF!</v>
      </c>
      <c r="BV70" t="e">
        <f>AND(#REF!,"AAAAAH3vfUk=")</f>
        <v>#REF!</v>
      </c>
      <c r="BW70" t="e">
        <f>AND(#REF!,"AAAAAH3vfUo=")</f>
        <v>#REF!</v>
      </c>
      <c r="BX70" t="e">
        <f>IF(#REF!,"AAAAAH3vfUs=",0)</f>
        <v>#REF!</v>
      </c>
      <c r="BY70" t="e">
        <f>AND(#REF!,"AAAAAH3vfUw=")</f>
        <v>#REF!</v>
      </c>
      <c r="BZ70" t="e">
        <f>AND(#REF!,"AAAAAH3vfU0=")</f>
        <v>#REF!</v>
      </c>
      <c r="CA70" t="e">
        <f>AND(#REF!,"AAAAAH3vfU4=")</f>
        <v>#REF!</v>
      </c>
      <c r="CB70" t="e">
        <f>AND(#REF!,"AAAAAH3vfU8=")</f>
        <v>#REF!</v>
      </c>
      <c r="CC70" t="e">
        <f>AND(#REF!,"AAAAAH3vfVA=")</f>
        <v>#REF!</v>
      </c>
      <c r="CD70" t="e">
        <f>AND(#REF!,"AAAAAH3vfVE=")</f>
        <v>#REF!</v>
      </c>
      <c r="CE70" t="e">
        <f>AND(#REF!,"AAAAAH3vfVI=")</f>
        <v>#REF!</v>
      </c>
      <c r="CF70" t="e">
        <f>AND(#REF!,"AAAAAH3vfVM=")</f>
        <v>#REF!</v>
      </c>
      <c r="CG70" t="e">
        <f>IF(#REF!,"AAAAAH3vfVQ=",0)</f>
        <v>#REF!</v>
      </c>
      <c r="CH70" t="e">
        <f>AND(#REF!,"AAAAAH3vfVU=")</f>
        <v>#REF!</v>
      </c>
      <c r="CI70" t="e">
        <f>AND(#REF!,"AAAAAH3vfVY=")</f>
        <v>#REF!</v>
      </c>
      <c r="CJ70" t="e">
        <f>AND(#REF!,"AAAAAH3vfVc=")</f>
        <v>#REF!</v>
      </c>
      <c r="CK70" t="e">
        <f>AND(#REF!,"AAAAAH3vfVg=")</f>
        <v>#REF!</v>
      </c>
      <c r="CL70" t="e">
        <f>AND(#REF!,"AAAAAH3vfVk=")</f>
        <v>#REF!</v>
      </c>
      <c r="CM70" t="e">
        <f>AND(#REF!,"AAAAAH3vfVo=")</f>
        <v>#REF!</v>
      </c>
      <c r="CN70" t="e">
        <f>AND(#REF!,"AAAAAH3vfVs=")</f>
        <v>#REF!</v>
      </c>
      <c r="CO70" t="e">
        <f>AND(#REF!,"AAAAAH3vfVw=")</f>
        <v>#REF!</v>
      </c>
      <c r="CP70" t="e">
        <f>IF(#REF!,"AAAAAH3vfV0=",0)</f>
        <v>#REF!</v>
      </c>
      <c r="CQ70" t="e">
        <f>AND(#REF!,"AAAAAH3vfV4=")</f>
        <v>#REF!</v>
      </c>
      <c r="CR70" t="e">
        <f>AND(#REF!,"AAAAAH3vfV8=")</f>
        <v>#REF!</v>
      </c>
      <c r="CS70" t="e">
        <f>AND(#REF!,"AAAAAH3vfWA=")</f>
        <v>#REF!</v>
      </c>
      <c r="CT70" t="e">
        <f>AND(#REF!,"AAAAAH3vfWE=")</f>
        <v>#REF!</v>
      </c>
      <c r="CU70" t="e">
        <f>AND(#REF!,"AAAAAH3vfWI=")</f>
        <v>#REF!</v>
      </c>
      <c r="CV70" t="e">
        <f>AND(#REF!,"AAAAAH3vfWM=")</f>
        <v>#REF!</v>
      </c>
      <c r="CW70" t="e">
        <f>AND(#REF!,"AAAAAH3vfWQ=")</f>
        <v>#REF!</v>
      </c>
      <c r="CX70" t="e">
        <f>AND(#REF!,"AAAAAH3vfWU=")</f>
        <v>#REF!</v>
      </c>
      <c r="CY70" t="e">
        <f>IF(#REF!,"AAAAAH3vfWY=",0)</f>
        <v>#REF!</v>
      </c>
      <c r="CZ70" t="e">
        <f>AND(#REF!,"AAAAAH3vfWc=")</f>
        <v>#REF!</v>
      </c>
      <c r="DA70" t="e">
        <f>AND(#REF!,"AAAAAH3vfWg=")</f>
        <v>#REF!</v>
      </c>
      <c r="DB70" t="e">
        <f>AND(#REF!,"AAAAAH3vfWk=")</f>
        <v>#REF!</v>
      </c>
      <c r="DC70" t="e">
        <f>AND(#REF!,"AAAAAH3vfWo=")</f>
        <v>#REF!</v>
      </c>
      <c r="DD70" t="e">
        <f>AND(#REF!,"AAAAAH3vfWs=")</f>
        <v>#REF!</v>
      </c>
      <c r="DE70" t="e">
        <f>AND(#REF!,"AAAAAH3vfWw=")</f>
        <v>#REF!</v>
      </c>
      <c r="DF70" t="e">
        <f>AND(#REF!,"AAAAAH3vfW0=")</f>
        <v>#REF!</v>
      </c>
      <c r="DG70" t="e">
        <f>AND(#REF!,"AAAAAH3vfW4=")</f>
        <v>#REF!</v>
      </c>
      <c r="DH70" t="e">
        <f>IF(#REF!,"AAAAAH3vfW8=",0)</f>
        <v>#REF!</v>
      </c>
      <c r="DI70" t="e">
        <f>AND(#REF!,"AAAAAH3vfXA=")</f>
        <v>#REF!</v>
      </c>
      <c r="DJ70" t="e">
        <f>AND(#REF!,"AAAAAH3vfXE=")</f>
        <v>#REF!</v>
      </c>
      <c r="DK70" t="e">
        <f>AND(#REF!,"AAAAAH3vfXI=")</f>
        <v>#REF!</v>
      </c>
      <c r="DL70" t="e">
        <f>AND(#REF!,"AAAAAH3vfXM=")</f>
        <v>#REF!</v>
      </c>
      <c r="DM70" t="e">
        <f>AND(#REF!,"AAAAAH3vfXQ=")</f>
        <v>#REF!</v>
      </c>
      <c r="DN70" t="e">
        <f>AND(#REF!,"AAAAAH3vfXU=")</f>
        <v>#REF!</v>
      </c>
      <c r="DO70" t="e">
        <f>AND(#REF!,"AAAAAH3vfXY=")</f>
        <v>#REF!</v>
      </c>
      <c r="DP70" t="e">
        <f>AND(#REF!,"AAAAAH3vfXc=")</f>
        <v>#REF!</v>
      </c>
      <c r="DQ70" t="e">
        <f>IF(#REF!,"AAAAAH3vfXg=",0)</f>
        <v>#REF!</v>
      </c>
      <c r="DR70" t="e">
        <f>AND(#REF!,"AAAAAH3vfXk=")</f>
        <v>#REF!</v>
      </c>
      <c r="DS70" t="e">
        <f>AND(#REF!,"AAAAAH3vfXo=")</f>
        <v>#REF!</v>
      </c>
      <c r="DT70" t="e">
        <f>AND(#REF!,"AAAAAH3vfXs=")</f>
        <v>#REF!</v>
      </c>
      <c r="DU70" t="e">
        <f>AND(#REF!,"AAAAAH3vfXw=")</f>
        <v>#REF!</v>
      </c>
      <c r="DV70" t="e">
        <f>AND(#REF!,"AAAAAH3vfX0=")</f>
        <v>#REF!</v>
      </c>
      <c r="DW70" t="e">
        <f>AND(#REF!,"AAAAAH3vfX4=")</f>
        <v>#REF!</v>
      </c>
      <c r="DX70" t="e">
        <f>AND(#REF!,"AAAAAH3vfX8=")</f>
        <v>#REF!</v>
      </c>
      <c r="DY70" t="e">
        <f>AND(#REF!,"AAAAAH3vfYA=")</f>
        <v>#REF!</v>
      </c>
      <c r="DZ70" t="e">
        <f>IF(#REF!,"AAAAAH3vfYE=",0)</f>
        <v>#REF!</v>
      </c>
      <c r="EA70" t="e">
        <f>AND(#REF!,"AAAAAH3vfYI=")</f>
        <v>#REF!</v>
      </c>
      <c r="EB70" t="e">
        <f>AND(#REF!,"AAAAAH3vfYM=")</f>
        <v>#REF!</v>
      </c>
      <c r="EC70" t="e">
        <f>AND(#REF!,"AAAAAH3vfYQ=")</f>
        <v>#REF!</v>
      </c>
      <c r="ED70" t="e">
        <f>AND(#REF!,"AAAAAH3vfYU=")</f>
        <v>#REF!</v>
      </c>
      <c r="EE70" t="e">
        <f>AND(#REF!,"AAAAAH3vfYY=")</f>
        <v>#REF!</v>
      </c>
      <c r="EF70" t="e">
        <f>AND(#REF!,"AAAAAH3vfYc=")</f>
        <v>#REF!</v>
      </c>
      <c r="EG70" t="e">
        <f>AND(#REF!,"AAAAAH3vfYg=")</f>
        <v>#REF!</v>
      </c>
      <c r="EH70" t="e">
        <f>AND(#REF!,"AAAAAH3vfYk=")</f>
        <v>#REF!</v>
      </c>
      <c r="EI70" t="e">
        <f>IF(#REF!,"AAAAAH3vfYo=",0)</f>
        <v>#REF!</v>
      </c>
      <c r="EJ70" t="e">
        <f>AND(#REF!,"AAAAAH3vfYs=")</f>
        <v>#REF!</v>
      </c>
      <c r="EK70" t="e">
        <f>AND(#REF!,"AAAAAH3vfYw=")</f>
        <v>#REF!</v>
      </c>
      <c r="EL70" t="e">
        <f>AND(#REF!,"AAAAAH3vfY0=")</f>
        <v>#REF!</v>
      </c>
      <c r="EM70" t="e">
        <f>AND(#REF!,"AAAAAH3vfY4=")</f>
        <v>#REF!</v>
      </c>
      <c r="EN70" t="e">
        <f>AND(#REF!,"AAAAAH3vfY8=")</f>
        <v>#REF!</v>
      </c>
      <c r="EO70" t="e">
        <f>AND(#REF!,"AAAAAH3vfZA=")</f>
        <v>#REF!</v>
      </c>
      <c r="EP70" t="e">
        <f>AND(#REF!,"AAAAAH3vfZE=")</f>
        <v>#REF!</v>
      </c>
      <c r="EQ70" t="e">
        <f>AND(#REF!,"AAAAAH3vfZI=")</f>
        <v>#REF!</v>
      </c>
      <c r="ER70" t="e">
        <f>IF(#REF!,"AAAAAH3vfZM=",0)</f>
        <v>#REF!</v>
      </c>
      <c r="ES70" t="e">
        <f>AND(#REF!,"AAAAAH3vfZQ=")</f>
        <v>#REF!</v>
      </c>
      <c r="ET70" t="e">
        <f>AND(#REF!,"AAAAAH3vfZU=")</f>
        <v>#REF!</v>
      </c>
      <c r="EU70" t="e">
        <f>AND(#REF!,"AAAAAH3vfZY=")</f>
        <v>#REF!</v>
      </c>
      <c r="EV70" t="e">
        <f>AND(#REF!,"AAAAAH3vfZc=")</f>
        <v>#REF!</v>
      </c>
      <c r="EW70" t="e">
        <f>AND(#REF!,"AAAAAH3vfZg=")</f>
        <v>#REF!</v>
      </c>
      <c r="EX70" t="e">
        <f>AND(#REF!,"AAAAAH3vfZk=")</f>
        <v>#REF!</v>
      </c>
      <c r="EY70" t="e">
        <f>AND(#REF!,"AAAAAH3vfZo=")</f>
        <v>#REF!</v>
      </c>
      <c r="EZ70" t="e">
        <f>AND(#REF!,"AAAAAH3vfZs=")</f>
        <v>#REF!</v>
      </c>
      <c r="FA70" t="e">
        <f>IF(#REF!,"AAAAAH3vfZw=",0)</f>
        <v>#REF!</v>
      </c>
      <c r="FB70" t="e">
        <f>AND(#REF!,"AAAAAH3vfZ0=")</f>
        <v>#REF!</v>
      </c>
      <c r="FC70" t="e">
        <f>AND(#REF!,"AAAAAH3vfZ4=")</f>
        <v>#REF!</v>
      </c>
      <c r="FD70" t="e">
        <f>AND(#REF!,"AAAAAH3vfZ8=")</f>
        <v>#REF!</v>
      </c>
      <c r="FE70" t="e">
        <f>AND(#REF!,"AAAAAH3vfaA=")</f>
        <v>#REF!</v>
      </c>
      <c r="FF70" t="e">
        <f>AND(#REF!,"AAAAAH3vfaE=")</f>
        <v>#REF!</v>
      </c>
      <c r="FG70" t="e">
        <f>AND(#REF!,"AAAAAH3vfaI=")</f>
        <v>#REF!</v>
      </c>
      <c r="FH70" t="e">
        <f>AND(#REF!,"AAAAAH3vfaM=")</f>
        <v>#REF!</v>
      </c>
      <c r="FI70" t="e">
        <f>AND(#REF!,"AAAAAH3vfaQ=")</f>
        <v>#REF!</v>
      </c>
      <c r="FJ70" t="e">
        <f>IF(#REF!,"AAAAAH3vfaU=",0)</f>
        <v>#REF!</v>
      </c>
      <c r="FK70" t="e">
        <f>AND(#REF!,"AAAAAH3vfaY=")</f>
        <v>#REF!</v>
      </c>
      <c r="FL70" t="e">
        <f>AND(#REF!,"AAAAAH3vfac=")</f>
        <v>#REF!</v>
      </c>
      <c r="FM70" t="e">
        <f>AND(#REF!,"AAAAAH3vfag=")</f>
        <v>#REF!</v>
      </c>
      <c r="FN70" t="e">
        <f>AND(#REF!,"AAAAAH3vfak=")</f>
        <v>#REF!</v>
      </c>
      <c r="FO70" t="e">
        <f>AND(#REF!,"AAAAAH3vfao=")</f>
        <v>#REF!</v>
      </c>
      <c r="FP70" t="e">
        <f>AND(#REF!,"AAAAAH3vfas=")</f>
        <v>#REF!</v>
      </c>
      <c r="FQ70" t="e">
        <f>AND(#REF!,"AAAAAH3vfaw=")</f>
        <v>#REF!</v>
      </c>
      <c r="FR70" t="e">
        <f>AND(#REF!,"AAAAAH3vfa0=")</f>
        <v>#REF!</v>
      </c>
      <c r="FS70" t="e">
        <f>IF(#REF!,"AAAAAH3vfa4=",0)</f>
        <v>#REF!</v>
      </c>
      <c r="FT70" t="e">
        <f>AND(#REF!,"AAAAAH3vfa8=")</f>
        <v>#REF!</v>
      </c>
      <c r="FU70" t="e">
        <f>AND(#REF!,"AAAAAH3vfbA=")</f>
        <v>#REF!</v>
      </c>
      <c r="FV70" t="e">
        <f>AND(#REF!,"AAAAAH3vfbE=")</f>
        <v>#REF!</v>
      </c>
      <c r="FW70" t="e">
        <f>AND(#REF!,"AAAAAH3vfbI=")</f>
        <v>#REF!</v>
      </c>
      <c r="FX70" t="e">
        <f>AND(#REF!,"AAAAAH3vfbM=")</f>
        <v>#REF!</v>
      </c>
      <c r="FY70" t="e">
        <f>AND(#REF!,"AAAAAH3vfbQ=")</f>
        <v>#REF!</v>
      </c>
      <c r="FZ70" t="e">
        <f>AND(#REF!,"AAAAAH3vfbU=")</f>
        <v>#REF!</v>
      </c>
      <c r="GA70" t="e">
        <f>AND(#REF!,"AAAAAH3vfbY=")</f>
        <v>#REF!</v>
      </c>
      <c r="GB70" t="e">
        <f>IF(#REF!,"AAAAAH3vfbc=",0)</f>
        <v>#REF!</v>
      </c>
      <c r="GC70" t="e">
        <f>AND(#REF!,"AAAAAH3vfbg=")</f>
        <v>#REF!</v>
      </c>
      <c r="GD70" t="e">
        <f>AND(#REF!,"AAAAAH3vfbk=")</f>
        <v>#REF!</v>
      </c>
      <c r="GE70" t="e">
        <f>AND(#REF!,"AAAAAH3vfbo=")</f>
        <v>#REF!</v>
      </c>
      <c r="GF70" t="e">
        <f>AND(#REF!,"AAAAAH3vfbs=")</f>
        <v>#REF!</v>
      </c>
      <c r="GG70" t="e">
        <f>AND(#REF!,"AAAAAH3vfbw=")</f>
        <v>#REF!</v>
      </c>
      <c r="GH70" t="e">
        <f>AND(#REF!,"AAAAAH3vfb0=")</f>
        <v>#REF!</v>
      </c>
      <c r="GI70" t="e">
        <f>AND(#REF!,"AAAAAH3vfb4=")</f>
        <v>#REF!</v>
      </c>
      <c r="GJ70" t="e">
        <f>AND(#REF!,"AAAAAH3vfb8=")</f>
        <v>#REF!</v>
      </c>
      <c r="GK70" t="e">
        <f>IF(#REF!,"AAAAAH3vfcA=",0)</f>
        <v>#REF!</v>
      </c>
      <c r="GL70" t="e">
        <f>AND(#REF!,"AAAAAH3vfcE=")</f>
        <v>#REF!</v>
      </c>
      <c r="GM70" t="e">
        <f>AND(#REF!,"AAAAAH3vfcI=")</f>
        <v>#REF!</v>
      </c>
      <c r="GN70" t="e">
        <f>AND(#REF!,"AAAAAH3vfcM=")</f>
        <v>#REF!</v>
      </c>
      <c r="GO70" t="e">
        <f>AND(#REF!,"AAAAAH3vfcQ=")</f>
        <v>#REF!</v>
      </c>
      <c r="GP70" t="e">
        <f>AND(#REF!,"AAAAAH3vfcU=")</f>
        <v>#REF!</v>
      </c>
      <c r="GQ70" t="e">
        <f>AND(#REF!,"AAAAAH3vfcY=")</f>
        <v>#REF!</v>
      </c>
      <c r="GR70" t="e">
        <f>AND(#REF!,"AAAAAH3vfcc=")</f>
        <v>#REF!</v>
      </c>
      <c r="GS70" t="e">
        <f>AND(#REF!,"AAAAAH3vfcg=")</f>
        <v>#REF!</v>
      </c>
      <c r="GT70" t="e">
        <f>IF(#REF!,"AAAAAH3vfck=",0)</f>
        <v>#REF!</v>
      </c>
      <c r="GU70" t="e">
        <f>AND(#REF!,"AAAAAH3vfco=")</f>
        <v>#REF!</v>
      </c>
      <c r="GV70" t="e">
        <f>AND(#REF!,"AAAAAH3vfcs=")</f>
        <v>#REF!</v>
      </c>
      <c r="GW70" t="e">
        <f>AND(#REF!,"AAAAAH3vfcw=")</f>
        <v>#REF!</v>
      </c>
      <c r="GX70" t="e">
        <f>AND(#REF!,"AAAAAH3vfc0=")</f>
        <v>#REF!</v>
      </c>
      <c r="GY70" t="e">
        <f>AND(#REF!,"AAAAAH3vfc4=")</f>
        <v>#REF!</v>
      </c>
      <c r="GZ70" t="e">
        <f>AND(#REF!,"AAAAAH3vfc8=")</f>
        <v>#REF!</v>
      </c>
      <c r="HA70" t="e">
        <f>AND(#REF!,"AAAAAH3vfdA=")</f>
        <v>#REF!</v>
      </c>
      <c r="HB70" t="e">
        <f>AND(#REF!,"AAAAAH3vfdE=")</f>
        <v>#REF!</v>
      </c>
      <c r="HC70" t="e">
        <f>IF(#REF!,"AAAAAH3vfdI=",0)</f>
        <v>#REF!</v>
      </c>
      <c r="HD70" t="e">
        <f>AND(#REF!,"AAAAAH3vfdM=")</f>
        <v>#REF!</v>
      </c>
      <c r="HE70" t="e">
        <f>AND(#REF!,"AAAAAH3vfdQ=")</f>
        <v>#REF!</v>
      </c>
      <c r="HF70" t="e">
        <f>AND(#REF!,"AAAAAH3vfdU=")</f>
        <v>#REF!</v>
      </c>
      <c r="HG70" t="e">
        <f>AND(#REF!,"AAAAAH3vfdY=")</f>
        <v>#REF!</v>
      </c>
      <c r="HH70" t="e">
        <f>AND(#REF!,"AAAAAH3vfdc=")</f>
        <v>#REF!</v>
      </c>
      <c r="HI70" t="e">
        <f>AND(#REF!,"AAAAAH3vfdg=")</f>
        <v>#REF!</v>
      </c>
      <c r="HJ70" t="e">
        <f>AND(#REF!,"AAAAAH3vfdk=")</f>
        <v>#REF!</v>
      </c>
      <c r="HK70" t="e">
        <f>AND(#REF!,"AAAAAH3vfdo=")</f>
        <v>#REF!</v>
      </c>
      <c r="HL70" t="e">
        <f>IF(#REF!,"AAAAAH3vfds=",0)</f>
        <v>#REF!</v>
      </c>
      <c r="HM70" t="e">
        <f>AND(#REF!,"AAAAAH3vfdw=")</f>
        <v>#REF!</v>
      </c>
      <c r="HN70" t="e">
        <f>AND(#REF!,"AAAAAH3vfd0=")</f>
        <v>#REF!</v>
      </c>
      <c r="HO70" t="e">
        <f>AND(#REF!,"AAAAAH3vfd4=")</f>
        <v>#REF!</v>
      </c>
      <c r="HP70" t="e">
        <f>AND(#REF!,"AAAAAH3vfd8=")</f>
        <v>#REF!</v>
      </c>
      <c r="HQ70" t="e">
        <f>AND(#REF!,"AAAAAH3vfeA=")</f>
        <v>#REF!</v>
      </c>
      <c r="HR70" t="e">
        <f>AND(#REF!,"AAAAAH3vfeE=")</f>
        <v>#REF!</v>
      </c>
      <c r="HS70" t="e">
        <f>AND(#REF!,"AAAAAH3vfeI=")</f>
        <v>#REF!</v>
      </c>
      <c r="HT70" t="e">
        <f>AND(#REF!,"AAAAAH3vfeM=")</f>
        <v>#REF!</v>
      </c>
      <c r="HU70" t="e">
        <f>IF(#REF!,"AAAAAH3vfeQ=",0)</f>
        <v>#REF!</v>
      </c>
      <c r="HV70" t="e">
        <f>AND(#REF!,"AAAAAH3vfeU=")</f>
        <v>#REF!</v>
      </c>
      <c r="HW70" t="e">
        <f>AND(#REF!,"AAAAAH3vfeY=")</f>
        <v>#REF!</v>
      </c>
      <c r="HX70" t="e">
        <f>AND(#REF!,"AAAAAH3vfec=")</f>
        <v>#REF!</v>
      </c>
      <c r="HY70" t="e">
        <f>AND(#REF!,"AAAAAH3vfeg=")</f>
        <v>#REF!</v>
      </c>
      <c r="HZ70" t="e">
        <f>AND(#REF!,"AAAAAH3vfek=")</f>
        <v>#REF!</v>
      </c>
      <c r="IA70" t="e">
        <f>AND(#REF!,"AAAAAH3vfeo=")</f>
        <v>#REF!</v>
      </c>
      <c r="IB70" t="e">
        <f>AND(#REF!,"AAAAAH3vfes=")</f>
        <v>#REF!</v>
      </c>
      <c r="IC70" t="e">
        <f>AND(#REF!,"AAAAAH3vfew=")</f>
        <v>#REF!</v>
      </c>
      <c r="ID70" t="e">
        <f>IF(#REF!,"AAAAAH3vfe0=",0)</f>
        <v>#REF!</v>
      </c>
      <c r="IE70" t="e">
        <f>AND(#REF!,"AAAAAH3vfe4=")</f>
        <v>#REF!</v>
      </c>
      <c r="IF70" t="e">
        <f>AND(#REF!,"AAAAAH3vfe8=")</f>
        <v>#REF!</v>
      </c>
      <c r="IG70" t="e">
        <f>AND(#REF!,"AAAAAH3vffA=")</f>
        <v>#REF!</v>
      </c>
      <c r="IH70" t="e">
        <f>AND(#REF!,"AAAAAH3vffE=")</f>
        <v>#REF!</v>
      </c>
      <c r="II70" t="e">
        <f>AND(#REF!,"AAAAAH3vffI=")</f>
        <v>#REF!</v>
      </c>
      <c r="IJ70" t="e">
        <f>AND(#REF!,"AAAAAH3vffM=")</f>
        <v>#REF!</v>
      </c>
      <c r="IK70" t="e">
        <f>AND(#REF!,"AAAAAH3vffQ=")</f>
        <v>#REF!</v>
      </c>
      <c r="IL70" t="e">
        <f>AND(#REF!,"AAAAAH3vffU=")</f>
        <v>#REF!</v>
      </c>
      <c r="IM70" t="e">
        <f>IF(#REF!,"AAAAAH3vffY=",0)</f>
        <v>#REF!</v>
      </c>
      <c r="IN70" t="e">
        <f>AND(#REF!,"AAAAAH3vffc=")</f>
        <v>#REF!</v>
      </c>
      <c r="IO70" t="e">
        <f>AND(#REF!,"AAAAAH3vffg=")</f>
        <v>#REF!</v>
      </c>
      <c r="IP70" t="e">
        <f>AND(#REF!,"AAAAAH3vffk=")</f>
        <v>#REF!</v>
      </c>
      <c r="IQ70" t="e">
        <f>AND(#REF!,"AAAAAH3vffo=")</f>
        <v>#REF!</v>
      </c>
      <c r="IR70" t="e">
        <f>AND(#REF!,"AAAAAH3vffs=")</f>
        <v>#REF!</v>
      </c>
      <c r="IS70" t="e">
        <f>AND(#REF!,"AAAAAH3vffw=")</f>
        <v>#REF!</v>
      </c>
      <c r="IT70" t="e">
        <f>AND(#REF!,"AAAAAH3vff0=")</f>
        <v>#REF!</v>
      </c>
      <c r="IU70" t="e">
        <f>AND(#REF!,"AAAAAH3vff4=")</f>
        <v>#REF!</v>
      </c>
      <c r="IV70" t="e">
        <f>IF(#REF!,"AAAAAH3vff8=",0)</f>
        <v>#REF!</v>
      </c>
    </row>
    <row r="71" spans="1:256" x14ac:dyDescent="0.25">
      <c r="A71" t="e">
        <f>AND(#REF!,"AAAAAH7fbwA=")</f>
        <v>#REF!</v>
      </c>
      <c r="B71" t="e">
        <f>AND(#REF!,"AAAAAH7fbwE=")</f>
        <v>#REF!</v>
      </c>
      <c r="C71" t="e">
        <f>AND(#REF!,"AAAAAH7fbwI=")</f>
        <v>#REF!</v>
      </c>
      <c r="D71" t="e">
        <f>AND(#REF!,"AAAAAH7fbwM=")</f>
        <v>#REF!</v>
      </c>
      <c r="E71" t="e">
        <f>AND(#REF!,"AAAAAH7fbwQ=")</f>
        <v>#REF!</v>
      </c>
      <c r="F71" t="e">
        <f>AND(#REF!,"AAAAAH7fbwU=")</f>
        <v>#REF!</v>
      </c>
      <c r="G71" t="e">
        <f>AND(#REF!,"AAAAAH7fbwY=")</f>
        <v>#REF!</v>
      </c>
      <c r="H71" t="e">
        <f>AND(#REF!,"AAAAAH7fbwc=")</f>
        <v>#REF!</v>
      </c>
      <c r="I71" t="e">
        <f>IF(#REF!,"AAAAAH7fbwg=",0)</f>
        <v>#REF!</v>
      </c>
      <c r="J71" t="e">
        <f>AND(#REF!,"AAAAAH7fbwk=")</f>
        <v>#REF!</v>
      </c>
      <c r="K71" t="e">
        <f>AND(#REF!,"AAAAAH7fbwo=")</f>
        <v>#REF!</v>
      </c>
      <c r="L71" t="e">
        <f>AND(#REF!,"AAAAAH7fbws=")</f>
        <v>#REF!</v>
      </c>
      <c r="M71" t="e">
        <f>AND(#REF!,"AAAAAH7fbww=")</f>
        <v>#REF!</v>
      </c>
      <c r="N71" t="e">
        <f>AND(#REF!,"AAAAAH7fbw0=")</f>
        <v>#REF!</v>
      </c>
      <c r="O71" t="e">
        <f>AND(#REF!,"AAAAAH7fbw4=")</f>
        <v>#REF!</v>
      </c>
      <c r="P71" t="e">
        <f>AND(#REF!,"AAAAAH7fbw8=")</f>
        <v>#REF!</v>
      </c>
      <c r="Q71" t="e">
        <f>AND(#REF!,"AAAAAH7fbxA=")</f>
        <v>#REF!</v>
      </c>
      <c r="R71" t="e">
        <f>IF(#REF!,"AAAAAH7fbxE=",0)</f>
        <v>#REF!</v>
      </c>
      <c r="S71" t="e">
        <f>AND(#REF!,"AAAAAH7fbxI=")</f>
        <v>#REF!</v>
      </c>
      <c r="T71" t="e">
        <f>AND(#REF!,"AAAAAH7fbxM=")</f>
        <v>#REF!</v>
      </c>
      <c r="U71" t="e">
        <f>AND(#REF!,"AAAAAH7fbxQ=")</f>
        <v>#REF!</v>
      </c>
      <c r="V71" t="e">
        <f>AND(#REF!,"AAAAAH7fbxU=")</f>
        <v>#REF!</v>
      </c>
      <c r="W71" t="e">
        <f>AND(#REF!,"AAAAAH7fbxY=")</f>
        <v>#REF!</v>
      </c>
      <c r="X71" t="e">
        <f>AND(#REF!,"AAAAAH7fbxc=")</f>
        <v>#REF!</v>
      </c>
      <c r="Y71" t="e">
        <f>AND(#REF!,"AAAAAH7fbxg=")</f>
        <v>#REF!</v>
      </c>
      <c r="Z71" t="e">
        <f>AND(#REF!,"AAAAAH7fbxk=")</f>
        <v>#REF!</v>
      </c>
      <c r="AA71" t="e">
        <f>IF(#REF!,"AAAAAH7fbxo=",0)</f>
        <v>#REF!</v>
      </c>
      <c r="AB71" t="e">
        <f>AND(#REF!,"AAAAAH7fbxs=")</f>
        <v>#REF!</v>
      </c>
      <c r="AC71" t="e">
        <f>AND(#REF!,"AAAAAH7fbxw=")</f>
        <v>#REF!</v>
      </c>
      <c r="AD71" t="e">
        <f>AND(#REF!,"AAAAAH7fbx0=")</f>
        <v>#REF!</v>
      </c>
      <c r="AE71" t="e">
        <f>AND(#REF!,"AAAAAH7fbx4=")</f>
        <v>#REF!</v>
      </c>
      <c r="AF71" t="e">
        <f>AND(#REF!,"AAAAAH7fbx8=")</f>
        <v>#REF!</v>
      </c>
      <c r="AG71" t="e">
        <f>AND(#REF!,"AAAAAH7fbyA=")</f>
        <v>#REF!</v>
      </c>
      <c r="AH71" t="e">
        <f>AND(#REF!,"AAAAAH7fbyE=")</f>
        <v>#REF!</v>
      </c>
      <c r="AI71" t="e">
        <f>AND(#REF!,"AAAAAH7fbyI=")</f>
        <v>#REF!</v>
      </c>
      <c r="AJ71" t="e">
        <f>IF(#REF!,"AAAAAH7fbyM=",0)</f>
        <v>#REF!</v>
      </c>
      <c r="AK71" t="e">
        <f>AND(#REF!,"AAAAAH7fbyQ=")</f>
        <v>#REF!</v>
      </c>
      <c r="AL71" t="e">
        <f>AND(#REF!,"AAAAAH7fbyU=")</f>
        <v>#REF!</v>
      </c>
      <c r="AM71" t="e">
        <f>AND(#REF!,"AAAAAH7fbyY=")</f>
        <v>#REF!</v>
      </c>
      <c r="AN71" t="e">
        <f>AND(#REF!,"AAAAAH7fbyc=")</f>
        <v>#REF!</v>
      </c>
      <c r="AO71" t="e">
        <f>AND(#REF!,"AAAAAH7fbyg=")</f>
        <v>#REF!</v>
      </c>
      <c r="AP71" t="e">
        <f>AND(#REF!,"AAAAAH7fbyk=")</f>
        <v>#REF!</v>
      </c>
      <c r="AQ71" t="e">
        <f>AND(#REF!,"AAAAAH7fbyo=")</f>
        <v>#REF!</v>
      </c>
      <c r="AR71" t="e">
        <f>AND(#REF!,"AAAAAH7fbys=")</f>
        <v>#REF!</v>
      </c>
      <c r="AS71" t="e">
        <f>IF(#REF!,"AAAAAH7fbyw=",0)</f>
        <v>#REF!</v>
      </c>
      <c r="AT71" t="e">
        <f>AND(#REF!,"AAAAAH7fby0=")</f>
        <v>#REF!</v>
      </c>
      <c r="AU71" t="e">
        <f>AND(#REF!,"AAAAAH7fby4=")</f>
        <v>#REF!</v>
      </c>
      <c r="AV71" t="e">
        <f>AND(#REF!,"AAAAAH7fby8=")</f>
        <v>#REF!</v>
      </c>
      <c r="AW71" t="e">
        <f>AND(#REF!,"AAAAAH7fbzA=")</f>
        <v>#REF!</v>
      </c>
      <c r="AX71" t="e">
        <f>AND(#REF!,"AAAAAH7fbzE=")</f>
        <v>#REF!</v>
      </c>
      <c r="AY71" t="e">
        <f>AND(#REF!,"AAAAAH7fbzI=")</f>
        <v>#REF!</v>
      </c>
      <c r="AZ71" t="e">
        <f>AND(#REF!,"AAAAAH7fbzM=")</f>
        <v>#REF!</v>
      </c>
      <c r="BA71" t="e">
        <f>AND(#REF!,"AAAAAH7fbzQ=")</f>
        <v>#REF!</v>
      </c>
      <c r="BB71" t="e">
        <f>IF(#REF!,"AAAAAH7fbzU=",0)</f>
        <v>#REF!</v>
      </c>
      <c r="BC71" t="e">
        <f>AND(#REF!,"AAAAAH7fbzY=")</f>
        <v>#REF!</v>
      </c>
      <c r="BD71" t="e">
        <f>AND(#REF!,"AAAAAH7fbzc=")</f>
        <v>#REF!</v>
      </c>
      <c r="BE71" t="e">
        <f>AND(#REF!,"AAAAAH7fbzg=")</f>
        <v>#REF!</v>
      </c>
      <c r="BF71" t="e">
        <f>AND(#REF!,"AAAAAH7fbzk=")</f>
        <v>#REF!</v>
      </c>
      <c r="BG71" t="e">
        <f>AND(#REF!,"AAAAAH7fbzo=")</f>
        <v>#REF!</v>
      </c>
      <c r="BH71" t="e">
        <f>AND(#REF!,"AAAAAH7fbzs=")</f>
        <v>#REF!</v>
      </c>
      <c r="BI71" t="e">
        <f>AND(#REF!,"AAAAAH7fbzw=")</f>
        <v>#REF!</v>
      </c>
      <c r="BJ71" t="e">
        <f>AND(#REF!,"AAAAAH7fbz0=")</f>
        <v>#REF!</v>
      </c>
      <c r="BK71" t="e">
        <f>IF(#REF!,"AAAAAH7fbz4=",0)</f>
        <v>#REF!</v>
      </c>
      <c r="BL71" t="e">
        <f>AND(#REF!,"AAAAAH7fbz8=")</f>
        <v>#REF!</v>
      </c>
      <c r="BM71" t="e">
        <f>AND(#REF!,"AAAAAH7fb0A=")</f>
        <v>#REF!</v>
      </c>
      <c r="BN71" t="e">
        <f>AND(#REF!,"AAAAAH7fb0E=")</f>
        <v>#REF!</v>
      </c>
      <c r="BO71" t="e">
        <f>AND(#REF!,"AAAAAH7fb0I=")</f>
        <v>#REF!</v>
      </c>
      <c r="BP71" t="e">
        <f>AND(#REF!,"AAAAAH7fb0M=")</f>
        <v>#REF!</v>
      </c>
      <c r="BQ71" t="e">
        <f>AND(#REF!,"AAAAAH7fb0Q=")</f>
        <v>#REF!</v>
      </c>
      <c r="BR71" t="e">
        <f>AND(#REF!,"AAAAAH7fb0U=")</f>
        <v>#REF!</v>
      </c>
      <c r="BS71" t="e">
        <f>AND(#REF!,"AAAAAH7fb0Y=")</f>
        <v>#REF!</v>
      </c>
      <c r="BT71" t="e">
        <f>IF(#REF!,"AAAAAH7fb0c=",0)</f>
        <v>#REF!</v>
      </c>
      <c r="BU71" t="e">
        <f>AND(#REF!,"AAAAAH7fb0g=")</f>
        <v>#REF!</v>
      </c>
      <c r="BV71" t="e">
        <f>AND(#REF!,"AAAAAH7fb0k=")</f>
        <v>#REF!</v>
      </c>
      <c r="BW71" t="e">
        <f>AND(#REF!,"AAAAAH7fb0o=")</f>
        <v>#REF!</v>
      </c>
      <c r="BX71" t="e">
        <f>AND(#REF!,"AAAAAH7fb0s=")</f>
        <v>#REF!</v>
      </c>
      <c r="BY71" t="e">
        <f>AND(#REF!,"AAAAAH7fb0w=")</f>
        <v>#REF!</v>
      </c>
      <c r="BZ71" t="e">
        <f>AND(#REF!,"AAAAAH7fb00=")</f>
        <v>#REF!</v>
      </c>
      <c r="CA71" t="e">
        <f>AND(#REF!,"AAAAAH7fb04=")</f>
        <v>#REF!</v>
      </c>
      <c r="CB71" t="e">
        <f>AND(#REF!,"AAAAAH7fb08=")</f>
        <v>#REF!</v>
      </c>
      <c r="CC71" t="e">
        <f>IF(#REF!,"AAAAAH7fb1A=",0)</f>
        <v>#REF!</v>
      </c>
      <c r="CD71" t="e">
        <f>AND(#REF!,"AAAAAH7fb1E=")</f>
        <v>#REF!</v>
      </c>
      <c r="CE71" t="e">
        <f>AND(#REF!,"AAAAAH7fb1I=")</f>
        <v>#REF!</v>
      </c>
      <c r="CF71" t="e">
        <f>AND(#REF!,"AAAAAH7fb1M=")</f>
        <v>#REF!</v>
      </c>
      <c r="CG71" t="e">
        <f>AND(#REF!,"AAAAAH7fb1Q=")</f>
        <v>#REF!</v>
      </c>
      <c r="CH71" t="e">
        <f>AND(#REF!,"AAAAAH7fb1U=")</f>
        <v>#REF!</v>
      </c>
      <c r="CI71" t="e">
        <f>AND(#REF!,"AAAAAH7fb1Y=")</f>
        <v>#REF!</v>
      </c>
      <c r="CJ71" t="e">
        <f>AND(#REF!,"AAAAAH7fb1c=")</f>
        <v>#REF!</v>
      </c>
      <c r="CK71" t="e">
        <f>AND(#REF!,"AAAAAH7fb1g=")</f>
        <v>#REF!</v>
      </c>
      <c r="CL71" t="e">
        <f>IF(#REF!,"AAAAAH7fb1k=",0)</f>
        <v>#REF!</v>
      </c>
      <c r="CM71" t="e">
        <f>AND(#REF!,"AAAAAH7fb1o=")</f>
        <v>#REF!</v>
      </c>
      <c r="CN71" t="e">
        <f>AND(#REF!,"AAAAAH7fb1s=")</f>
        <v>#REF!</v>
      </c>
      <c r="CO71" t="e">
        <f>AND(#REF!,"AAAAAH7fb1w=")</f>
        <v>#REF!</v>
      </c>
      <c r="CP71" t="e">
        <f>AND(#REF!,"AAAAAH7fb10=")</f>
        <v>#REF!</v>
      </c>
      <c r="CQ71" t="e">
        <f>AND(#REF!,"AAAAAH7fb14=")</f>
        <v>#REF!</v>
      </c>
      <c r="CR71" t="e">
        <f>AND(#REF!,"AAAAAH7fb18=")</f>
        <v>#REF!</v>
      </c>
      <c r="CS71" t="e">
        <f>AND(#REF!,"AAAAAH7fb2A=")</f>
        <v>#REF!</v>
      </c>
      <c r="CT71" t="e">
        <f>AND(#REF!,"AAAAAH7fb2E=")</f>
        <v>#REF!</v>
      </c>
      <c r="CU71" t="e">
        <f>IF(#REF!,"AAAAAH7fb2I=",0)</f>
        <v>#REF!</v>
      </c>
      <c r="CV71" t="e">
        <f>AND(#REF!,"AAAAAH7fb2M=")</f>
        <v>#REF!</v>
      </c>
      <c r="CW71" t="e">
        <f>AND(#REF!,"AAAAAH7fb2Q=")</f>
        <v>#REF!</v>
      </c>
      <c r="CX71" t="e">
        <f>AND(#REF!,"AAAAAH7fb2U=")</f>
        <v>#REF!</v>
      </c>
      <c r="CY71" t="e">
        <f>AND(#REF!,"AAAAAH7fb2Y=")</f>
        <v>#REF!</v>
      </c>
      <c r="CZ71" t="e">
        <f>AND(#REF!,"AAAAAH7fb2c=")</f>
        <v>#REF!</v>
      </c>
      <c r="DA71" t="e">
        <f>AND(#REF!,"AAAAAH7fb2g=")</f>
        <v>#REF!</v>
      </c>
      <c r="DB71" t="e">
        <f>AND(#REF!,"AAAAAH7fb2k=")</f>
        <v>#REF!</v>
      </c>
      <c r="DC71" t="e">
        <f>AND(#REF!,"AAAAAH7fb2o=")</f>
        <v>#REF!</v>
      </c>
      <c r="DD71" t="e">
        <f>IF(#REF!,"AAAAAH7fb2s=",0)</f>
        <v>#REF!</v>
      </c>
      <c r="DE71" t="e">
        <f>AND(#REF!,"AAAAAH7fb2w=")</f>
        <v>#REF!</v>
      </c>
      <c r="DF71" t="e">
        <f>AND(#REF!,"AAAAAH7fb20=")</f>
        <v>#REF!</v>
      </c>
      <c r="DG71" t="e">
        <f>AND(#REF!,"AAAAAH7fb24=")</f>
        <v>#REF!</v>
      </c>
      <c r="DH71" t="e">
        <f>AND(#REF!,"AAAAAH7fb28=")</f>
        <v>#REF!</v>
      </c>
      <c r="DI71" t="e">
        <f>AND(#REF!,"AAAAAH7fb3A=")</f>
        <v>#REF!</v>
      </c>
      <c r="DJ71" t="e">
        <f>AND(#REF!,"AAAAAH7fb3E=")</f>
        <v>#REF!</v>
      </c>
      <c r="DK71" t="e">
        <f>AND(#REF!,"AAAAAH7fb3I=")</f>
        <v>#REF!</v>
      </c>
      <c r="DL71" t="e">
        <f>AND(#REF!,"AAAAAH7fb3M=")</f>
        <v>#REF!</v>
      </c>
      <c r="DM71" t="e">
        <f>IF(#REF!,"AAAAAH7fb3Q=",0)</f>
        <v>#REF!</v>
      </c>
      <c r="DN71" t="e">
        <f>AND(#REF!,"AAAAAH7fb3U=")</f>
        <v>#REF!</v>
      </c>
      <c r="DO71" t="e">
        <f>AND(#REF!,"AAAAAH7fb3Y=")</f>
        <v>#REF!</v>
      </c>
      <c r="DP71" t="e">
        <f>AND(#REF!,"AAAAAH7fb3c=")</f>
        <v>#REF!</v>
      </c>
      <c r="DQ71" t="e">
        <f>AND(#REF!,"AAAAAH7fb3g=")</f>
        <v>#REF!</v>
      </c>
      <c r="DR71" t="e">
        <f>AND(#REF!,"AAAAAH7fb3k=")</f>
        <v>#REF!</v>
      </c>
      <c r="DS71" t="e">
        <f>AND(#REF!,"AAAAAH7fb3o=")</f>
        <v>#REF!</v>
      </c>
      <c r="DT71" t="e">
        <f>AND(#REF!,"AAAAAH7fb3s=")</f>
        <v>#REF!</v>
      </c>
      <c r="DU71" t="e">
        <f>AND(#REF!,"AAAAAH7fb3w=")</f>
        <v>#REF!</v>
      </c>
      <c r="DV71" t="e">
        <f>IF(#REF!,"AAAAAH7fb30=",0)</f>
        <v>#REF!</v>
      </c>
      <c r="DW71" t="e">
        <f>AND(#REF!,"AAAAAH7fb34=")</f>
        <v>#REF!</v>
      </c>
      <c r="DX71" t="e">
        <f>AND(#REF!,"AAAAAH7fb38=")</f>
        <v>#REF!</v>
      </c>
      <c r="DY71" t="e">
        <f>AND(#REF!,"AAAAAH7fb4A=")</f>
        <v>#REF!</v>
      </c>
      <c r="DZ71" t="e">
        <f>AND(#REF!,"AAAAAH7fb4E=")</f>
        <v>#REF!</v>
      </c>
      <c r="EA71" t="e">
        <f>AND(#REF!,"AAAAAH7fb4I=")</f>
        <v>#REF!</v>
      </c>
      <c r="EB71" t="e">
        <f>AND(#REF!,"AAAAAH7fb4M=")</f>
        <v>#REF!</v>
      </c>
      <c r="EC71" t="e">
        <f>AND(#REF!,"AAAAAH7fb4Q=")</f>
        <v>#REF!</v>
      </c>
      <c r="ED71" t="e">
        <f>AND(#REF!,"AAAAAH7fb4U=")</f>
        <v>#REF!</v>
      </c>
      <c r="EE71" t="e">
        <f>IF(#REF!,"AAAAAH7fb4Y=",0)</f>
        <v>#REF!</v>
      </c>
      <c r="EF71" t="e">
        <f>AND(#REF!,"AAAAAH7fb4c=")</f>
        <v>#REF!</v>
      </c>
      <c r="EG71" t="e">
        <f>AND(#REF!,"AAAAAH7fb4g=")</f>
        <v>#REF!</v>
      </c>
      <c r="EH71" t="e">
        <f>AND(#REF!,"AAAAAH7fb4k=")</f>
        <v>#REF!</v>
      </c>
      <c r="EI71" t="e">
        <f>AND(#REF!,"AAAAAH7fb4o=")</f>
        <v>#REF!</v>
      </c>
      <c r="EJ71" t="e">
        <f>AND(#REF!,"AAAAAH7fb4s=")</f>
        <v>#REF!</v>
      </c>
      <c r="EK71" t="e">
        <f>AND(#REF!,"AAAAAH7fb4w=")</f>
        <v>#REF!</v>
      </c>
      <c r="EL71" t="e">
        <f>AND(#REF!,"AAAAAH7fb40=")</f>
        <v>#REF!</v>
      </c>
      <c r="EM71" t="e">
        <f>AND(#REF!,"AAAAAH7fb44=")</f>
        <v>#REF!</v>
      </c>
      <c r="EN71" t="e">
        <f>IF(#REF!,"AAAAAH7fb48=",0)</f>
        <v>#REF!</v>
      </c>
      <c r="EO71" t="e">
        <f>AND(#REF!,"AAAAAH7fb5A=")</f>
        <v>#REF!</v>
      </c>
      <c r="EP71" t="e">
        <f>AND(#REF!,"AAAAAH7fb5E=")</f>
        <v>#REF!</v>
      </c>
      <c r="EQ71" t="e">
        <f>AND(#REF!,"AAAAAH7fb5I=")</f>
        <v>#REF!</v>
      </c>
      <c r="ER71" t="e">
        <f>AND(#REF!,"AAAAAH7fb5M=")</f>
        <v>#REF!</v>
      </c>
      <c r="ES71" t="e">
        <f>AND(#REF!,"AAAAAH7fb5Q=")</f>
        <v>#REF!</v>
      </c>
      <c r="ET71" t="e">
        <f>AND(#REF!,"AAAAAH7fb5U=")</f>
        <v>#REF!</v>
      </c>
      <c r="EU71" t="e">
        <f>AND(#REF!,"AAAAAH7fb5Y=")</f>
        <v>#REF!</v>
      </c>
      <c r="EV71" t="e">
        <f>AND(#REF!,"AAAAAH7fb5c=")</f>
        <v>#REF!</v>
      </c>
      <c r="EW71" t="e">
        <f>IF(#REF!,"AAAAAH7fb5g=",0)</f>
        <v>#REF!</v>
      </c>
      <c r="EX71" t="e">
        <f>AND(#REF!,"AAAAAH7fb5k=")</f>
        <v>#REF!</v>
      </c>
      <c r="EY71" t="e">
        <f>AND(#REF!,"AAAAAH7fb5o=")</f>
        <v>#REF!</v>
      </c>
      <c r="EZ71" t="e">
        <f>AND(#REF!,"AAAAAH7fb5s=")</f>
        <v>#REF!</v>
      </c>
      <c r="FA71" t="e">
        <f>AND(#REF!,"AAAAAH7fb5w=")</f>
        <v>#REF!</v>
      </c>
      <c r="FB71" t="e">
        <f>AND(#REF!,"AAAAAH7fb50=")</f>
        <v>#REF!</v>
      </c>
      <c r="FC71" t="e">
        <f>AND(#REF!,"AAAAAH7fb54=")</f>
        <v>#REF!</v>
      </c>
      <c r="FD71" t="e">
        <f>AND(#REF!,"AAAAAH7fb58=")</f>
        <v>#REF!</v>
      </c>
      <c r="FE71" t="e">
        <f>AND(#REF!,"AAAAAH7fb6A=")</f>
        <v>#REF!</v>
      </c>
      <c r="FF71" t="e">
        <f>IF(#REF!,"AAAAAH7fb6E=",0)</f>
        <v>#REF!</v>
      </c>
      <c r="FG71" t="e">
        <f>AND(#REF!,"AAAAAH7fb6I=")</f>
        <v>#REF!</v>
      </c>
      <c r="FH71" t="e">
        <f>AND(#REF!,"AAAAAH7fb6M=")</f>
        <v>#REF!</v>
      </c>
      <c r="FI71" t="e">
        <f>AND(#REF!,"AAAAAH7fb6Q=")</f>
        <v>#REF!</v>
      </c>
      <c r="FJ71" t="e">
        <f>AND(#REF!,"AAAAAH7fb6U=")</f>
        <v>#REF!</v>
      </c>
      <c r="FK71" t="e">
        <f>AND(#REF!,"AAAAAH7fb6Y=")</f>
        <v>#REF!</v>
      </c>
      <c r="FL71" t="e">
        <f>AND(#REF!,"AAAAAH7fb6c=")</f>
        <v>#REF!</v>
      </c>
      <c r="FM71" t="e">
        <f>AND(#REF!,"AAAAAH7fb6g=")</f>
        <v>#REF!</v>
      </c>
      <c r="FN71" t="e">
        <f>AND(#REF!,"AAAAAH7fb6k=")</f>
        <v>#REF!</v>
      </c>
      <c r="FO71" t="e">
        <f>IF(#REF!,"AAAAAH7fb6o=",0)</f>
        <v>#REF!</v>
      </c>
      <c r="FP71" t="e">
        <f>AND(#REF!,"AAAAAH7fb6s=")</f>
        <v>#REF!</v>
      </c>
      <c r="FQ71" t="e">
        <f>AND(#REF!,"AAAAAH7fb6w=")</f>
        <v>#REF!</v>
      </c>
      <c r="FR71" t="e">
        <f>AND(#REF!,"AAAAAH7fb60=")</f>
        <v>#REF!</v>
      </c>
      <c r="FS71" t="e">
        <f>AND(#REF!,"AAAAAH7fb64=")</f>
        <v>#REF!</v>
      </c>
      <c r="FT71" t="e">
        <f>AND(#REF!,"AAAAAH7fb68=")</f>
        <v>#REF!</v>
      </c>
      <c r="FU71" t="e">
        <f>AND(#REF!,"AAAAAH7fb7A=")</f>
        <v>#REF!</v>
      </c>
      <c r="FV71" t="e">
        <f>AND(#REF!,"AAAAAH7fb7E=")</f>
        <v>#REF!</v>
      </c>
      <c r="FW71" t="e">
        <f>AND(#REF!,"AAAAAH7fb7I=")</f>
        <v>#REF!</v>
      </c>
      <c r="FX71" t="e">
        <f>IF(#REF!,"AAAAAH7fb7M=",0)</f>
        <v>#REF!</v>
      </c>
      <c r="FY71" t="e">
        <f>AND(#REF!,"AAAAAH7fb7Q=")</f>
        <v>#REF!</v>
      </c>
      <c r="FZ71" t="e">
        <f>AND(#REF!,"AAAAAH7fb7U=")</f>
        <v>#REF!</v>
      </c>
      <c r="GA71" t="e">
        <f>AND(#REF!,"AAAAAH7fb7Y=")</f>
        <v>#REF!</v>
      </c>
      <c r="GB71" t="e">
        <f>AND(#REF!,"AAAAAH7fb7c=")</f>
        <v>#REF!</v>
      </c>
      <c r="GC71" t="e">
        <f>AND(#REF!,"AAAAAH7fb7g=")</f>
        <v>#REF!</v>
      </c>
      <c r="GD71" t="e">
        <f>AND(#REF!,"AAAAAH7fb7k=")</f>
        <v>#REF!</v>
      </c>
      <c r="GE71" t="e">
        <f>AND(#REF!,"AAAAAH7fb7o=")</f>
        <v>#REF!</v>
      </c>
      <c r="GF71" t="e">
        <f>AND(#REF!,"AAAAAH7fb7s=")</f>
        <v>#REF!</v>
      </c>
      <c r="GG71" t="e">
        <f>IF(#REF!,"AAAAAH7fb7w=",0)</f>
        <v>#REF!</v>
      </c>
      <c r="GH71" t="e">
        <f>AND(#REF!,"AAAAAH7fb70=")</f>
        <v>#REF!</v>
      </c>
      <c r="GI71" t="e">
        <f>AND(#REF!,"AAAAAH7fb74=")</f>
        <v>#REF!</v>
      </c>
      <c r="GJ71" t="e">
        <f>AND(#REF!,"AAAAAH7fb78=")</f>
        <v>#REF!</v>
      </c>
      <c r="GK71" t="e">
        <f>AND(#REF!,"AAAAAH7fb8A=")</f>
        <v>#REF!</v>
      </c>
      <c r="GL71" t="e">
        <f>AND(#REF!,"AAAAAH7fb8E=")</f>
        <v>#REF!</v>
      </c>
      <c r="GM71" t="e">
        <f>AND(#REF!,"AAAAAH7fb8I=")</f>
        <v>#REF!</v>
      </c>
      <c r="GN71" t="e">
        <f>AND(#REF!,"AAAAAH7fb8M=")</f>
        <v>#REF!</v>
      </c>
      <c r="GO71" t="e">
        <f>AND(#REF!,"AAAAAH7fb8Q=")</f>
        <v>#REF!</v>
      </c>
      <c r="GP71" t="e">
        <f>IF(#REF!,"AAAAAH7fb8U=",0)</f>
        <v>#REF!</v>
      </c>
      <c r="GQ71" t="e">
        <f>AND(#REF!,"AAAAAH7fb8Y=")</f>
        <v>#REF!</v>
      </c>
      <c r="GR71" t="e">
        <f>AND(#REF!,"AAAAAH7fb8c=")</f>
        <v>#REF!</v>
      </c>
      <c r="GS71" t="e">
        <f>AND(#REF!,"AAAAAH7fb8g=")</f>
        <v>#REF!</v>
      </c>
      <c r="GT71" t="e">
        <f>AND(#REF!,"AAAAAH7fb8k=")</f>
        <v>#REF!</v>
      </c>
      <c r="GU71" t="e">
        <f>AND(#REF!,"AAAAAH7fb8o=")</f>
        <v>#REF!</v>
      </c>
      <c r="GV71" t="e">
        <f>AND(#REF!,"AAAAAH7fb8s=")</f>
        <v>#REF!</v>
      </c>
      <c r="GW71" t="e">
        <f>AND(#REF!,"AAAAAH7fb8w=")</f>
        <v>#REF!</v>
      </c>
      <c r="GX71" t="e">
        <f>AND(#REF!,"AAAAAH7fb80=")</f>
        <v>#REF!</v>
      </c>
      <c r="GY71" t="e">
        <f>IF(#REF!,"AAAAAH7fb84=",0)</f>
        <v>#REF!</v>
      </c>
      <c r="GZ71" t="e">
        <f>AND(#REF!,"AAAAAH7fb88=")</f>
        <v>#REF!</v>
      </c>
      <c r="HA71" t="e">
        <f>AND(#REF!,"AAAAAH7fb9A=")</f>
        <v>#REF!</v>
      </c>
      <c r="HB71" t="e">
        <f>AND(#REF!,"AAAAAH7fb9E=")</f>
        <v>#REF!</v>
      </c>
      <c r="HC71" t="e">
        <f>AND(#REF!,"AAAAAH7fb9I=")</f>
        <v>#REF!</v>
      </c>
      <c r="HD71" t="e">
        <f>AND(#REF!,"AAAAAH7fb9M=")</f>
        <v>#REF!</v>
      </c>
      <c r="HE71" t="e">
        <f>AND(#REF!,"AAAAAH7fb9Q=")</f>
        <v>#REF!</v>
      </c>
      <c r="HF71" t="e">
        <f>AND(#REF!,"AAAAAH7fb9U=")</f>
        <v>#REF!</v>
      </c>
      <c r="HG71" t="e">
        <f>AND(#REF!,"AAAAAH7fb9Y=")</f>
        <v>#REF!</v>
      </c>
      <c r="HH71" t="e">
        <f>IF(#REF!,"AAAAAH7fb9c=",0)</f>
        <v>#REF!</v>
      </c>
      <c r="HI71" t="e">
        <f>AND(#REF!,"AAAAAH7fb9g=")</f>
        <v>#REF!</v>
      </c>
      <c r="HJ71" t="e">
        <f>AND(#REF!,"AAAAAH7fb9k=")</f>
        <v>#REF!</v>
      </c>
      <c r="HK71" t="e">
        <f>AND(#REF!,"AAAAAH7fb9o=")</f>
        <v>#REF!</v>
      </c>
      <c r="HL71" t="e">
        <f>AND(#REF!,"AAAAAH7fb9s=")</f>
        <v>#REF!</v>
      </c>
      <c r="HM71" t="e">
        <f>AND(#REF!,"AAAAAH7fb9w=")</f>
        <v>#REF!</v>
      </c>
      <c r="HN71" t="e">
        <f>AND(#REF!,"AAAAAH7fb90=")</f>
        <v>#REF!</v>
      </c>
      <c r="HO71" t="e">
        <f>AND(#REF!,"AAAAAH7fb94=")</f>
        <v>#REF!</v>
      </c>
      <c r="HP71" t="e">
        <f>AND(#REF!,"AAAAAH7fb98=")</f>
        <v>#REF!</v>
      </c>
      <c r="HQ71" t="e">
        <f>IF(#REF!,"AAAAAH7fb+A=",0)</f>
        <v>#REF!</v>
      </c>
      <c r="HR71" t="e">
        <f>AND(#REF!,"AAAAAH7fb+E=")</f>
        <v>#REF!</v>
      </c>
      <c r="HS71" t="e">
        <f>AND(#REF!,"AAAAAH7fb+I=")</f>
        <v>#REF!</v>
      </c>
      <c r="HT71" t="e">
        <f>AND(#REF!,"AAAAAH7fb+M=")</f>
        <v>#REF!</v>
      </c>
      <c r="HU71" t="e">
        <f>AND(#REF!,"AAAAAH7fb+Q=")</f>
        <v>#REF!</v>
      </c>
      <c r="HV71" t="e">
        <f>AND(#REF!,"AAAAAH7fb+U=")</f>
        <v>#REF!</v>
      </c>
      <c r="HW71" t="e">
        <f>AND(#REF!,"AAAAAH7fb+Y=")</f>
        <v>#REF!</v>
      </c>
      <c r="HX71" t="e">
        <f>AND(#REF!,"AAAAAH7fb+c=")</f>
        <v>#REF!</v>
      </c>
      <c r="HY71" t="e">
        <f>AND(#REF!,"AAAAAH7fb+g=")</f>
        <v>#REF!</v>
      </c>
      <c r="HZ71" t="e">
        <f>IF(#REF!,"AAAAAH7fb+k=",0)</f>
        <v>#REF!</v>
      </c>
      <c r="IA71" t="e">
        <f>AND(#REF!,"AAAAAH7fb+o=")</f>
        <v>#REF!</v>
      </c>
      <c r="IB71" t="e">
        <f>AND(#REF!,"AAAAAH7fb+s=")</f>
        <v>#REF!</v>
      </c>
      <c r="IC71" t="e">
        <f>AND(#REF!,"AAAAAH7fb+w=")</f>
        <v>#REF!</v>
      </c>
      <c r="ID71" t="e">
        <f>AND(#REF!,"AAAAAH7fb+0=")</f>
        <v>#REF!</v>
      </c>
      <c r="IE71" t="e">
        <f>AND(#REF!,"AAAAAH7fb+4=")</f>
        <v>#REF!</v>
      </c>
      <c r="IF71" t="e">
        <f>AND(#REF!,"AAAAAH7fb+8=")</f>
        <v>#REF!</v>
      </c>
      <c r="IG71" t="e">
        <f>AND(#REF!,"AAAAAH7fb/A=")</f>
        <v>#REF!</v>
      </c>
      <c r="IH71" t="e">
        <f>AND(#REF!,"AAAAAH7fb/E=")</f>
        <v>#REF!</v>
      </c>
      <c r="II71" t="e">
        <f>IF(#REF!,"AAAAAH7fb/I=",0)</f>
        <v>#REF!</v>
      </c>
      <c r="IJ71" t="e">
        <f>AND(#REF!,"AAAAAH7fb/M=")</f>
        <v>#REF!</v>
      </c>
      <c r="IK71" t="e">
        <f>AND(#REF!,"AAAAAH7fb/Q=")</f>
        <v>#REF!</v>
      </c>
      <c r="IL71" t="e">
        <f>AND(#REF!,"AAAAAH7fb/U=")</f>
        <v>#REF!</v>
      </c>
      <c r="IM71" t="e">
        <f>AND(#REF!,"AAAAAH7fb/Y=")</f>
        <v>#REF!</v>
      </c>
      <c r="IN71" t="e">
        <f>AND(#REF!,"AAAAAH7fb/c=")</f>
        <v>#REF!</v>
      </c>
      <c r="IO71" t="e">
        <f>AND(#REF!,"AAAAAH7fb/g=")</f>
        <v>#REF!</v>
      </c>
      <c r="IP71" t="e">
        <f>AND(#REF!,"AAAAAH7fb/k=")</f>
        <v>#REF!</v>
      </c>
      <c r="IQ71" t="e">
        <f>AND(#REF!,"AAAAAH7fb/o=")</f>
        <v>#REF!</v>
      </c>
      <c r="IR71" t="e">
        <f>IF(#REF!,"AAAAAH7fb/s=",0)</f>
        <v>#REF!</v>
      </c>
      <c r="IS71" t="e">
        <f>AND(#REF!,"AAAAAH7fb/w=")</f>
        <v>#REF!</v>
      </c>
      <c r="IT71" t="e">
        <f>AND(#REF!,"AAAAAH7fb/0=")</f>
        <v>#REF!</v>
      </c>
      <c r="IU71" t="e">
        <f>AND(#REF!,"AAAAAH7fb/4=")</f>
        <v>#REF!</v>
      </c>
      <c r="IV71" t="e">
        <f>AND(#REF!,"AAAAAH7fb/8=")</f>
        <v>#REF!</v>
      </c>
    </row>
    <row r="72" spans="1:256" x14ac:dyDescent="0.25">
      <c r="A72" t="e">
        <f>AND(#REF!,"AAAAAHPe/gA=")</f>
        <v>#REF!</v>
      </c>
      <c r="B72" t="e">
        <f>AND(#REF!,"AAAAAHPe/gE=")</f>
        <v>#REF!</v>
      </c>
      <c r="C72" t="e">
        <f>AND(#REF!,"AAAAAHPe/gI=")</f>
        <v>#REF!</v>
      </c>
      <c r="D72" t="e">
        <f>AND(#REF!,"AAAAAHPe/gM=")</f>
        <v>#REF!</v>
      </c>
      <c r="E72" t="e">
        <f>IF(#REF!,"AAAAAHPe/gQ=",0)</f>
        <v>#REF!</v>
      </c>
      <c r="F72" t="e">
        <f>AND(#REF!,"AAAAAHPe/gU=")</f>
        <v>#REF!</v>
      </c>
      <c r="G72" t="e">
        <f>AND(#REF!,"AAAAAHPe/gY=")</f>
        <v>#REF!</v>
      </c>
      <c r="H72" t="e">
        <f>AND(#REF!,"AAAAAHPe/gc=")</f>
        <v>#REF!</v>
      </c>
      <c r="I72" t="e">
        <f>AND(#REF!,"AAAAAHPe/gg=")</f>
        <v>#REF!</v>
      </c>
      <c r="J72" t="e">
        <f>AND(#REF!,"AAAAAHPe/gk=")</f>
        <v>#REF!</v>
      </c>
      <c r="K72" t="e">
        <f>AND(#REF!,"AAAAAHPe/go=")</f>
        <v>#REF!</v>
      </c>
      <c r="L72" t="e">
        <f>AND(#REF!,"AAAAAHPe/gs=")</f>
        <v>#REF!</v>
      </c>
      <c r="M72" t="e">
        <f>AND(#REF!,"AAAAAHPe/gw=")</f>
        <v>#REF!</v>
      </c>
      <c r="N72" t="e">
        <f>IF(#REF!,"AAAAAHPe/g0=",0)</f>
        <v>#REF!</v>
      </c>
      <c r="O72" t="e">
        <f>AND(#REF!,"AAAAAHPe/g4=")</f>
        <v>#REF!</v>
      </c>
      <c r="P72" t="e">
        <f>AND(#REF!,"AAAAAHPe/g8=")</f>
        <v>#REF!</v>
      </c>
      <c r="Q72" t="e">
        <f>AND(#REF!,"AAAAAHPe/hA=")</f>
        <v>#REF!</v>
      </c>
      <c r="R72" t="e">
        <f>AND(#REF!,"AAAAAHPe/hE=")</f>
        <v>#REF!</v>
      </c>
      <c r="S72" t="e">
        <f>AND(#REF!,"AAAAAHPe/hI=")</f>
        <v>#REF!</v>
      </c>
      <c r="T72" t="e">
        <f>AND(#REF!,"AAAAAHPe/hM=")</f>
        <v>#REF!</v>
      </c>
      <c r="U72" t="e">
        <f>AND(#REF!,"AAAAAHPe/hQ=")</f>
        <v>#REF!</v>
      </c>
      <c r="V72" t="e">
        <f>AND(#REF!,"AAAAAHPe/hU=")</f>
        <v>#REF!</v>
      </c>
      <c r="W72" t="e">
        <f>IF(#REF!,"AAAAAHPe/hY=",0)</f>
        <v>#REF!</v>
      </c>
      <c r="X72" t="e">
        <f>AND(#REF!,"AAAAAHPe/hc=")</f>
        <v>#REF!</v>
      </c>
      <c r="Y72" t="e">
        <f>AND(#REF!,"AAAAAHPe/hg=")</f>
        <v>#REF!</v>
      </c>
      <c r="Z72" t="e">
        <f>AND(#REF!,"AAAAAHPe/hk=")</f>
        <v>#REF!</v>
      </c>
      <c r="AA72" t="e">
        <f>AND(#REF!,"AAAAAHPe/ho=")</f>
        <v>#REF!</v>
      </c>
      <c r="AB72" t="e">
        <f>AND(#REF!,"AAAAAHPe/hs=")</f>
        <v>#REF!</v>
      </c>
      <c r="AC72" t="e">
        <f>AND(#REF!,"AAAAAHPe/hw=")</f>
        <v>#REF!</v>
      </c>
      <c r="AD72" t="e">
        <f>AND(#REF!,"AAAAAHPe/h0=")</f>
        <v>#REF!</v>
      </c>
      <c r="AE72" t="e">
        <f>AND(#REF!,"AAAAAHPe/h4=")</f>
        <v>#REF!</v>
      </c>
      <c r="AF72" t="e">
        <f>IF(#REF!,"AAAAAHPe/h8=",0)</f>
        <v>#REF!</v>
      </c>
      <c r="AG72" t="e">
        <f>AND(#REF!,"AAAAAHPe/iA=")</f>
        <v>#REF!</v>
      </c>
      <c r="AH72" t="e">
        <f>AND(#REF!,"AAAAAHPe/iE=")</f>
        <v>#REF!</v>
      </c>
      <c r="AI72" t="e">
        <f>AND(#REF!,"AAAAAHPe/iI=")</f>
        <v>#REF!</v>
      </c>
      <c r="AJ72" t="e">
        <f>AND(#REF!,"AAAAAHPe/iM=")</f>
        <v>#REF!</v>
      </c>
      <c r="AK72" t="e">
        <f>AND(#REF!,"AAAAAHPe/iQ=")</f>
        <v>#REF!</v>
      </c>
      <c r="AL72" t="e">
        <f>AND(#REF!,"AAAAAHPe/iU=")</f>
        <v>#REF!</v>
      </c>
      <c r="AM72" t="e">
        <f>AND(#REF!,"AAAAAHPe/iY=")</f>
        <v>#REF!</v>
      </c>
      <c r="AN72" t="e">
        <f>AND(#REF!,"AAAAAHPe/ic=")</f>
        <v>#REF!</v>
      </c>
      <c r="AO72" t="e">
        <f>IF(#REF!,"AAAAAHPe/ig=",0)</f>
        <v>#REF!</v>
      </c>
      <c r="AP72" t="e">
        <f>AND(#REF!,"AAAAAHPe/ik=")</f>
        <v>#REF!</v>
      </c>
      <c r="AQ72" t="e">
        <f>AND(#REF!,"AAAAAHPe/io=")</f>
        <v>#REF!</v>
      </c>
      <c r="AR72" t="e">
        <f>AND(#REF!,"AAAAAHPe/is=")</f>
        <v>#REF!</v>
      </c>
      <c r="AS72" t="e">
        <f>AND(#REF!,"AAAAAHPe/iw=")</f>
        <v>#REF!</v>
      </c>
      <c r="AT72" t="e">
        <f>AND(#REF!,"AAAAAHPe/i0=")</f>
        <v>#REF!</v>
      </c>
      <c r="AU72" t="e">
        <f>AND(#REF!,"AAAAAHPe/i4=")</f>
        <v>#REF!</v>
      </c>
      <c r="AV72" t="e">
        <f>AND(#REF!,"AAAAAHPe/i8=")</f>
        <v>#REF!</v>
      </c>
      <c r="AW72" t="e">
        <f>AND(#REF!,"AAAAAHPe/jA=")</f>
        <v>#REF!</v>
      </c>
      <c r="AX72" t="e">
        <f>IF(#REF!,"AAAAAHPe/jE=",0)</f>
        <v>#REF!</v>
      </c>
      <c r="AY72" t="e">
        <f>AND(#REF!,"AAAAAHPe/jI=")</f>
        <v>#REF!</v>
      </c>
      <c r="AZ72" t="e">
        <f>AND(#REF!,"AAAAAHPe/jM=")</f>
        <v>#REF!</v>
      </c>
      <c r="BA72" t="e">
        <f>AND(#REF!,"AAAAAHPe/jQ=")</f>
        <v>#REF!</v>
      </c>
      <c r="BB72" t="e">
        <f>AND(#REF!,"AAAAAHPe/jU=")</f>
        <v>#REF!</v>
      </c>
      <c r="BC72" t="e">
        <f>AND(#REF!,"AAAAAHPe/jY=")</f>
        <v>#REF!</v>
      </c>
      <c r="BD72" t="e">
        <f>AND(#REF!,"AAAAAHPe/jc=")</f>
        <v>#REF!</v>
      </c>
      <c r="BE72" t="e">
        <f>AND(#REF!,"AAAAAHPe/jg=")</f>
        <v>#REF!</v>
      </c>
      <c r="BF72" t="e">
        <f>AND(#REF!,"AAAAAHPe/jk=")</f>
        <v>#REF!</v>
      </c>
      <c r="BG72" t="e">
        <f>IF(#REF!,"AAAAAHPe/jo=",0)</f>
        <v>#REF!</v>
      </c>
      <c r="BH72" t="e">
        <f>AND(#REF!,"AAAAAHPe/js=")</f>
        <v>#REF!</v>
      </c>
      <c r="BI72" t="e">
        <f>AND(#REF!,"AAAAAHPe/jw=")</f>
        <v>#REF!</v>
      </c>
      <c r="BJ72" t="e">
        <f>AND(#REF!,"AAAAAHPe/j0=")</f>
        <v>#REF!</v>
      </c>
      <c r="BK72" t="e">
        <f>AND(#REF!,"AAAAAHPe/j4=")</f>
        <v>#REF!</v>
      </c>
      <c r="BL72" t="e">
        <f>AND(#REF!,"AAAAAHPe/j8=")</f>
        <v>#REF!</v>
      </c>
      <c r="BM72" t="e">
        <f>AND(#REF!,"AAAAAHPe/kA=")</f>
        <v>#REF!</v>
      </c>
      <c r="BN72" t="e">
        <f>AND(#REF!,"AAAAAHPe/kE=")</f>
        <v>#REF!</v>
      </c>
      <c r="BO72" t="e">
        <f>AND(#REF!,"AAAAAHPe/kI=")</f>
        <v>#REF!</v>
      </c>
      <c r="BP72" t="e">
        <f>IF(#REF!,"AAAAAHPe/kM=",0)</f>
        <v>#REF!</v>
      </c>
      <c r="BQ72" t="e">
        <f>AND(#REF!,"AAAAAHPe/kQ=")</f>
        <v>#REF!</v>
      </c>
      <c r="BR72" t="e">
        <f>AND(#REF!,"AAAAAHPe/kU=")</f>
        <v>#REF!</v>
      </c>
      <c r="BS72" t="e">
        <f>AND(#REF!,"AAAAAHPe/kY=")</f>
        <v>#REF!</v>
      </c>
      <c r="BT72" t="e">
        <f>AND(#REF!,"AAAAAHPe/kc=")</f>
        <v>#REF!</v>
      </c>
      <c r="BU72" t="e">
        <f>AND(#REF!,"AAAAAHPe/kg=")</f>
        <v>#REF!</v>
      </c>
      <c r="BV72" t="e">
        <f>AND(#REF!,"AAAAAHPe/kk=")</f>
        <v>#REF!</v>
      </c>
      <c r="BW72" t="e">
        <f>AND(#REF!,"AAAAAHPe/ko=")</f>
        <v>#REF!</v>
      </c>
      <c r="BX72" t="e">
        <f>AND(#REF!,"AAAAAHPe/ks=")</f>
        <v>#REF!</v>
      </c>
      <c r="BY72" t="e">
        <f>IF(#REF!,"AAAAAHPe/kw=",0)</f>
        <v>#REF!</v>
      </c>
      <c r="BZ72" t="e">
        <f>AND(#REF!,"AAAAAHPe/k0=")</f>
        <v>#REF!</v>
      </c>
      <c r="CA72" t="e">
        <f>AND(#REF!,"AAAAAHPe/k4=")</f>
        <v>#REF!</v>
      </c>
      <c r="CB72" t="e">
        <f>AND(#REF!,"AAAAAHPe/k8=")</f>
        <v>#REF!</v>
      </c>
      <c r="CC72" t="e">
        <f>AND(#REF!,"AAAAAHPe/lA=")</f>
        <v>#REF!</v>
      </c>
      <c r="CD72" t="e">
        <f>AND(#REF!,"AAAAAHPe/lE=")</f>
        <v>#REF!</v>
      </c>
      <c r="CE72" t="e">
        <f>AND(#REF!,"AAAAAHPe/lI=")</f>
        <v>#REF!</v>
      </c>
      <c r="CF72" t="e">
        <f>AND(#REF!,"AAAAAHPe/lM=")</f>
        <v>#REF!</v>
      </c>
      <c r="CG72" t="e">
        <f>AND(#REF!,"AAAAAHPe/lQ=")</f>
        <v>#REF!</v>
      </c>
      <c r="CH72" t="e">
        <f>IF(#REF!,"AAAAAHPe/lU=",0)</f>
        <v>#REF!</v>
      </c>
      <c r="CI72" t="e">
        <f>AND(#REF!,"AAAAAHPe/lY=")</f>
        <v>#REF!</v>
      </c>
      <c r="CJ72" t="e">
        <f>AND(#REF!,"AAAAAHPe/lc=")</f>
        <v>#REF!</v>
      </c>
      <c r="CK72" t="e">
        <f>AND(#REF!,"AAAAAHPe/lg=")</f>
        <v>#REF!</v>
      </c>
      <c r="CL72" t="e">
        <f>AND(#REF!,"AAAAAHPe/lk=")</f>
        <v>#REF!</v>
      </c>
      <c r="CM72" t="e">
        <f>AND(#REF!,"AAAAAHPe/lo=")</f>
        <v>#REF!</v>
      </c>
      <c r="CN72" t="e">
        <f>AND(#REF!,"AAAAAHPe/ls=")</f>
        <v>#REF!</v>
      </c>
      <c r="CO72" t="e">
        <f>AND(#REF!,"AAAAAHPe/lw=")</f>
        <v>#REF!</v>
      </c>
      <c r="CP72" t="e">
        <f>AND(#REF!,"AAAAAHPe/l0=")</f>
        <v>#REF!</v>
      </c>
      <c r="CQ72" t="e">
        <f>IF(#REF!,"AAAAAHPe/l4=",0)</f>
        <v>#REF!</v>
      </c>
      <c r="CR72" t="e">
        <f>AND(#REF!,"AAAAAHPe/l8=")</f>
        <v>#REF!</v>
      </c>
      <c r="CS72" t="e">
        <f>AND(#REF!,"AAAAAHPe/mA=")</f>
        <v>#REF!</v>
      </c>
      <c r="CT72" t="e">
        <f>AND(#REF!,"AAAAAHPe/mE=")</f>
        <v>#REF!</v>
      </c>
      <c r="CU72" t="e">
        <f>AND(#REF!,"AAAAAHPe/mI=")</f>
        <v>#REF!</v>
      </c>
      <c r="CV72" t="e">
        <f>AND(#REF!,"AAAAAHPe/mM=")</f>
        <v>#REF!</v>
      </c>
      <c r="CW72" t="e">
        <f>AND(#REF!,"AAAAAHPe/mQ=")</f>
        <v>#REF!</v>
      </c>
      <c r="CX72" t="e">
        <f>AND(#REF!,"AAAAAHPe/mU=")</f>
        <v>#REF!</v>
      </c>
      <c r="CY72" t="e">
        <f>AND(#REF!,"AAAAAHPe/mY=")</f>
        <v>#REF!</v>
      </c>
      <c r="CZ72" t="e">
        <f>IF(#REF!,"AAAAAHPe/mc=",0)</f>
        <v>#REF!</v>
      </c>
      <c r="DA72" t="e">
        <f>AND(#REF!,"AAAAAHPe/mg=")</f>
        <v>#REF!</v>
      </c>
      <c r="DB72" t="e">
        <f>AND(#REF!,"AAAAAHPe/mk=")</f>
        <v>#REF!</v>
      </c>
      <c r="DC72" t="e">
        <f>AND(#REF!,"AAAAAHPe/mo=")</f>
        <v>#REF!</v>
      </c>
      <c r="DD72" t="e">
        <f>AND(#REF!,"AAAAAHPe/ms=")</f>
        <v>#REF!</v>
      </c>
      <c r="DE72" t="e">
        <f>AND(#REF!,"AAAAAHPe/mw=")</f>
        <v>#REF!</v>
      </c>
      <c r="DF72" t="e">
        <f>AND(#REF!,"AAAAAHPe/m0=")</f>
        <v>#REF!</v>
      </c>
      <c r="DG72" t="e">
        <f>AND(#REF!,"AAAAAHPe/m4=")</f>
        <v>#REF!</v>
      </c>
      <c r="DH72" t="e">
        <f>AND(#REF!,"AAAAAHPe/m8=")</f>
        <v>#REF!</v>
      </c>
      <c r="DI72" t="e">
        <f>IF(#REF!,"AAAAAHPe/nA=",0)</f>
        <v>#REF!</v>
      </c>
      <c r="DJ72" t="e">
        <f>AND(#REF!,"AAAAAHPe/nE=")</f>
        <v>#REF!</v>
      </c>
      <c r="DK72" t="e">
        <f>AND(#REF!,"AAAAAHPe/nI=")</f>
        <v>#REF!</v>
      </c>
      <c r="DL72" t="e">
        <f>AND(#REF!,"AAAAAHPe/nM=")</f>
        <v>#REF!</v>
      </c>
      <c r="DM72" t="e">
        <f>AND(#REF!,"AAAAAHPe/nQ=")</f>
        <v>#REF!</v>
      </c>
      <c r="DN72" t="e">
        <f>AND(#REF!,"AAAAAHPe/nU=")</f>
        <v>#REF!</v>
      </c>
      <c r="DO72" t="e">
        <f>AND(#REF!,"AAAAAHPe/nY=")</f>
        <v>#REF!</v>
      </c>
      <c r="DP72" t="e">
        <f>AND(#REF!,"AAAAAHPe/nc=")</f>
        <v>#REF!</v>
      </c>
      <c r="DQ72" t="e">
        <f>AND(#REF!,"AAAAAHPe/ng=")</f>
        <v>#REF!</v>
      </c>
      <c r="DR72" t="e">
        <f>IF(#REF!,"AAAAAHPe/nk=",0)</f>
        <v>#REF!</v>
      </c>
      <c r="DS72" t="e">
        <f>AND(#REF!,"AAAAAHPe/no=")</f>
        <v>#REF!</v>
      </c>
      <c r="DT72" t="e">
        <f>AND(#REF!,"AAAAAHPe/ns=")</f>
        <v>#REF!</v>
      </c>
      <c r="DU72" t="e">
        <f>AND(#REF!,"AAAAAHPe/nw=")</f>
        <v>#REF!</v>
      </c>
      <c r="DV72" t="e">
        <f>AND(#REF!,"AAAAAHPe/n0=")</f>
        <v>#REF!</v>
      </c>
      <c r="DW72" t="e">
        <f>AND(#REF!,"AAAAAHPe/n4=")</f>
        <v>#REF!</v>
      </c>
      <c r="DX72" t="e">
        <f>AND(#REF!,"AAAAAHPe/n8=")</f>
        <v>#REF!</v>
      </c>
      <c r="DY72" t="e">
        <f>AND(#REF!,"AAAAAHPe/oA=")</f>
        <v>#REF!</v>
      </c>
      <c r="DZ72" t="e">
        <f>AND(#REF!,"AAAAAHPe/oE=")</f>
        <v>#REF!</v>
      </c>
      <c r="EA72" t="e">
        <f>IF(#REF!,"AAAAAHPe/oI=",0)</f>
        <v>#REF!</v>
      </c>
      <c r="EB72" t="e">
        <f>AND(#REF!,"AAAAAHPe/oM=")</f>
        <v>#REF!</v>
      </c>
      <c r="EC72" t="e">
        <f>AND(#REF!,"AAAAAHPe/oQ=")</f>
        <v>#REF!</v>
      </c>
      <c r="ED72" t="e">
        <f>AND(#REF!,"AAAAAHPe/oU=")</f>
        <v>#REF!</v>
      </c>
      <c r="EE72" t="e">
        <f>AND(#REF!,"AAAAAHPe/oY=")</f>
        <v>#REF!</v>
      </c>
      <c r="EF72" t="e">
        <f>AND(#REF!,"AAAAAHPe/oc=")</f>
        <v>#REF!</v>
      </c>
      <c r="EG72" t="e">
        <f>AND(#REF!,"AAAAAHPe/og=")</f>
        <v>#REF!</v>
      </c>
      <c r="EH72" t="e">
        <f>AND(#REF!,"AAAAAHPe/ok=")</f>
        <v>#REF!</v>
      </c>
      <c r="EI72" t="e">
        <f>AND(#REF!,"AAAAAHPe/oo=")</f>
        <v>#REF!</v>
      </c>
      <c r="EJ72" t="e">
        <f>IF(#REF!,"AAAAAHPe/os=",0)</f>
        <v>#REF!</v>
      </c>
      <c r="EK72" t="e">
        <f>AND(#REF!,"AAAAAHPe/ow=")</f>
        <v>#REF!</v>
      </c>
      <c r="EL72" t="e">
        <f>AND(#REF!,"AAAAAHPe/o0=")</f>
        <v>#REF!</v>
      </c>
      <c r="EM72" t="e">
        <f>AND(#REF!,"AAAAAHPe/o4=")</f>
        <v>#REF!</v>
      </c>
      <c r="EN72" t="e">
        <f>AND(#REF!,"AAAAAHPe/o8=")</f>
        <v>#REF!</v>
      </c>
      <c r="EO72" t="e">
        <f>AND(#REF!,"AAAAAHPe/pA=")</f>
        <v>#REF!</v>
      </c>
      <c r="EP72" t="e">
        <f>AND(#REF!,"AAAAAHPe/pE=")</f>
        <v>#REF!</v>
      </c>
      <c r="EQ72" t="e">
        <f>AND(#REF!,"AAAAAHPe/pI=")</f>
        <v>#REF!</v>
      </c>
      <c r="ER72" t="e">
        <f>AND(#REF!,"AAAAAHPe/pM=")</f>
        <v>#REF!</v>
      </c>
      <c r="ES72" t="e">
        <f>IF(#REF!,"AAAAAHPe/pQ=",0)</f>
        <v>#REF!</v>
      </c>
      <c r="ET72" t="e">
        <f>AND(#REF!,"AAAAAHPe/pU=")</f>
        <v>#REF!</v>
      </c>
      <c r="EU72" t="e">
        <f>AND(#REF!,"AAAAAHPe/pY=")</f>
        <v>#REF!</v>
      </c>
      <c r="EV72" t="e">
        <f>AND(#REF!,"AAAAAHPe/pc=")</f>
        <v>#REF!</v>
      </c>
      <c r="EW72" t="e">
        <f>AND(#REF!,"AAAAAHPe/pg=")</f>
        <v>#REF!</v>
      </c>
      <c r="EX72" t="e">
        <f>AND(#REF!,"AAAAAHPe/pk=")</f>
        <v>#REF!</v>
      </c>
      <c r="EY72" t="e">
        <f>AND(#REF!,"AAAAAHPe/po=")</f>
        <v>#REF!</v>
      </c>
      <c r="EZ72" t="e">
        <f>AND(#REF!,"AAAAAHPe/ps=")</f>
        <v>#REF!</v>
      </c>
      <c r="FA72" t="e">
        <f>AND(#REF!,"AAAAAHPe/pw=")</f>
        <v>#REF!</v>
      </c>
      <c r="FB72" t="e">
        <f>IF(#REF!,"AAAAAHPe/p0=",0)</f>
        <v>#REF!</v>
      </c>
      <c r="FC72" t="e">
        <f>AND(#REF!,"AAAAAHPe/p4=")</f>
        <v>#REF!</v>
      </c>
      <c r="FD72" t="e">
        <f>AND(#REF!,"AAAAAHPe/p8=")</f>
        <v>#REF!</v>
      </c>
      <c r="FE72" t="e">
        <f>AND(#REF!,"AAAAAHPe/qA=")</f>
        <v>#REF!</v>
      </c>
      <c r="FF72" t="e">
        <f>AND(#REF!,"AAAAAHPe/qE=")</f>
        <v>#REF!</v>
      </c>
      <c r="FG72" t="e">
        <f>AND(#REF!,"AAAAAHPe/qI=")</f>
        <v>#REF!</v>
      </c>
      <c r="FH72" t="e">
        <f>AND(#REF!,"AAAAAHPe/qM=")</f>
        <v>#REF!</v>
      </c>
      <c r="FI72" t="e">
        <f>AND(#REF!,"AAAAAHPe/qQ=")</f>
        <v>#REF!</v>
      </c>
      <c r="FJ72" t="e">
        <f>AND(#REF!,"AAAAAHPe/qU=")</f>
        <v>#REF!</v>
      </c>
      <c r="FK72" t="e">
        <f>IF(#REF!,"AAAAAHPe/qY=",0)</f>
        <v>#REF!</v>
      </c>
      <c r="FL72" t="e">
        <f>AND(#REF!,"AAAAAHPe/qc=")</f>
        <v>#REF!</v>
      </c>
      <c r="FM72" t="e">
        <f>AND(#REF!,"AAAAAHPe/qg=")</f>
        <v>#REF!</v>
      </c>
      <c r="FN72" t="e">
        <f>AND(#REF!,"AAAAAHPe/qk=")</f>
        <v>#REF!</v>
      </c>
      <c r="FO72" t="e">
        <f>AND(#REF!,"AAAAAHPe/qo=")</f>
        <v>#REF!</v>
      </c>
      <c r="FP72" t="e">
        <f>AND(#REF!,"AAAAAHPe/qs=")</f>
        <v>#REF!</v>
      </c>
      <c r="FQ72" t="e">
        <f>AND(#REF!,"AAAAAHPe/qw=")</f>
        <v>#REF!</v>
      </c>
      <c r="FR72" t="e">
        <f>AND(#REF!,"AAAAAHPe/q0=")</f>
        <v>#REF!</v>
      </c>
      <c r="FS72" t="e">
        <f>AND(#REF!,"AAAAAHPe/q4=")</f>
        <v>#REF!</v>
      </c>
      <c r="FT72" t="e">
        <f>IF(#REF!,"AAAAAHPe/q8=",0)</f>
        <v>#REF!</v>
      </c>
      <c r="FU72" t="e">
        <f>AND(#REF!,"AAAAAHPe/rA=")</f>
        <v>#REF!</v>
      </c>
      <c r="FV72" t="e">
        <f>AND(#REF!,"AAAAAHPe/rE=")</f>
        <v>#REF!</v>
      </c>
      <c r="FW72" t="e">
        <f>AND(#REF!,"AAAAAHPe/rI=")</f>
        <v>#REF!</v>
      </c>
      <c r="FX72" t="e">
        <f>AND(#REF!,"AAAAAHPe/rM=")</f>
        <v>#REF!</v>
      </c>
      <c r="FY72" t="e">
        <f>AND(#REF!,"AAAAAHPe/rQ=")</f>
        <v>#REF!</v>
      </c>
      <c r="FZ72" t="e">
        <f>AND(#REF!,"AAAAAHPe/rU=")</f>
        <v>#REF!</v>
      </c>
      <c r="GA72" t="e">
        <f>AND(#REF!,"AAAAAHPe/rY=")</f>
        <v>#REF!</v>
      </c>
      <c r="GB72" t="e">
        <f>AND(#REF!,"AAAAAHPe/rc=")</f>
        <v>#REF!</v>
      </c>
      <c r="GC72" t="e">
        <f>IF(#REF!,"AAAAAHPe/rg=",0)</f>
        <v>#REF!</v>
      </c>
      <c r="GD72" t="e">
        <f>AND(#REF!,"AAAAAHPe/rk=")</f>
        <v>#REF!</v>
      </c>
      <c r="GE72" t="e">
        <f>AND(#REF!,"AAAAAHPe/ro=")</f>
        <v>#REF!</v>
      </c>
      <c r="GF72" t="e">
        <f>AND(#REF!,"AAAAAHPe/rs=")</f>
        <v>#REF!</v>
      </c>
      <c r="GG72" t="e">
        <f>AND(#REF!,"AAAAAHPe/rw=")</f>
        <v>#REF!</v>
      </c>
      <c r="GH72" t="e">
        <f>AND(#REF!,"AAAAAHPe/r0=")</f>
        <v>#REF!</v>
      </c>
      <c r="GI72" t="e">
        <f>AND(#REF!,"AAAAAHPe/r4=")</f>
        <v>#REF!</v>
      </c>
      <c r="GJ72" t="e">
        <f>AND(#REF!,"AAAAAHPe/r8=")</f>
        <v>#REF!</v>
      </c>
      <c r="GK72" t="e">
        <f>AND(#REF!,"AAAAAHPe/sA=")</f>
        <v>#REF!</v>
      </c>
      <c r="GL72" t="e">
        <f>IF(#REF!,"AAAAAHPe/sE=",0)</f>
        <v>#REF!</v>
      </c>
      <c r="GM72" t="e">
        <f>AND(#REF!,"AAAAAHPe/sI=")</f>
        <v>#REF!</v>
      </c>
      <c r="GN72" t="e">
        <f>AND(#REF!,"AAAAAHPe/sM=")</f>
        <v>#REF!</v>
      </c>
      <c r="GO72" t="e">
        <f>AND(#REF!,"AAAAAHPe/sQ=")</f>
        <v>#REF!</v>
      </c>
      <c r="GP72" t="e">
        <f>AND(#REF!,"AAAAAHPe/sU=")</f>
        <v>#REF!</v>
      </c>
      <c r="GQ72" t="e">
        <f>AND(#REF!,"AAAAAHPe/sY=")</f>
        <v>#REF!</v>
      </c>
      <c r="GR72" t="e">
        <f>AND(#REF!,"AAAAAHPe/sc=")</f>
        <v>#REF!</v>
      </c>
      <c r="GS72" t="e">
        <f>AND(#REF!,"AAAAAHPe/sg=")</f>
        <v>#REF!</v>
      </c>
      <c r="GT72" t="e">
        <f>AND(#REF!,"AAAAAHPe/sk=")</f>
        <v>#REF!</v>
      </c>
      <c r="GU72" t="e">
        <f>IF(#REF!,"AAAAAHPe/so=",0)</f>
        <v>#REF!</v>
      </c>
      <c r="GV72" t="e">
        <f>AND(#REF!,"AAAAAHPe/ss=")</f>
        <v>#REF!</v>
      </c>
      <c r="GW72" t="e">
        <f>AND(#REF!,"AAAAAHPe/sw=")</f>
        <v>#REF!</v>
      </c>
      <c r="GX72" t="e">
        <f>AND(#REF!,"AAAAAHPe/s0=")</f>
        <v>#REF!</v>
      </c>
      <c r="GY72" t="e">
        <f>AND(#REF!,"AAAAAHPe/s4=")</f>
        <v>#REF!</v>
      </c>
      <c r="GZ72" t="e">
        <f>AND(#REF!,"AAAAAHPe/s8=")</f>
        <v>#REF!</v>
      </c>
      <c r="HA72" t="e">
        <f>AND(#REF!,"AAAAAHPe/tA=")</f>
        <v>#REF!</v>
      </c>
      <c r="HB72" t="e">
        <f>AND(#REF!,"AAAAAHPe/tE=")</f>
        <v>#REF!</v>
      </c>
      <c r="HC72" t="e">
        <f>AND(#REF!,"AAAAAHPe/tI=")</f>
        <v>#REF!</v>
      </c>
      <c r="HD72" t="e">
        <f>IF(#REF!,"AAAAAHPe/tM=",0)</f>
        <v>#REF!</v>
      </c>
      <c r="HE72" t="e">
        <f>AND(#REF!,"AAAAAHPe/tQ=")</f>
        <v>#REF!</v>
      </c>
      <c r="HF72" t="e">
        <f>AND(#REF!,"AAAAAHPe/tU=")</f>
        <v>#REF!</v>
      </c>
      <c r="HG72" t="e">
        <f>AND(#REF!,"AAAAAHPe/tY=")</f>
        <v>#REF!</v>
      </c>
      <c r="HH72" t="e">
        <f>AND(#REF!,"AAAAAHPe/tc=")</f>
        <v>#REF!</v>
      </c>
      <c r="HI72" t="e">
        <f>AND(#REF!,"AAAAAHPe/tg=")</f>
        <v>#REF!</v>
      </c>
      <c r="HJ72" t="e">
        <f>AND(#REF!,"AAAAAHPe/tk=")</f>
        <v>#REF!</v>
      </c>
      <c r="HK72" t="e">
        <f>AND(#REF!,"AAAAAHPe/to=")</f>
        <v>#REF!</v>
      </c>
      <c r="HL72" t="e">
        <f>AND(#REF!,"AAAAAHPe/ts=")</f>
        <v>#REF!</v>
      </c>
      <c r="HM72" t="e">
        <f>IF(#REF!,"AAAAAHPe/tw=",0)</f>
        <v>#REF!</v>
      </c>
      <c r="HN72" t="e">
        <f>AND(#REF!,"AAAAAHPe/t0=")</f>
        <v>#REF!</v>
      </c>
      <c r="HO72" t="e">
        <f>AND(#REF!,"AAAAAHPe/t4=")</f>
        <v>#REF!</v>
      </c>
      <c r="HP72" t="e">
        <f>AND(#REF!,"AAAAAHPe/t8=")</f>
        <v>#REF!</v>
      </c>
      <c r="HQ72" t="e">
        <f>AND(#REF!,"AAAAAHPe/uA=")</f>
        <v>#REF!</v>
      </c>
      <c r="HR72" t="e">
        <f>AND(#REF!,"AAAAAHPe/uE=")</f>
        <v>#REF!</v>
      </c>
      <c r="HS72" t="e">
        <f>AND(#REF!,"AAAAAHPe/uI=")</f>
        <v>#REF!</v>
      </c>
      <c r="HT72" t="e">
        <f>AND(#REF!,"AAAAAHPe/uM=")</f>
        <v>#REF!</v>
      </c>
      <c r="HU72" t="e">
        <f>AND(#REF!,"AAAAAHPe/uQ=")</f>
        <v>#REF!</v>
      </c>
      <c r="HV72" t="e">
        <f>IF(#REF!,"AAAAAHPe/uU=",0)</f>
        <v>#REF!</v>
      </c>
      <c r="HW72" t="e">
        <f>AND(#REF!,"AAAAAHPe/uY=")</f>
        <v>#REF!</v>
      </c>
      <c r="HX72" t="e">
        <f>AND(#REF!,"AAAAAHPe/uc=")</f>
        <v>#REF!</v>
      </c>
      <c r="HY72" t="e">
        <f>AND(#REF!,"AAAAAHPe/ug=")</f>
        <v>#REF!</v>
      </c>
      <c r="HZ72" t="e">
        <f>AND(#REF!,"AAAAAHPe/uk=")</f>
        <v>#REF!</v>
      </c>
      <c r="IA72" t="e">
        <f>AND(#REF!,"AAAAAHPe/uo=")</f>
        <v>#REF!</v>
      </c>
      <c r="IB72" t="e">
        <f>AND(#REF!,"AAAAAHPe/us=")</f>
        <v>#REF!</v>
      </c>
      <c r="IC72" t="e">
        <f>AND(#REF!,"AAAAAHPe/uw=")</f>
        <v>#REF!</v>
      </c>
      <c r="ID72" t="e">
        <f>AND(#REF!,"AAAAAHPe/u0=")</f>
        <v>#REF!</v>
      </c>
      <c r="IE72" t="e">
        <f>IF(#REF!,"AAAAAHPe/u4=",0)</f>
        <v>#REF!</v>
      </c>
      <c r="IF72" t="e">
        <f>AND(#REF!,"AAAAAHPe/u8=")</f>
        <v>#REF!</v>
      </c>
      <c r="IG72" t="e">
        <f>AND(#REF!,"AAAAAHPe/vA=")</f>
        <v>#REF!</v>
      </c>
      <c r="IH72" t="e">
        <f>AND(#REF!,"AAAAAHPe/vE=")</f>
        <v>#REF!</v>
      </c>
      <c r="II72" t="e">
        <f>AND(#REF!,"AAAAAHPe/vI=")</f>
        <v>#REF!</v>
      </c>
      <c r="IJ72" t="e">
        <f>AND(#REF!,"AAAAAHPe/vM=")</f>
        <v>#REF!</v>
      </c>
      <c r="IK72" t="e">
        <f>AND(#REF!,"AAAAAHPe/vQ=")</f>
        <v>#REF!</v>
      </c>
      <c r="IL72" t="e">
        <f>AND(#REF!,"AAAAAHPe/vU=")</f>
        <v>#REF!</v>
      </c>
      <c r="IM72" t="e">
        <f>AND(#REF!,"AAAAAHPe/vY=")</f>
        <v>#REF!</v>
      </c>
      <c r="IN72" t="e">
        <f>IF(#REF!,"AAAAAHPe/vc=",0)</f>
        <v>#REF!</v>
      </c>
      <c r="IO72" t="e">
        <f>AND(#REF!,"AAAAAHPe/vg=")</f>
        <v>#REF!</v>
      </c>
      <c r="IP72" t="e">
        <f>AND(#REF!,"AAAAAHPe/vk=")</f>
        <v>#REF!</v>
      </c>
      <c r="IQ72" t="e">
        <f>AND(#REF!,"AAAAAHPe/vo=")</f>
        <v>#REF!</v>
      </c>
      <c r="IR72" t="e">
        <f>AND(#REF!,"AAAAAHPe/vs=")</f>
        <v>#REF!</v>
      </c>
      <c r="IS72" t="e">
        <f>AND(#REF!,"AAAAAHPe/vw=")</f>
        <v>#REF!</v>
      </c>
      <c r="IT72" t="e">
        <f>AND(#REF!,"AAAAAHPe/v0=")</f>
        <v>#REF!</v>
      </c>
      <c r="IU72" t="e">
        <f>AND(#REF!,"AAAAAHPe/v4=")</f>
        <v>#REF!</v>
      </c>
      <c r="IV72" t="e">
        <f>AND(#REF!,"AAAAAHPe/v8=")</f>
        <v>#REF!</v>
      </c>
    </row>
    <row r="73" spans="1:256" x14ac:dyDescent="0.25">
      <c r="A73" t="e">
        <f>IF(#REF!,"AAAAAH+77AA=",0)</f>
        <v>#REF!</v>
      </c>
      <c r="B73" t="e">
        <f>AND(#REF!,"AAAAAH+77AE=")</f>
        <v>#REF!</v>
      </c>
      <c r="C73" t="e">
        <f>AND(#REF!,"AAAAAH+77AI=")</f>
        <v>#REF!</v>
      </c>
      <c r="D73" t="e">
        <f>AND(#REF!,"AAAAAH+77AM=")</f>
        <v>#REF!</v>
      </c>
      <c r="E73" t="e">
        <f>AND(#REF!,"AAAAAH+77AQ=")</f>
        <v>#REF!</v>
      </c>
      <c r="F73" t="e">
        <f>AND(#REF!,"AAAAAH+77AU=")</f>
        <v>#REF!</v>
      </c>
      <c r="G73" t="e">
        <f>AND(#REF!,"AAAAAH+77AY=")</f>
        <v>#REF!</v>
      </c>
      <c r="H73" t="e">
        <f>AND(#REF!,"AAAAAH+77Ac=")</f>
        <v>#REF!</v>
      </c>
      <c r="I73" t="e">
        <f>AND(#REF!,"AAAAAH+77Ag=")</f>
        <v>#REF!</v>
      </c>
      <c r="J73" t="e">
        <f>IF(#REF!,"AAAAAH+77Ak=",0)</f>
        <v>#REF!</v>
      </c>
      <c r="K73" t="e">
        <f>AND(#REF!,"AAAAAH+77Ao=")</f>
        <v>#REF!</v>
      </c>
      <c r="L73" t="e">
        <f>AND(#REF!,"AAAAAH+77As=")</f>
        <v>#REF!</v>
      </c>
      <c r="M73" t="e">
        <f>AND(#REF!,"AAAAAH+77Aw=")</f>
        <v>#REF!</v>
      </c>
      <c r="N73" t="e">
        <f>AND(#REF!,"AAAAAH+77A0=")</f>
        <v>#REF!</v>
      </c>
      <c r="O73" t="e">
        <f>AND(#REF!,"AAAAAH+77A4=")</f>
        <v>#REF!</v>
      </c>
      <c r="P73" t="e">
        <f>AND(#REF!,"AAAAAH+77A8=")</f>
        <v>#REF!</v>
      </c>
      <c r="Q73" t="e">
        <f>AND(#REF!,"AAAAAH+77BA=")</f>
        <v>#REF!</v>
      </c>
      <c r="R73" t="e">
        <f>AND(#REF!,"AAAAAH+77BE=")</f>
        <v>#REF!</v>
      </c>
      <c r="S73" t="e">
        <f>IF(#REF!,"AAAAAH+77BI=",0)</f>
        <v>#REF!</v>
      </c>
      <c r="T73" t="e">
        <f>AND(#REF!,"AAAAAH+77BM=")</f>
        <v>#REF!</v>
      </c>
      <c r="U73" t="e">
        <f>AND(#REF!,"AAAAAH+77BQ=")</f>
        <v>#REF!</v>
      </c>
      <c r="V73" t="e">
        <f>AND(#REF!,"AAAAAH+77BU=")</f>
        <v>#REF!</v>
      </c>
      <c r="W73" t="e">
        <f>AND(#REF!,"AAAAAH+77BY=")</f>
        <v>#REF!</v>
      </c>
      <c r="X73" t="e">
        <f>AND(#REF!,"AAAAAH+77Bc=")</f>
        <v>#REF!</v>
      </c>
      <c r="Y73" t="e">
        <f>AND(#REF!,"AAAAAH+77Bg=")</f>
        <v>#REF!</v>
      </c>
      <c r="Z73" t="e">
        <f>AND(#REF!,"AAAAAH+77Bk=")</f>
        <v>#REF!</v>
      </c>
      <c r="AA73" t="e">
        <f>AND(#REF!,"AAAAAH+77Bo=")</f>
        <v>#REF!</v>
      </c>
      <c r="AB73" t="e">
        <f>IF(#REF!,"AAAAAH+77Bs=",0)</f>
        <v>#REF!</v>
      </c>
      <c r="AC73" t="e">
        <f>AND(#REF!,"AAAAAH+77Bw=")</f>
        <v>#REF!</v>
      </c>
      <c r="AD73" t="e">
        <f>AND(#REF!,"AAAAAH+77B0=")</f>
        <v>#REF!</v>
      </c>
      <c r="AE73" t="e">
        <f>AND(#REF!,"AAAAAH+77B4=")</f>
        <v>#REF!</v>
      </c>
      <c r="AF73" t="e">
        <f>AND(#REF!,"AAAAAH+77B8=")</f>
        <v>#REF!</v>
      </c>
      <c r="AG73" t="e">
        <f>AND(#REF!,"AAAAAH+77CA=")</f>
        <v>#REF!</v>
      </c>
      <c r="AH73" t="e">
        <f>AND(#REF!,"AAAAAH+77CE=")</f>
        <v>#REF!</v>
      </c>
      <c r="AI73" t="e">
        <f>AND(#REF!,"AAAAAH+77CI=")</f>
        <v>#REF!</v>
      </c>
      <c r="AJ73" t="e">
        <f>AND(#REF!,"AAAAAH+77CM=")</f>
        <v>#REF!</v>
      </c>
      <c r="AK73" t="e">
        <f>IF(#REF!,"AAAAAH+77CQ=",0)</f>
        <v>#REF!</v>
      </c>
      <c r="AL73" t="e">
        <f>AND(#REF!,"AAAAAH+77CU=")</f>
        <v>#REF!</v>
      </c>
      <c r="AM73" t="e">
        <f>AND(#REF!,"AAAAAH+77CY=")</f>
        <v>#REF!</v>
      </c>
      <c r="AN73" t="e">
        <f>AND(#REF!,"AAAAAH+77Cc=")</f>
        <v>#REF!</v>
      </c>
      <c r="AO73" t="e">
        <f>AND(#REF!,"AAAAAH+77Cg=")</f>
        <v>#REF!</v>
      </c>
      <c r="AP73" t="e">
        <f>AND(#REF!,"AAAAAH+77Ck=")</f>
        <v>#REF!</v>
      </c>
      <c r="AQ73" t="e">
        <f>AND(#REF!,"AAAAAH+77Co=")</f>
        <v>#REF!</v>
      </c>
      <c r="AR73" t="e">
        <f>AND(#REF!,"AAAAAH+77Cs=")</f>
        <v>#REF!</v>
      </c>
      <c r="AS73" t="e">
        <f>AND(#REF!,"AAAAAH+77Cw=")</f>
        <v>#REF!</v>
      </c>
      <c r="AT73" t="e">
        <f>IF(#REF!,"AAAAAH+77C0=",0)</f>
        <v>#REF!</v>
      </c>
      <c r="AU73" t="e">
        <f>AND(#REF!,"AAAAAH+77C4=")</f>
        <v>#REF!</v>
      </c>
      <c r="AV73" t="e">
        <f>AND(#REF!,"AAAAAH+77C8=")</f>
        <v>#REF!</v>
      </c>
      <c r="AW73" t="e">
        <f>AND(#REF!,"AAAAAH+77DA=")</f>
        <v>#REF!</v>
      </c>
      <c r="AX73" t="e">
        <f>AND(#REF!,"AAAAAH+77DE=")</f>
        <v>#REF!</v>
      </c>
      <c r="AY73" t="e">
        <f>AND(#REF!,"AAAAAH+77DI=")</f>
        <v>#REF!</v>
      </c>
      <c r="AZ73" t="e">
        <f>AND(#REF!,"AAAAAH+77DM=")</f>
        <v>#REF!</v>
      </c>
      <c r="BA73" t="e">
        <f>AND(#REF!,"AAAAAH+77DQ=")</f>
        <v>#REF!</v>
      </c>
      <c r="BB73" t="e">
        <f>AND(#REF!,"AAAAAH+77DU=")</f>
        <v>#REF!</v>
      </c>
      <c r="BC73" t="e">
        <f>IF(#REF!,"AAAAAH+77DY=",0)</f>
        <v>#REF!</v>
      </c>
      <c r="BD73" t="e">
        <f>AND(#REF!,"AAAAAH+77Dc=")</f>
        <v>#REF!</v>
      </c>
      <c r="BE73" t="e">
        <f>AND(#REF!,"AAAAAH+77Dg=")</f>
        <v>#REF!</v>
      </c>
      <c r="BF73" t="e">
        <f>AND(#REF!,"AAAAAH+77Dk=")</f>
        <v>#REF!</v>
      </c>
      <c r="BG73" t="e">
        <f>AND(#REF!,"AAAAAH+77Do=")</f>
        <v>#REF!</v>
      </c>
      <c r="BH73" t="e">
        <f>AND(#REF!,"AAAAAH+77Ds=")</f>
        <v>#REF!</v>
      </c>
      <c r="BI73" t="e">
        <f>AND(#REF!,"AAAAAH+77Dw=")</f>
        <v>#REF!</v>
      </c>
      <c r="BJ73" t="e">
        <f>AND(#REF!,"AAAAAH+77D0=")</f>
        <v>#REF!</v>
      </c>
      <c r="BK73" t="e">
        <f>AND(#REF!,"AAAAAH+77D4=")</f>
        <v>#REF!</v>
      </c>
      <c r="BL73" t="e">
        <f>IF(#REF!,"AAAAAH+77D8=",0)</f>
        <v>#REF!</v>
      </c>
      <c r="BM73" t="e">
        <f>AND(#REF!,"AAAAAH+77EA=")</f>
        <v>#REF!</v>
      </c>
      <c r="BN73" t="e">
        <f>AND(#REF!,"AAAAAH+77EE=")</f>
        <v>#REF!</v>
      </c>
      <c r="BO73" t="e">
        <f>AND(#REF!,"AAAAAH+77EI=")</f>
        <v>#REF!</v>
      </c>
      <c r="BP73" t="e">
        <f>AND(#REF!,"AAAAAH+77EM=")</f>
        <v>#REF!</v>
      </c>
      <c r="BQ73" t="e">
        <f>AND(#REF!,"AAAAAH+77EQ=")</f>
        <v>#REF!</v>
      </c>
      <c r="BR73" t="e">
        <f>AND(#REF!,"AAAAAH+77EU=")</f>
        <v>#REF!</v>
      </c>
      <c r="BS73" t="e">
        <f>AND(#REF!,"AAAAAH+77EY=")</f>
        <v>#REF!</v>
      </c>
      <c r="BT73" t="e">
        <f>AND(#REF!,"AAAAAH+77Ec=")</f>
        <v>#REF!</v>
      </c>
      <c r="BU73" t="e">
        <f>IF(#REF!,"AAAAAH+77Eg=",0)</f>
        <v>#REF!</v>
      </c>
      <c r="BV73" t="e">
        <f>AND(#REF!,"AAAAAH+77Ek=")</f>
        <v>#REF!</v>
      </c>
      <c r="BW73" t="e">
        <f>AND(#REF!,"AAAAAH+77Eo=")</f>
        <v>#REF!</v>
      </c>
      <c r="BX73" t="e">
        <f>AND(#REF!,"AAAAAH+77Es=")</f>
        <v>#REF!</v>
      </c>
      <c r="BY73" t="e">
        <f>AND(#REF!,"AAAAAH+77Ew=")</f>
        <v>#REF!</v>
      </c>
      <c r="BZ73" t="e">
        <f>AND(#REF!,"AAAAAH+77E0=")</f>
        <v>#REF!</v>
      </c>
      <c r="CA73" t="e">
        <f>AND(#REF!,"AAAAAH+77E4=")</f>
        <v>#REF!</v>
      </c>
      <c r="CB73" t="e">
        <f>AND(#REF!,"AAAAAH+77E8=")</f>
        <v>#REF!</v>
      </c>
      <c r="CC73" t="e">
        <f>AND(#REF!,"AAAAAH+77FA=")</f>
        <v>#REF!</v>
      </c>
      <c r="CD73" t="e">
        <f>IF(#REF!,"AAAAAH+77FE=",0)</f>
        <v>#REF!</v>
      </c>
      <c r="CE73" t="e">
        <f>AND(#REF!,"AAAAAH+77FI=")</f>
        <v>#REF!</v>
      </c>
      <c r="CF73" t="e">
        <f>AND(#REF!,"AAAAAH+77FM=")</f>
        <v>#REF!</v>
      </c>
      <c r="CG73" t="e">
        <f>AND(#REF!,"AAAAAH+77FQ=")</f>
        <v>#REF!</v>
      </c>
      <c r="CH73" t="e">
        <f>AND(#REF!,"AAAAAH+77FU=")</f>
        <v>#REF!</v>
      </c>
      <c r="CI73" t="e">
        <f>AND(#REF!,"AAAAAH+77FY=")</f>
        <v>#REF!</v>
      </c>
      <c r="CJ73" t="e">
        <f>AND(#REF!,"AAAAAH+77Fc=")</f>
        <v>#REF!</v>
      </c>
      <c r="CK73" t="e">
        <f>AND(#REF!,"AAAAAH+77Fg=")</f>
        <v>#REF!</v>
      </c>
      <c r="CL73" t="e">
        <f>AND(#REF!,"AAAAAH+77Fk=")</f>
        <v>#REF!</v>
      </c>
      <c r="CM73" t="e">
        <f>IF(#REF!,"AAAAAH+77Fo=",0)</f>
        <v>#REF!</v>
      </c>
      <c r="CN73" t="e">
        <f>AND(#REF!,"AAAAAH+77Fs=")</f>
        <v>#REF!</v>
      </c>
      <c r="CO73" t="e">
        <f>AND(#REF!,"AAAAAH+77Fw=")</f>
        <v>#REF!</v>
      </c>
      <c r="CP73" t="e">
        <f>AND(#REF!,"AAAAAH+77F0=")</f>
        <v>#REF!</v>
      </c>
      <c r="CQ73" t="e">
        <f>AND(#REF!,"AAAAAH+77F4=")</f>
        <v>#REF!</v>
      </c>
      <c r="CR73" t="e">
        <f>AND(#REF!,"AAAAAH+77F8=")</f>
        <v>#REF!</v>
      </c>
      <c r="CS73" t="e">
        <f>AND(#REF!,"AAAAAH+77GA=")</f>
        <v>#REF!</v>
      </c>
      <c r="CT73" t="e">
        <f>AND(#REF!,"AAAAAH+77GE=")</f>
        <v>#REF!</v>
      </c>
      <c r="CU73" t="e">
        <f>AND(#REF!,"AAAAAH+77GI=")</f>
        <v>#REF!</v>
      </c>
      <c r="CV73" t="e">
        <f>IF(#REF!,"AAAAAH+77GM=",0)</f>
        <v>#REF!</v>
      </c>
      <c r="CW73" t="e">
        <f>AND(#REF!,"AAAAAH+77GQ=")</f>
        <v>#REF!</v>
      </c>
      <c r="CX73" t="e">
        <f>AND(#REF!,"AAAAAH+77GU=")</f>
        <v>#REF!</v>
      </c>
      <c r="CY73" t="e">
        <f>AND(#REF!,"AAAAAH+77GY=")</f>
        <v>#REF!</v>
      </c>
      <c r="CZ73" t="e">
        <f>AND(#REF!,"AAAAAH+77Gc=")</f>
        <v>#REF!</v>
      </c>
      <c r="DA73" t="e">
        <f>AND(#REF!,"AAAAAH+77Gg=")</f>
        <v>#REF!</v>
      </c>
      <c r="DB73" t="e">
        <f>AND(#REF!,"AAAAAH+77Gk=")</f>
        <v>#REF!</v>
      </c>
      <c r="DC73" t="e">
        <f>AND(#REF!,"AAAAAH+77Go=")</f>
        <v>#REF!</v>
      </c>
      <c r="DD73" t="e">
        <f>AND(#REF!,"AAAAAH+77Gs=")</f>
        <v>#REF!</v>
      </c>
      <c r="DE73" t="e">
        <f>IF(#REF!,"AAAAAH+77Gw=",0)</f>
        <v>#REF!</v>
      </c>
      <c r="DF73" t="e">
        <f>AND(#REF!,"AAAAAH+77G0=")</f>
        <v>#REF!</v>
      </c>
      <c r="DG73" t="e">
        <f>AND(#REF!,"AAAAAH+77G4=")</f>
        <v>#REF!</v>
      </c>
      <c r="DH73" t="e">
        <f>AND(#REF!,"AAAAAH+77G8=")</f>
        <v>#REF!</v>
      </c>
      <c r="DI73" t="e">
        <f>AND(#REF!,"AAAAAH+77HA=")</f>
        <v>#REF!</v>
      </c>
      <c r="DJ73" t="e">
        <f>AND(#REF!,"AAAAAH+77HE=")</f>
        <v>#REF!</v>
      </c>
      <c r="DK73" t="e">
        <f>AND(#REF!,"AAAAAH+77HI=")</f>
        <v>#REF!</v>
      </c>
      <c r="DL73" t="e">
        <f>AND(#REF!,"AAAAAH+77HM=")</f>
        <v>#REF!</v>
      </c>
      <c r="DM73" t="e">
        <f>AND(#REF!,"AAAAAH+77HQ=")</f>
        <v>#REF!</v>
      </c>
      <c r="DN73" t="e">
        <f>IF(#REF!,"AAAAAH+77HU=",0)</f>
        <v>#REF!</v>
      </c>
      <c r="DO73" t="e">
        <f>AND(#REF!,"AAAAAH+77HY=")</f>
        <v>#REF!</v>
      </c>
      <c r="DP73" t="e">
        <f>AND(#REF!,"AAAAAH+77Hc=")</f>
        <v>#REF!</v>
      </c>
      <c r="DQ73" t="e">
        <f>AND(#REF!,"AAAAAH+77Hg=")</f>
        <v>#REF!</v>
      </c>
      <c r="DR73" t="e">
        <f>AND(#REF!,"AAAAAH+77Hk=")</f>
        <v>#REF!</v>
      </c>
      <c r="DS73" t="e">
        <f>AND(#REF!,"AAAAAH+77Ho=")</f>
        <v>#REF!</v>
      </c>
      <c r="DT73" t="e">
        <f>AND(#REF!,"AAAAAH+77Hs=")</f>
        <v>#REF!</v>
      </c>
      <c r="DU73" t="e">
        <f>AND(#REF!,"AAAAAH+77Hw=")</f>
        <v>#REF!</v>
      </c>
      <c r="DV73" t="e">
        <f>AND(#REF!,"AAAAAH+77H0=")</f>
        <v>#REF!</v>
      </c>
      <c r="DW73" t="e">
        <f>IF(#REF!,"AAAAAH+77H4=",0)</f>
        <v>#REF!</v>
      </c>
      <c r="DX73" t="e">
        <f>AND(#REF!,"AAAAAH+77H8=")</f>
        <v>#REF!</v>
      </c>
      <c r="DY73" t="e">
        <f>AND(#REF!,"AAAAAH+77IA=")</f>
        <v>#REF!</v>
      </c>
      <c r="DZ73" t="e">
        <f>AND(#REF!,"AAAAAH+77IE=")</f>
        <v>#REF!</v>
      </c>
      <c r="EA73" t="e">
        <f>AND(#REF!,"AAAAAH+77II=")</f>
        <v>#REF!</v>
      </c>
      <c r="EB73" t="e">
        <f>AND(#REF!,"AAAAAH+77IM=")</f>
        <v>#REF!</v>
      </c>
      <c r="EC73" t="e">
        <f>AND(#REF!,"AAAAAH+77IQ=")</f>
        <v>#REF!</v>
      </c>
      <c r="ED73" t="e">
        <f>AND(#REF!,"AAAAAH+77IU=")</f>
        <v>#REF!</v>
      </c>
      <c r="EE73" t="e">
        <f>AND(#REF!,"AAAAAH+77IY=")</f>
        <v>#REF!</v>
      </c>
      <c r="EF73" t="e">
        <f>IF(#REF!,"AAAAAH+77Ic=",0)</f>
        <v>#REF!</v>
      </c>
      <c r="EG73" t="e">
        <f>AND(#REF!,"AAAAAH+77Ig=")</f>
        <v>#REF!</v>
      </c>
      <c r="EH73" t="e">
        <f>AND(#REF!,"AAAAAH+77Ik=")</f>
        <v>#REF!</v>
      </c>
      <c r="EI73" t="e">
        <f>AND(#REF!,"AAAAAH+77Io=")</f>
        <v>#REF!</v>
      </c>
      <c r="EJ73" t="e">
        <f>AND(#REF!,"AAAAAH+77Is=")</f>
        <v>#REF!</v>
      </c>
      <c r="EK73" t="e">
        <f>AND(#REF!,"AAAAAH+77Iw=")</f>
        <v>#REF!</v>
      </c>
      <c r="EL73" t="e">
        <f>AND(#REF!,"AAAAAH+77I0=")</f>
        <v>#REF!</v>
      </c>
      <c r="EM73" t="e">
        <f>AND(#REF!,"AAAAAH+77I4=")</f>
        <v>#REF!</v>
      </c>
      <c r="EN73" t="e">
        <f>AND(#REF!,"AAAAAH+77I8=")</f>
        <v>#REF!</v>
      </c>
      <c r="EO73" t="e">
        <f>IF(#REF!,"AAAAAH+77JA=",0)</f>
        <v>#REF!</v>
      </c>
      <c r="EP73" t="e">
        <f>AND(#REF!,"AAAAAH+77JE=")</f>
        <v>#REF!</v>
      </c>
      <c r="EQ73" t="e">
        <f>AND(#REF!,"AAAAAH+77JI=")</f>
        <v>#REF!</v>
      </c>
      <c r="ER73" t="e">
        <f>AND(#REF!,"AAAAAH+77JM=")</f>
        <v>#REF!</v>
      </c>
      <c r="ES73" t="e">
        <f>AND(#REF!,"AAAAAH+77JQ=")</f>
        <v>#REF!</v>
      </c>
      <c r="ET73" t="e">
        <f>AND(#REF!,"AAAAAH+77JU=")</f>
        <v>#REF!</v>
      </c>
      <c r="EU73" t="e">
        <f>AND(#REF!,"AAAAAH+77JY=")</f>
        <v>#REF!</v>
      </c>
      <c r="EV73" t="e">
        <f>AND(#REF!,"AAAAAH+77Jc=")</f>
        <v>#REF!</v>
      </c>
      <c r="EW73" t="e">
        <f>AND(#REF!,"AAAAAH+77Jg=")</f>
        <v>#REF!</v>
      </c>
      <c r="EX73" t="e">
        <f>IF(#REF!,"AAAAAH+77Jk=",0)</f>
        <v>#REF!</v>
      </c>
      <c r="EY73" t="e">
        <f>AND(#REF!,"AAAAAH+77Jo=")</f>
        <v>#REF!</v>
      </c>
      <c r="EZ73" t="e">
        <f>AND(#REF!,"AAAAAH+77Js=")</f>
        <v>#REF!</v>
      </c>
      <c r="FA73" t="e">
        <f>AND(#REF!,"AAAAAH+77Jw=")</f>
        <v>#REF!</v>
      </c>
      <c r="FB73" t="e">
        <f>AND(#REF!,"AAAAAH+77J0=")</f>
        <v>#REF!</v>
      </c>
      <c r="FC73" t="e">
        <f>AND(#REF!,"AAAAAH+77J4=")</f>
        <v>#REF!</v>
      </c>
      <c r="FD73" t="e">
        <f>AND(#REF!,"AAAAAH+77J8=")</f>
        <v>#REF!</v>
      </c>
      <c r="FE73" t="e">
        <f>AND(#REF!,"AAAAAH+77KA=")</f>
        <v>#REF!</v>
      </c>
      <c r="FF73" t="e">
        <f>AND(#REF!,"AAAAAH+77KE=")</f>
        <v>#REF!</v>
      </c>
      <c r="FG73" t="e">
        <f>IF(#REF!,"AAAAAH+77KI=",0)</f>
        <v>#REF!</v>
      </c>
      <c r="FH73" t="e">
        <f>AND(#REF!,"AAAAAH+77KM=")</f>
        <v>#REF!</v>
      </c>
      <c r="FI73" t="e">
        <f>AND(#REF!,"AAAAAH+77KQ=")</f>
        <v>#REF!</v>
      </c>
      <c r="FJ73" t="e">
        <f>AND(#REF!,"AAAAAH+77KU=")</f>
        <v>#REF!</v>
      </c>
      <c r="FK73" t="e">
        <f>AND(#REF!,"AAAAAH+77KY=")</f>
        <v>#REF!</v>
      </c>
      <c r="FL73" t="e">
        <f>AND(#REF!,"AAAAAH+77Kc=")</f>
        <v>#REF!</v>
      </c>
      <c r="FM73" t="e">
        <f>AND(#REF!,"AAAAAH+77Kg=")</f>
        <v>#REF!</v>
      </c>
      <c r="FN73" t="e">
        <f>AND(#REF!,"AAAAAH+77Kk=")</f>
        <v>#REF!</v>
      </c>
      <c r="FO73" t="e">
        <f>AND(#REF!,"AAAAAH+77Ko=")</f>
        <v>#REF!</v>
      </c>
      <c r="FP73" t="e">
        <f>IF(#REF!,"AAAAAH+77Ks=",0)</f>
        <v>#REF!</v>
      </c>
      <c r="FQ73" t="e">
        <f>AND(#REF!,"AAAAAH+77Kw=")</f>
        <v>#REF!</v>
      </c>
      <c r="FR73" t="e">
        <f>AND(#REF!,"AAAAAH+77K0=")</f>
        <v>#REF!</v>
      </c>
      <c r="FS73" t="e">
        <f>AND(#REF!,"AAAAAH+77K4=")</f>
        <v>#REF!</v>
      </c>
      <c r="FT73" t="e">
        <f>AND(#REF!,"AAAAAH+77K8=")</f>
        <v>#REF!</v>
      </c>
      <c r="FU73" t="e">
        <f>AND(#REF!,"AAAAAH+77LA=")</f>
        <v>#REF!</v>
      </c>
      <c r="FV73" t="e">
        <f>AND(#REF!,"AAAAAH+77LE=")</f>
        <v>#REF!</v>
      </c>
      <c r="FW73" t="e">
        <f>AND(#REF!,"AAAAAH+77LI=")</f>
        <v>#REF!</v>
      </c>
      <c r="FX73" t="e">
        <f>AND(#REF!,"AAAAAH+77LM=")</f>
        <v>#REF!</v>
      </c>
      <c r="FY73" t="e">
        <f>IF(#REF!,"AAAAAH+77LQ=",0)</f>
        <v>#REF!</v>
      </c>
      <c r="FZ73" t="e">
        <f>AND(#REF!,"AAAAAH+77LU=")</f>
        <v>#REF!</v>
      </c>
      <c r="GA73" t="e">
        <f>AND(#REF!,"AAAAAH+77LY=")</f>
        <v>#REF!</v>
      </c>
      <c r="GB73" t="e">
        <f>AND(#REF!,"AAAAAH+77Lc=")</f>
        <v>#REF!</v>
      </c>
      <c r="GC73" t="e">
        <f>AND(#REF!,"AAAAAH+77Lg=")</f>
        <v>#REF!</v>
      </c>
      <c r="GD73" t="e">
        <f>AND(#REF!,"AAAAAH+77Lk=")</f>
        <v>#REF!</v>
      </c>
      <c r="GE73" t="e">
        <f>AND(#REF!,"AAAAAH+77Lo=")</f>
        <v>#REF!</v>
      </c>
      <c r="GF73" t="e">
        <f>AND(#REF!,"AAAAAH+77Ls=")</f>
        <v>#REF!</v>
      </c>
      <c r="GG73" t="e">
        <f>AND(#REF!,"AAAAAH+77Lw=")</f>
        <v>#REF!</v>
      </c>
      <c r="GH73" t="e">
        <f>IF(#REF!,"AAAAAH+77L0=",0)</f>
        <v>#REF!</v>
      </c>
      <c r="GI73" t="e">
        <f>AND(#REF!,"AAAAAH+77L4=")</f>
        <v>#REF!</v>
      </c>
      <c r="GJ73" t="e">
        <f>AND(#REF!,"AAAAAH+77L8=")</f>
        <v>#REF!</v>
      </c>
      <c r="GK73" t="e">
        <f>AND(#REF!,"AAAAAH+77MA=")</f>
        <v>#REF!</v>
      </c>
      <c r="GL73" t="e">
        <f>AND(#REF!,"AAAAAH+77ME=")</f>
        <v>#REF!</v>
      </c>
      <c r="GM73" t="e">
        <f>AND(#REF!,"AAAAAH+77MI=")</f>
        <v>#REF!</v>
      </c>
      <c r="GN73" t="e">
        <f>AND(#REF!,"AAAAAH+77MM=")</f>
        <v>#REF!</v>
      </c>
      <c r="GO73" t="e">
        <f>AND(#REF!,"AAAAAH+77MQ=")</f>
        <v>#REF!</v>
      </c>
      <c r="GP73" t="e">
        <f>AND(#REF!,"AAAAAH+77MU=")</f>
        <v>#REF!</v>
      </c>
      <c r="GQ73" t="e">
        <f>IF(#REF!,"AAAAAH+77MY=",0)</f>
        <v>#REF!</v>
      </c>
      <c r="GR73" t="e">
        <f>AND(#REF!,"AAAAAH+77Mc=")</f>
        <v>#REF!</v>
      </c>
      <c r="GS73" t="e">
        <f>AND(#REF!,"AAAAAH+77Mg=")</f>
        <v>#REF!</v>
      </c>
      <c r="GT73" t="e">
        <f>AND(#REF!,"AAAAAH+77Mk=")</f>
        <v>#REF!</v>
      </c>
      <c r="GU73" t="e">
        <f>AND(#REF!,"AAAAAH+77Mo=")</f>
        <v>#REF!</v>
      </c>
      <c r="GV73" t="e">
        <f>AND(#REF!,"AAAAAH+77Ms=")</f>
        <v>#REF!</v>
      </c>
      <c r="GW73" t="e">
        <f>AND(#REF!,"AAAAAH+77Mw=")</f>
        <v>#REF!</v>
      </c>
      <c r="GX73" t="e">
        <f>AND(#REF!,"AAAAAH+77M0=")</f>
        <v>#REF!</v>
      </c>
      <c r="GY73" t="e">
        <f>AND(#REF!,"AAAAAH+77M4=")</f>
        <v>#REF!</v>
      </c>
      <c r="GZ73" t="e">
        <f>IF(#REF!,"AAAAAH+77M8=",0)</f>
        <v>#REF!</v>
      </c>
      <c r="HA73" t="e">
        <f>AND(#REF!,"AAAAAH+77NA=")</f>
        <v>#REF!</v>
      </c>
      <c r="HB73" t="e">
        <f>AND(#REF!,"AAAAAH+77NE=")</f>
        <v>#REF!</v>
      </c>
      <c r="HC73" t="e">
        <f>AND(#REF!,"AAAAAH+77NI=")</f>
        <v>#REF!</v>
      </c>
      <c r="HD73" t="e">
        <f>AND(#REF!,"AAAAAH+77NM=")</f>
        <v>#REF!</v>
      </c>
      <c r="HE73" t="e">
        <f>AND(#REF!,"AAAAAH+77NQ=")</f>
        <v>#REF!</v>
      </c>
      <c r="HF73" t="e">
        <f>AND(#REF!,"AAAAAH+77NU=")</f>
        <v>#REF!</v>
      </c>
      <c r="HG73" t="e">
        <f>AND(#REF!,"AAAAAH+77NY=")</f>
        <v>#REF!</v>
      </c>
      <c r="HH73" t="e">
        <f>AND(#REF!,"AAAAAH+77Nc=")</f>
        <v>#REF!</v>
      </c>
      <c r="HI73" t="e">
        <f>IF(#REF!,"AAAAAH+77Ng=",0)</f>
        <v>#REF!</v>
      </c>
      <c r="HJ73" t="e">
        <f>AND(#REF!,"AAAAAH+77Nk=")</f>
        <v>#REF!</v>
      </c>
      <c r="HK73" t="e">
        <f>AND(#REF!,"AAAAAH+77No=")</f>
        <v>#REF!</v>
      </c>
      <c r="HL73" t="e">
        <f>AND(#REF!,"AAAAAH+77Ns=")</f>
        <v>#REF!</v>
      </c>
      <c r="HM73" t="e">
        <f>AND(#REF!,"AAAAAH+77Nw=")</f>
        <v>#REF!</v>
      </c>
      <c r="HN73" t="e">
        <f>AND(#REF!,"AAAAAH+77N0=")</f>
        <v>#REF!</v>
      </c>
      <c r="HO73" t="e">
        <f>AND(#REF!,"AAAAAH+77N4=")</f>
        <v>#REF!</v>
      </c>
      <c r="HP73" t="e">
        <f>AND(#REF!,"AAAAAH+77N8=")</f>
        <v>#REF!</v>
      </c>
      <c r="HQ73" t="e">
        <f>AND(#REF!,"AAAAAH+77OA=")</f>
        <v>#REF!</v>
      </c>
      <c r="HR73" t="e">
        <f>IF(#REF!,"AAAAAH+77OE=",0)</f>
        <v>#REF!</v>
      </c>
      <c r="HS73" t="e">
        <f>AND(#REF!,"AAAAAH+77OI=")</f>
        <v>#REF!</v>
      </c>
      <c r="HT73" t="e">
        <f>AND(#REF!,"AAAAAH+77OM=")</f>
        <v>#REF!</v>
      </c>
      <c r="HU73" t="e">
        <f>AND(#REF!,"AAAAAH+77OQ=")</f>
        <v>#REF!</v>
      </c>
      <c r="HV73" t="e">
        <f>AND(#REF!,"AAAAAH+77OU=")</f>
        <v>#REF!</v>
      </c>
      <c r="HW73" t="e">
        <f>AND(#REF!,"AAAAAH+77OY=")</f>
        <v>#REF!</v>
      </c>
      <c r="HX73" t="e">
        <f>AND(#REF!,"AAAAAH+77Oc=")</f>
        <v>#REF!</v>
      </c>
      <c r="HY73" t="e">
        <f>AND(#REF!,"AAAAAH+77Og=")</f>
        <v>#REF!</v>
      </c>
      <c r="HZ73" t="e">
        <f>AND(#REF!,"AAAAAH+77Ok=")</f>
        <v>#REF!</v>
      </c>
      <c r="IA73" t="e">
        <f>IF(#REF!,"AAAAAH+77Oo=",0)</f>
        <v>#REF!</v>
      </c>
      <c r="IB73" t="e">
        <f>AND(#REF!,"AAAAAH+77Os=")</f>
        <v>#REF!</v>
      </c>
      <c r="IC73" t="e">
        <f>AND(#REF!,"AAAAAH+77Ow=")</f>
        <v>#REF!</v>
      </c>
      <c r="ID73" t="e">
        <f>AND(#REF!,"AAAAAH+77O0=")</f>
        <v>#REF!</v>
      </c>
      <c r="IE73" t="e">
        <f>AND(#REF!,"AAAAAH+77O4=")</f>
        <v>#REF!</v>
      </c>
      <c r="IF73" t="e">
        <f>AND(#REF!,"AAAAAH+77O8=")</f>
        <v>#REF!</v>
      </c>
      <c r="IG73" t="e">
        <f>AND(#REF!,"AAAAAH+77PA=")</f>
        <v>#REF!</v>
      </c>
      <c r="IH73" t="e">
        <f>AND(#REF!,"AAAAAH+77PE=")</f>
        <v>#REF!</v>
      </c>
      <c r="II73" t="e">
        <f>AND(#REF!,"AAAAAH+77PI=")</f>
        <v>#REF!</v>
      </c>
      <c r="IJ73" t="e">
        <f>IF(#REF!,"AAAAAH+77PM=",0)</f>
        <v>#REF!</v>
      </c>
      <c r="IK73" t="e">
        <f>AND(#REF!,"AAAAAH+77PQ=")</f>
        <v>#REF!</v>
      </c>
      <c r="IL73" t="e">
        <f>AND(#REF!,"AAAAAH+77PU=")</f>
        <v>#REF!</v>
      </c>
      <c r="IM73" t="e">
        <f>AND(#REF!,"AAAAAH+77PY=")</f>
        <v>#REF!</v>
      </c>
      <c r="IN73" t="e">
        <f>AND(#REF!,"AAAAAH+77Pc=")</f>
        <v>#REF!</v>
      </c>
      <c r="IO73" t="e">
        <f>AND(#REF!,"AAAAAH+77Pg=")</f>
        <v>#REF!</v>
      </c>
      <c r="IP73" t="e">
        <f>AND(#REF!,"AAAAAH+77Pk=")</f>
        <v>#REF!</v>
      </c>
      <c r="IQ73" t="e">
        <f>AND(#REF!,"AAAAAH+77Po=")</f>
        <v>#REF!</v>
      </c>
      <c r="IR73" t="e">
        <f>AND(#REF!,"AAAAAH+77Ps=")</f>
        <v>#REF!</v>
      </c>
      <c r="IS73" t="e">
        <f>IF(#REF!,"AAAAAH+77Pw=",0)</f>
        <v>#REF!</v>
      </c>
      <c r="IT73" t="e">
        <f>AND(#REF!,"AAAAAH+77P0=")</f>
        <v>#REF!</v>
      </c>
      <c r="IU73" t="e">
        <f>AND(#REF!,"AAAAAH+77P4=")</f>
        <v>#REF!</v>
      </c>
      <c r="IV73" t="e">
        <f>AND(#REF!,"AAAAAH+77P8=")</f>
        <v>#REF!</v>
      </c>
    </row>
    <row r="74" spans="1:256" x14ac:dyDescent="0.25">
      <c r="A74" t="e">
        <f>AND(#REF!,"AAAAAFe23wA=")</f>
        <v>#REF!</v>
      </c>
      <c r="B74" t="e">
        <f>AND(#REF!,"AAAAAFe23wE=")</f>
        <v>#REF!</v>
      </c>
      <c r="C74" t="e">
        <f>AND(#REF!,"AAAAAFe23wI=")</f>
        <v>#REF!</v>
      </c>
      <c r="D74" t="e">
        <f>AND(#REF!,"AAAAAFe23wM=")</f>
        <v>#REF!</v>
      </c>
      <c r="E74" t="e">
        <f>AND(#REF!,"AAAAAFe23wQ=")</f>
        <v>#REF!</v>
      </c>
      <c r="F74" t="e">
        <f>IF(#REF!,"AAAAAFe23wU=",0)</f>
        <v>#REF!</v>
      </c>
      <c r="G74" t="e">
        <f>AND(#REF!,"AAAAAFe23wY=")</f>
        <v>#REF!</v>
      </c>
      <c r="H74" t="e">
        <f>AND(#REF!,"AAAAAFe23wc=")</f>
        <v>#REF!</v>
      </c>
      <c r="I74" t="e">
        <f>AND(#REF!,"AAAAAFe23wg=")</f>
        <v>#REF!</v>
      </c>
      <c r="J74" t="e">
        <f>AND(#REF!,"AAAAAFe23wk=")</f>
        <v>#REF!</v>
      </c>
      <c r="K74" t="e">
        <f>AND(#REF!,"AAAAAFe23wo=")</f>
        <v>#REF!</v>
      </c>
      <c r="L74" t="e">
        <f>AND(#REF!,"AAAAAFe23ws=")</f>
        <v>#REF!</v>
      </c>
      <c r="M74" t="e">
        <f>AND(#REF!,"AAAAAFe23ww=")</f>
        <v>#REF!</v>
      </c>
      <c r="N74" t="e">
        <f>AND(#REF!,"AAAAAFe23w0=")</f>
        <v>#REF!</v>
      </c>
      <c r="O74" t="e">
        <f>IF(#REF!,"AAAAAFe23w4=",0)</f>
        <v>#REF!</v>
      </c>
      <c r="P74" t="e">
        <f>AND(#REF!,"AAAAAFe23w8=")</f>
        <v>#REF!</v>
      </c>
      <c r="Q74" t="e">
        <f>AND(#REF!,"AAAAAFe23xA=")</f>
        <v>#REF!</v>
      </c>
      <c r="R74" t="e">
        <f>AND(#REF!,"AAAAAFe23xE=")</f>
        <v>#REF!</v>
      </c>
      <c r="S74" t="e">
        <f>AND(#REF!,"AAAAAFe23xI=")</f>
        <v>#REF!</v>
      </c>
      <c r="T74" t="e">
        <f>AND(#REF!,"AAAAAFe23xM=")</f>
        <v>#REF!</v>
      </c>
      <c r="U74" t="e">
        <f>AND(#REF!,"AAAAAFe23xQ=")</f>
        <v>#REF!</v>
      </c>
      <c r="V74" t="e">
        <f>AND(#REF!,"AAAAAFe23xU=")</f>
        <v>#REF!</v>
      </c>
      <c r="W74" t="e">
        <f>AND(#REF!,"AAAAAFe23xY=")</f>
        <v>#REF!</v>
      </c>
      <c r="X74" t="e">
        <f>IF(#REF!,"AAAAAFe23xc=",0)</f>
        <v>#REF!</v>
      </c>
      <c r="Y74" t="e">
        <f>AND(#REF!,"AAAAAFe23xg=")</f>
        <v>#REF!</v>
      </c>
      <c r="Z74" t="e">
        <f>AND(#REF!,"AAAAAFe23xk=")</f>
        <v>#REF!</v>
      </c>
      <c r="AA74" t="e">
        <f>AND(#REF!,"AAAAAFe23xo=")</f>
        <v>#REF!</v>
      </c>
      <c r="AB74" t="e">
        <f>AND(#REF!,"AAAAAFe23xs=")</f>
        <v>#REF!</v>
      </c>
      <c r="AC74" t="e">
        <f>AND(#REF!,"AAAAAFe23xw=")</f>
        <v>#REF!</v>
      </c>
      <c r="AD74" t="e">
        <f>AND(#REF!,"AAAAAFe23x0=")</f>
        <v>#REF!</v>
      </c>
      <c r="AE74" t="e">
        <f>AND(#REF!,"AAAAAFe23x4=")</f>
        <v>#REF!</v>
      </c>
      <c r="AF74" t="e">
        <f>AND(#REF!,"AAAAAFe23x8=")</f>
        <v>#REF!</v>
      </c>
      <c r="AG74" t="e">
        <f>IF(#REF!,"AAAAAFe23yA=",0)</f>
        <v>#REF!</v>
      </c>
      <c r="AH74" t="e">
        <f>AND(#REF!,"AAAAAFe23yE=")</f>
        <v>#REF!</v>
      </c>
      <c r="AI74" t="e">
        <f>AND(#REF!,"AAAAAFe23yI=")</f>
        <v>#REF!</v>
      </c>
      <c r="AJ74" t="e">
        <f>AND(#REF!,"AAAAAFe23yM=")</f>
        <v>#REF!</v>
      </c>
      <c r="AK74" t="e">
        <f>AND(#REF!,"AAAAAFe23yQ=")</f>
        <v>#REF!</v>
      </c>
      <c r="AL74" t="e">
        <f>AND(#REF!,"AAAAAFe23yU=")</f>
        <v>#REF!</v>
      </c>
      <c r="AM74" t="e">
        <f>AND(#REF!,"AAAAAFe23yY=")</f>
        <v>#REF!</v>
      </c>
      <c r="AN74" t="e">
        <f>AND(#REF!,"AAAAAFe23yc=")</f>
        <v>#REF!</v>
      </c>
      <c r="AO74" t="e">
        <f>AND(#REF!,"AAAAAFe23yg=")</f>
        <v>#REF!</v>
      </c>
      <c r="AP74" t="e">
        <f>IF(#REF!,"AAAAAFe23yk=",0)</f>
        <v>#REF!</v>
      </c>
      <c r="AQ74" t="e">
        <f>AND(#REF!,"AAAAAFe23yo=")</f>
        <v>#REF!</v>
      </c>
      <c r="AR74" t="e">
        <f>AND(#REF!,"AAAAAFe23ys=")</f>
        <v>#REF!</v>
      </c>
      <c r="AS74" t="e">
        <f>AND(#REF!,"AAAAAFe23yw=")</f>
        <v>#REF!</v>
      </c>
      <c r="AT74" t="e">
        <f>AND(#REF!,"AAAAAFe23y0=")</f>
        <v>#REF!</v>
      </c>
      <c r="AU74" t="e">
        <f>AND(#REF!,"AAAAAFe23y4=")</f>
        <v>#REF!</v>
      </c>
      <c r="AV74" t="e">
        <f>AND(#REF!,"AAAAAFe23y8=")</f>
        <v>#REF!</v>
      </c>
      <c r="AW74" t="e">
        <f>AND(#REF!,"AAAAAFe23zA=")</f>
        <v>#REF!</v>
      </c>
      <c r="AX74" t="e">
        <f>AND(#REF!,"AAAAAFe23zE=")</f>
        <v>#REF!</v>
      </c>
      <c r="AY74" t="e">
        <f>IF(#REF!,"AAAAAFe23zI=",0)</f>
        <v>#REF!</v>
      </c>
      <c r="AZ74" t="e">
        <f>AND(#REF!,"AAAAAFe23zM=")</f>
        <v>#REF!</v>
      </c>
      <c r="BA74" t="e">
        <f>AND(#REF!,"AAAAAFe23zQ=")</f>
        <v>#REF!</v>
      </c>
      <c r="BB74" t="e">
        <f>AND(#REF!,"AAAAAFe23zU=")</f>
        <v>#REF!</v>
      </c>
      <c r="BC74" t="e">
        <f>AND(#REF!,"AAAAAFe23zY=")</f>
        <v>#REF!</v>
      </c>
      <c r="BD74" t="e">
        <f>AND(#REF!,"AAAAAFe23zc=")</f>
        <v>#REF!</v>
      </c>
      <c r="BE74" t="e">
        <f>AND(#REF!,"AAAAAFe23zg=")</f>
        <v>#REF!</v>
      </c>
      <c r="BF74" t="e">
        <f>AND(#REF!,"AAAAAFe23zk=")</f>
        <v>#REF!</v>
      </c>
      <c r="BG74" t="e">
        <f>AND(#REF!,"AAAAAFe23zo=")</f>
        <v>#REF!</v>
      </c>
      <c r="BH74" t="e">
        <f>IF(#REF!,"AAAAAFe23zs=",0)</f>
        <v>#REF!</v>
      </c>
      <c r="BI74" t="e">
        <f>AND(#REF!,"AAAAAFe23zw=")</f>
        <v>#REF!</v>
      </c>
      <c r="BJ74" t="e">
        <f>AND(#REF!,"AAAAAFe23z0=")</f>
        <v>#REF!</v>
      </c>
      <c r="BK74" t="e">
        <f>AND(#REF!,"AAAAAFe23z4=")</f>
        <v>#REF!</v>
      </c>
      <c r="BL74" t="e">
        <f>AND(#REF!,"AAAAAFe23z8=")</f>
        <v>#REF!</v>
      </c>
      <c r="BM74" t="e">
        <f>AND(#REF!,"AAAAAFe230A=")</f>
        <v>#REF!</v>
      </c>
      <c r="BN74" t="e">
        <f>AND(#REF!,"AAAAAFe230E=")</f>
        <v>#REF!</v>
      </c>
      <c r="BO74" t="e">
        <f>AND(#REF!,"AAAAAFe230I=")</f>
        <v>#REF!</v>
      </c>
      <c r="BP74" t="e">
        <f>AND(#REF!,"AAAAAFe230M=")</f>
        <v>#REF!</v>
      </c>
      <c r="BQ74" t="e">
        <f>IF(#REF!,"AAAAAFe230Q=",0)</f>
        <v>#REF!</v>
      </c>
      <c r="BR74" t="e">
        <f>AND(#REF!,"AAAAAFe230U=")</f>
        <v>#REF!</v>
      </c>
      <c r="BS74" t="e">
        <f>AND(#REF!,"AAAAAFe230Y=")</f>
        <v>#REF!</v>
      </c>
      <c r="BT74" t="e">
        <f>AND(#REF!,"AAAAAFe230c=")</f>
        <v>#REF!</v>
      </c>
      <c r="BU74" t="e">
        <f>AND(#REF!,"AAAAAFe230g=")</f>
        <v>#REF!</v>
      </c>
      <c r="BV74" t="e">
        <f>AND(#REF!,"AAAAAFe230k=")</f>
        <v>#REF!</v>
      </c>
      <c r="BW74" t="e">
        <f>AND(#REF!,"AAAAAFe230o=")</f>
        <v>#REF!</v>
      </c>
      <c r="BX74" t="e">
        <f>AND(#REF!,"AAAAAFe230s=")</f>
        <v>#REF!</v>
      </c>
      <c r="BY74" t="e">
        <f>AND(#REF!,"AAAAAFe230w=")</f>
        <v>#REF!</v>
      </c>
      <c r="BZ74" t="e">
        <f>IF(#REF!,"AAAAAFe2300=",0)</f>
        <v>#REF!</v>
      </c>
      <c r="CA74" t="e">
        <f>AND(#REF!,"AAAAAFe2304=")</f>
        <v>#REF!</v>
      </c>
      <c r="CB74" t="e">
        <f>AND(#REF!,"AAAAAFe2308=")</f>
        <v>#REF!</v>
      </c>
      <c r="CC74" t="e">
        <f>AND(#REF!,"AAAAAFe231A=")</f>
        <v>#REF!</v>
      </c>
      <c r="CD74" t="e">
        <f>AND(#REF!,"AAAAAFe231E=")</f>
        <v>#REF!</v>
      </c>
      <c r="CE74" t="e">
        <f>AND(#REF!,"AAAAAFe231I=")</f>
        <v>#REF!</v>
      </c>
      <c r="CF74" t="e">
        <f>AND(#REF!,"AAAAAFe231M=")</f>
        <v>#REF!</v>
      </c>
      <c r="CG74" t="e">
        <f>AND(#REF!,"AAAAAFe231Q=")</f>
        <v>#REF!</v>
      </c>
      <c r="CH74" t="e">
        <f>AND(#REF!,"AAAAAFe231U=")</f>
        <v>#REF!</v>
      </c>
      <c r="CI74" t="e">
        <f>IF(#REF!,"AAAAAFe231Y=",0)</f>
        <v>#REF!</v>
      </c>
      <c r="CJ74" t="e">
        <f>AND(#REF!,"AAAAAFe231c=")</f>
        <v>#REF!</v>
      </c>
      <c r="CK74" t="e">
        <f>AND(#REF!,"AAAAAFe231g=")</f>
        <v>#REF!</v>
      </c>
      <c r="CL74" t="e">
        <f>AND(#REF!,"AAAAAFe231k=")</f>
        <v>#REF!</v>
      </c>
      <c r="CM74" t="e">
        <f>AND(#REF!,"AAAAAFe231o=")</f>
        <v>#REF!</v>
      </c>
      <c r="CN74" t="e">
        <f>AND(#REF!,"AAAAAFe231s=")</f>
        <v>#REF!</v>
      </c>
      <c r="CO74" t="e">
        <f>AND(#REF!,"AAAAAFe231w=")</f>
        <v>#REF!</v>
      </c>
      <c r="CP74" t="e">
        <f>AND(#REF!,"AAAAAFe2310=")</f>
        <v>#REF!</v>
      </c>
      <c r="CQ74" t="e">
        <f>AND(#REF!,"AAAAAFe2314=")</f>
        <v>#REF!</v>
      </c>
      <c r="CR74" t="e">
        <f>IF(#REF!,"AAAAAFe2318=",0)</f>
        <v>#REF!</v>
      </c>
      <c r="CS74" t="e">
        <f>AND(#REF!,"AAAAAFe232A=")</f>
        <v>#REF!</v>
      </c>
      <c r="CT74" t="e">
        <f>AND(#REF!,"AAAAAFe232E=")</f>
        <v>#REF!</v>
      </c>
      <c r="CU74" t="e">
        <f>AND(#REF!,"AAAAAFe232I=")</f>
        <v>#REF!</v>
      </c>
      <c r="CV74" t="e">
        <f>AND(#REF!,"AAAAAFe232M=")</f>
        <v>#REF!</v>
      </c>
      <c r="CW74" t="e">
        <f>AND(#REF!,"AAAAAFe232Q=")</f>
        <v>#REF!</v>
      </c>
      <c r="CX74" t="e">
        <f>AND(#REF!,"AAAAAFe232U=")</f>
        <v>#REF!</v>
      </c>
      <c r="CY74" t="e">
        <f>AND(#REF!,"AAAAAFe232Y=")</f>
        <v>#REF!</v>
      </c>
      <c r="CZ74" t="e">
        <f>AND(#REF!,"AAAAAFe232c=")</f>
        <v>#REF!</v>
      </c>
      <c r="DA74" t="e">
        <f>IF(#REF!,"AAAAAFe232g=",0)</f>
        <v>#REF!</v>
      </c>
      <c r="DB74" t="e">
        <f>AND(#REF!,"AAAAAFe232k=")</f>
        <v>#REF!</v>
      </c>
      <c r="DC74" t="e">
        <f>AND(#REF!,"AAAAAFe232o=")</f>
        <v>#REF!</v>
      </c>
      <c r="DD74" t="e">
        <f>AND(#REF!,"AAAAAFe232s=")</f>
        <v>#REF!</v>
      </c>
      <c r="DE74" t="e">
        <f>AND(#REF!,"AAAAAFe232w=")</f>
        <v>#REF!</v>
      </c>
      <c r="DF74" t="e">
        <f>AND(#REF!,"AAAAAFe2320=")</f>
        <v>#REF!</v>
      </c>
      <c r="DG74" t="e">
        <f>AND(#REF!,"AAAAAFe2324=")</f>
        <v>#REF!</v>
      </c>
      <c r="DH74" t="e">
        <f>AND(#REF!,"AAAAAFe2328=")</f>
        <v>#REF!</v>
      </c>
      <c r="DI74" t="e">
        <f>AND(#REF!,"AAAAAFe233A=")</f>
        <v>#REF!</v>
      </c>
      <c r="DJ74" t="e">
        <f>IF(#REF!,"AAAAAFe233E=",0)</f>
        <v>#REF!</v>
      </c>
      <c r="DK74" t="e">
        <f>AND(#REF!,"AAAAAFe233I=")</f>
        <v>#REF!</v>
      </c>
      <c r="DL74" t="e">
        <f>AND(#REF!,"AAAAAFe233M=")</f>
        <v>#REF!</v>
      </c>
      <c r="DM74" t="e">
        <f>AND(#REF!,"AAAAAFe233Q=")</f>
        <v>#REF!</v>
      </c>
      <c r="DN74" t="e">
        <f>AND(#REF!,"AAAAAFe233U=")</f>
        <v>#REF!</v>
      </c>
      <c r="DO74" t="e">
        <f>AND(#REF!,"AAAAAFe233Y=")</f>
        <v>#REF!</v>
      </c>
      <c r="DP74" t="e">
        <f>AND(#REF!,"AAAAAFe233c=")</f>
        <v>#REF!</v>
      </c>
      <c r="DQ74" t="e">
        <f>AND(#REF!,"AAAAAFe233g=")</f>
        <v>#REF!</v>
      </c>
      <c r="DR74" t="e">
        <f>AND(#REF!,"AAAAAFe233k=")</f>
        <v>#REF!</v>
      </c>
      <c r="DS74" t="e">
        <f>IF(#REF!,"AAAAAFe233o=",0)</f>
        <v>#REF!</v>
      </c>
      <c r="DT74" t="e">
        <f>AND(#REF!,"AAAAAFe233s=")</f>
        <v>#REF!</v>
      </c>
      <c r="DU74" t="e">
        <f>AND(#REF!,"AAAAAFe233w=")</f>
        <v>#REF!</v>
      </c>
      <c r="DV74" t="e">
        <f>AND(#REF!,"AAAAAFe2330=")</f>
        <v>#REF!</v>
      </c>
      <c r="DW74" t="e">
        <f>AND(#REF!,"AAAAAFe2334=")</f>
        <v>#REF!</v>
      </c>
      <c r="DX74" t="e">
        <f>AND(#REF!,"AAAAAFe2338=")</f>
        <v>#REF!</v>
      </c>
      <c r="DY74" t="e">
        <f>AND(#REF!,"AAAAAFe234A=")</f>
        <v>#REF!</v>
      </c>
      <c r="DZ74" t="e">
        <f>AND(#REF!,"AAAAAFe234E=")</f>
        <v>#REF!</v>
      </c>
      <c r="EA74" t="e">
        <f>AND(#REF!,"AAAAAFe234I=")</f>
        <v>#REF!</v>
      </c>
      <c r="EB74" t="e">
        <f>IF(#REF!,"AAAAAFe234M=",0)</f>
        <v>#REF!</v>
      </c>
      <c r="EC74" t="e">
        <f>AND(#REF!,"AAAAAFe234Q=")</f>
        <v>#REF!</v>
      </c>
      <c r="ED74" t="e">
        <f>AND(#REF!,"AAAAAFe234U=")</f>
        <v>#REF!</v>
      </c>
      <c r="EE74" t="e">
        <f>AND(#REF!,"AAAAAFe234Y=")</f>
        <v>#REF!</v>
      </c>
      <c r="EF74" t="e">
        <f>AND(#REF!,"AAAAAFe234c=")</f>
        <v>#REF!</v>
      </c>
      <c r="EG74" t="e">
        <f>AND(#REF!,"AAAAAFe234g=")</f>
        <v>#REF!</v>
      </c>
      <c r="EH74" t="e">
        <f>AND(#REF!,"AAAAAFe234k=")</f>
        <v>#REF!</v>
      </c>
      <c r="EI74" t="e">
        <f>AND(#REF!,"AAAAAFe234o=")</f>
        <v>#REF!</v>
      </c>
      <c r="EJ74" t="e">
        <f>AND(#REF!,"AAAAAFe234s=")</f>
        <v>#REF!</v>
      </c>
      <c r="EK74" t="e">
        <f>IF(#REF!,"AAAAAFe234w=",0)</f>
        <v>#REF!</v>
      </c>
      <c r="EL74" t="e">
        <f>AND(#REF!,"AAAAAFe2340=")</f>
        <v>#REF!</v>
      </c>
      <c r="EM74" t="e">
        <f>AND(#REF!,"AAAAAFe2344=")</f>
        <v>#REF!</v>
      </c>
      <c r="EN74" t="e">
        <f>AND(#REF!,"AAAAAFe2348=")</f>
        <v>#REF!</v>
      </c>
      <c r="EO74" t="e">
        <f>AND(#REF!,"AAAAAFe235A=")</f>
        <v>#REF!</v>
      </c>
      <c r="EP74" t="e">
        <f>AND(#REF!,"AAAAAFe235E=")</f>
        <v>#REF!</v>
      </c>
      <c r="EQ74" t="e">
        <f>AND(#REF!,"AAAAAFe235I=")</f>
        <v>#REF!</v>
      </c>
      <c r="ER74" t="e">
        <f>AND(#REF!,"AAAAAFe235M=")</f>
        <v>#REF!</v>
      </c>
      <c r="ES74" t="e">
        <f>AND(#REF!,"AAAAAFe235Q=")</f>
        <v>#REF!</v>
      </c>
      <c r="ET74" t="e">
        <f>IF(#REF!,"AAAAAFe235U=",0)</f>
        <v>#REF!</v>
      </c>
      <c r="EU74" t="e">
        <f>AND(#REF!,"AAAAAFe235Y=")</f>
        <v>#REF!</v>
      </c>
      <c r="EV74" t="e">
        <f>AND(#REF!,"AAAAAFe235c=")</f>
        <v>#REF!</v>
      </c>
      <c r="EW74" t="e">
        <f>AND(#REF!,"AAAAAFe235g=")</f>
        <v>#REF!</v>
      </c>
      <c r="EX74" t="e">
        <f>AND(#REF!,"AAAAAFe235k=")</f>
        <v>#REF!</v>
      </c>
      <c r="EY74" t="e">
        <f>AND(#REF!,"AAAAAFe235o=")</f>
        <v>#REF!</v>
      </c>
      <c r="EZ74" t="e">
        <f>AND(#REF!,"AAAAAFe235s=")</f>
        <v>#REF!</v>
      </c>
      <c r="FA74" t="e">
        <f>AND(#REF!,"AAAAAFe235w=")</f>
        <v>#REF!</v>
      </c>
      <c r="FB74" t="e">
        <f>AND(#REF!,"AAAAAFe2350=")</f>
        <v>#REF!</v>
      </c>
      <c r="FC74" t="e">
        <f>IF(#REF!,"AAAAAFe2354=",0)</f>
        <v>#REF!</v>
      </c>
      <c r="FD74" t="e">
        <f>AND(#REF!,"AAAAAFe2358=")</f>
        <v>#REF!</v>
      </c>
      <c r="FE74" t="e">
        <f>AND(#REF!,"AAAAAFe236A=")</f>
        <v>#REF!</v>
      </c>
      <c r="FF74" t="e">
        <f>AND(#REF!,"AAAAAFe236E=")</f>
        <v>#REF!</v>
      </c>
      <c r="FG74" t="e">
        <f>AND(#REF!,"AAAAAFe236I=")</f>
        <v>#REF!</v>
      </c>
      <c r="FH74" t="e">
        <f>AND(#REF!,"AAAAAFe236M=")</f>
        <v>#REF!</v>
      </c>
      <c r="FI74" t="e">
        <f>AND(#REF!,"AAAAAFe236Q=")</f>
        <v>#REF!</v>
      </c>
      <c r="FJ74" t="e">
        <f>AND(#REF!,"AAAAAFe236U=")</f>
        <v>#REF!</v>
      </c>
      <c r="FK74" t="e">
        <f>AND(#REF!,"AAAAAFe236Y=")</f>
        <v>#REF!</v>
      </c>
      <c r="FL74" t="e">
        <f>IF(#REF!,"AAAAAFe236c=",0)</f>
        <v>#REF!</v>
      </c>
      <c r="FM74" t="e">
        <f>AND(#REF!,"AAAAAFe236g=")</f>
        <v>#REF!</v>
      </c>
      <c r="FN74" t="e">
        <f>AND(#REF!,"AAAAAFe236k=")</f>
        <v>#REF!</v>
      </c>
      <c r="FO74" t="e">
        <f>AND(#REF!,"AAAAAFe236o=")</f>
        <v>#REF!</v>
      </c>
      <c r="FP74" t="e">
        <f>AND(#REF!,"AAAAAFe236s=")</f>
        <v>#REF!</v>
      </c>
      <c r="FQ74" t="e">
        <f>AND(#REF!,"AAAAAFe236w=")</f>
        <v>#REF!</v>
      </c>
      <c r="FR74" t="e">
        <f>AND(#REF!,"AAAAAFe2360=")</f>
        <v>#REF!</v>
      </c>
      <c r="FS74" t="e">
        <f>AND(#REF!,"AAAAAFe2364=")</f>
        <v>#REF!</v>
      </c>
      <c r="FT74" t="e">
        <f>AND(#REF!,"AAAAAFe2368=")</f>
        <v>#REF!</v>
      </c>
      <c r="FU74" t="e">
        <f>IF(#REF!,"AAAAAFe237A=",0)</f>
        <v>#REF!</v>
      </c>
      <c r="FV74" t="e">
        <f>AND(#REF!,"AAAAAFe237E=")</f>
        <v>#REF!</v>
      </c>
      <c r="FW74" t="e">
        <f>AND(#REF!,"AAAAAFe237I=")</f>
        <v>#REF!</v>
      </c>
      <c r="FX74" t="e">
        <f>AND(#REF!,"AAAAAFe237M=")</f>
        <v>#REF!</v>
      </c>
      <c r="FY74" t="e">
        <f>AND(#REF!,"AAAAAFe237Q=")</f>
        <v>#REF!</v>
      </c>
      <c r="FZ74" t="e">
        <f>AND(#REF!,"AAAAAFe237U=")</f>
        <v>#REF!</v>
      </c>
      <c r="GA74" t="e">
        <f>AND(#REF!,"AAAAAFe237Y=")</f>
        <v>#REF!</v>
      </c>
      <c r="GB74" t="e">
        <f>AND(#REF!,"AAAAAFe237c=")</f>
        <v>#REF!</v>
      </c>
      <c r="GC74" t="e">
        <f>AND(#REF!,"AAAAAFe237g=")</f>
        <v>#REF!</v>
      </c>
      <c r="GD74" t="e">
        <f>IF(#REF!,"AAAAAFe237k=",0)</f>
        <v>#REF!</v>
      </c>
      <c r="GE74" t="e">
        <f>AND(#REF!,"AAAAAFe237o=")</f>
        <v>#REF!</v>
      </c>
      <c r="GF74" t="e">
        <f>AND(#REF!,"AAAAAFe237s=")</f>
        <v>#REF!</v>
      </c>
      <c r="GG74" t="e">
        <f>AND(#REF!,"AAAAAFe237w=")</f>
        <v>#REF!</v>
      </c>
      <c r="GH74" t="e">
        <f>AND(#REF!,"AAAAAFe2370=")</f>
        <v>#REF!</v>
      </c>
      <c r="GI74" t="e">
        <f>AND(#REF!,"AAAAAFe2374=")</f>
        <v>#REF!</v>
      </c>
      <c r="GJ74" t="e">
        <f>AND(#REF!,"AAAAAFe2378=")</f>
        <v>#REF!</v>
      </c>
      <c r="GK74" t="e">
        <f>AND(#REF!,"AAAAAFe238A=")</f>
        <v>#REF!</v>
      </c>
      <c r="GL74" t="e">
        <f>AND(#REF!,"AAAAAFe238E=")</f>
        <v>#REF!</v>
      </c>
      <c r="GM74" t="e">
        <f>IF(#REF!,"AAAAAFe238I=",0)</f>
        <v>#REF!</v>
      </c>
      <c r="GN74" t="e">
        <f>AND(#REF!,"AAAAAFe238M=")</f>
        <v>#REF!</v>
      </c>
      <c r="GO74" t="e">
        <f>AND(#REF!,"AAAAAFe238Q=")</f>
        <v>#REF!</v>
      </c>
      <c r="GP74" t="e">
        <f>AND(#REF!,"AAAAAFe238U=")</f>
        <v>#REF!</v>
      </c>
      <c r="GQ74" t="e">
        <f>AND(#REF!,"AAAAAFe238Y=")</f>
        <v>#REF!</v>
      </c>
      <c r="GR74" t="e">
        <f>AND(#REF!,"AAAAAFe238c=")</f>
        <v>#REF!</v>
      </c>
      <c r="GS74" t="e">
        <f>AND(#REF!,"AAAAAFe238g=")</f>
        <v>#REF!</v>
      </c>
      <c r="GT74" t="e">
        <f>AND(#REF!,"AAAAAFe238k=")</f>
        <v>#REF!</v>
      </c>
      <c r="GU74" t="e">
        <f>AND(#REF!,"AAAAAFe238o=")</f>
        <v>#REF!</v>
      </c>
      <c r="GV74" t="e">
        <f>IF(#REF!,"AAAAAFe238s=",0)</f>
        <v>#REF!</v>
      </c>
      <c r="GW74" t="e">
        <f>AND(#REF!,"AAAAAFe238w=")</f>
        <v>#REF!</v>
      </c>
      <c r="GX74" t="e">
        <f>AND(#REF!,"AAAAAFe2380=")</f>
        <v>#REF!</v>
      </c>
      <c r="GY74" t="e">
        <f>AND(#REF!,"AAAAAFe2384=")</f>
        <v>#REF!</v>
      </c>
      <c r="GZ74" t="e">
        <f>AND(#REF!,"AAAAAFe2388=")</f>
        <v>#REF!</v>
      </c>
      <c r="HA74" t="e">
        <f>AND(#REF!,"AAAAAFe239A=")</f>
        <v>#REF!</v>
      </c>
      <c r="HB74" t="e">
        <f>AND(#REF!,"AAAAAFe239E=")</f>
        <v>#REF!</v>
      </c>
      <c r="HC74" t="e">
        <f>AND(#REF!,"AAAAAFe239I=")</f>
        <v>#REF!</v>
      </c>
      <c r="HD74" t="e">
        <f>AND(#REF!,"AAAAAFe239M=")</f>
        <v>#REF!</v>
      </c>
      <c r="HE74" t="e">
        <f>IF(#REF!,"AAAAAFe239Q=",0)</f>
        <v>#REF!</v>
      </c>
      <c r="HF74" t="e">
        <f>AND(#REF!,"AAAAAFe239U=")</f>
        <v>#REF!</v>
      </c>
      <c r="HG74" t="e">
        <f>AND(#REF!,"AAAAAFe239Y=")</f>
        <v>#REF!</v>
      </c>
      <c r="HH74" t="e">
        <f>AND(#REF!,"AAAAAFe239c=")</f>
        <v>#REF!</v>
      </c>
      <c r="HI74" t="e">
        <f>AND(#REF!,"AAAAAFe239g=")</f>
        <v>#REF!</v>
      </c>
      <c r="HJ74" t="e">
        <f>AND(#REF!,"AAAAAFe239k=")</f>
        <v>#REF!</v>
      </c>
      <c r="HK74" t="e">
        <f>AND(#REF!,"AAAAAFe239o=")</f>
        <v>#REF!</v>
      </c>
      <c r="HL74" t="e">
        <f>AND(#REF!,"AAAAAFe239s=")</f>
        <v>#REF!</v>
      </c>
      <c r="HM74" t="e">
        <f>AND(#REF!,"AAAAAFe239w=")</f>
        <v>#REF!</v>
      </c>
      <c r="HN74" t="e">
        <f>IF(#REF!,"AAAAAFe2390=",0)</f>
        <v>#REF!</v>
      </c>
      <c r="HO74" t="e">
        <f>AND(#REF!,"AAAAAFe2394=")</f>
        <v>#REF!</v>
      </c>
      <c r="HP74" t="e">
        <f>AND(#REF!,"AAAAAFe2398=")</f>
        <v>#REF!</v>
      </c>
      <c r="HQ74" t="e">
        <f>AND(#REF!,"AAAAAFe23+A=")</f>
        <v>#REF!</v>
      </c>
      <c r="HR74" t="e">
        <f>AND(#REF!,"AAAAAFe23+E=")</f>
        <v>#REF!</v>
      </c>
      <c r="HS74" t="e">
        <f>AND(#REF!,"AAAAAFe23+I=")</f>
        <v>#REF!</v>
      </c>
      <c r="HT74" t="e">
        <f>AND(#REF!,"AAAAAFe23+M=")</f>
        <v>#REF!</v>
      </c>
      <c r="HU74" t="e">
        <f>AND(#REF!,"AAAAAFe23+Q=")</f>
        <v>#REF!</v>
      </c>
      <c r="HV74" t="e">
        <f>AND(#REF!,"AAAAAFe23+U=")</f>
        <v>#REF!</v>
      </c>
      <c r="HW74" t="e">
        <f>IF(#REF!,"AAAAAFe23+Y=",0)</f>
        <v>#REF!</v>
      </c>
      <c r="HX74" t="e">
        <f>AND(#REF!,"AAAAAFe23+c=")</f>
        <v>#REF!</v>
      </c>
      <c r="HY74" t="e">
        <f>AND(#REF!,"AAAAAFe23+g=")</f>
        <v>#REF!</v>
      </c>
      <c r="HZ74" t="e">
        <f>AND(#REF!,"AAAAAFe23+k=")</f>
        <v>#REF!</v>
      </c>
      <c r="IA74" t="e">
        <f>AND(#REF!,"AAAAAFe23+o=")</f>
        <v>#REF!</v>
      </c>
      <c r="IB74" t="e">
        <f>AND(#REF!,"AAAAAFe23+s=")</f>
        <v>#REF!</v>
      </c>
      <c r="IC74" t="e">
        <f>AND(#REF!,"AAAAAFe23+w=")</f>
        <v>#REF!</v>
      </c>
      <c r="ID74" t="e">
        <f>AND(#REF!,"AAAAAFe23+0=")</f>
        <v>#REF!</v>
      </c>
      <c r="IE74" t="e">
        <f>AND(#REF!,"AAAAAFe23+4=")</f>
        <v>#REF!</v>
      </c>
      <c r="IF74" t="e">
        <f>IF(#REF!,"AAAAAFe23+8=",0)</f>
        <v>#REF!</v>
      </c>
      <c r="IG74" t="e">
        <f>AND(#REF!,"AAAAAFe23/A=")</f>
        <v>#REF!</v>
      </c>
      <c r="IH74" t="e">
        <f>AND(#REF!,"AAAAAFe23/E=")</f>
        <v>#REF!</v>
      </c>
      <c r="II74" t="e">
        <f>AND(#REF!,"AAAAAFe23/I=")</f>
        <v>#REF!</v>
      </c>
      <c r="IJ74" t="e">
        <f>AND(#REF!,"AAAAAFe23/M=")</f>
        <v>#REF!</v>
      </c>
      <c r="IK74" t="e">
        <f>AND(#REF!,"AAAAAFe23/Q=")</f>
        <v>#REF!</v>
      </c>
      <c r="IL74" t="e">
        <f>AND(#REF!,"AAAAAFe23/U=")</f>
        <v>#REF!</v>
      </c>
      <c r="IM74" t="e">
        <f>AND(#REF!,"AAAAAFe23/Y=")</f>
        <v>#REF!</v>
      </c>
      <c r="IN74" t="e">
        <f>AND(#REF!,"AAAAAFe23/c=")</f>
        <v>#REF!</v>
      </c>
      <c r="IO74" t="e">
        <f>IF(#REF!,"AAAAAFe23/g=",0)</f>
        <v>#REF!</v>
      </c>
      <c r="IP74" t="e">
        <f>AND(#REF!,"AAAAAFe23/k=")</f>
        <v>#REF!</v>
      </c>
      <c r="IQ74" t="e">
        <f>AND(#REF!,"AAAAAFe23/o=")</f>
        <v>#REF!</v>
      </c>
      <c r="IR74" t="e">
        <f>AND(#REF!,"AAAAAFe23/s=")</f>
        <v>#REF!</v>
      </c>
      <c r="IS74" t="e">
        <f>AND(#REF!,"AAAAAFe23/w=")</f>
        <v>#REF!</v>
      </c>
      <c r="IT74" t="e">
        <f>AND(#REF!,"AAAAAFe23/0=")</f>
        <v>#REF!</v>
      </c>
      <c r="IU74" t="e">
        <f>AND(#REF!,"AAAAAFe23/4=")</f>
        <v>#REF!</v>
      </c>
      <c r="IV74" t="e">
        <f>AND(#REF!,"AAAAAFe23/8=")</f>
        <v>#REF!</v>
      </c>
    </row>
    <row r="75" spans="1:256" x14ac:dyDescent="0.25">
      <c r="A75" t="e">
        <f>AND(#REF!,"AAAAACf9nwA=")</f>
        <v>#REF!</v>
      </c>
      <c r="B75" t="e">
        <f>IF(#REF!,"AAAAACf9nwE=",0)</f>
        <v>#REF!</v>
      </c>
      <c r="C75" t="e">
        <f>AND(#REF!,"AAAAACf9nwI=")</f>
        <v>#REF!</v>
      </c>
      <c r="D75" t="e">
        <f>AND(#REF!,"AAAAACf9nwM=")</f>
        <v>#REF!</v>
      </c>
      <c r="E75" t="e">
        <f>AND(#REF!,"AAAAACf9nwQ=")</f>
        <v>#REF!</v>
      </c>
      <c r="F75" t="e">
        <f>AND(#REF!,"AAAAACf9nwU=")</f>
        <v>#REF!</v>
      </c>
      <c r="G75" t="e">
        <f>AND(#REF!,"AAAAACf9nwY=")</f>
        <v>#REF!</v>
      </c>
      <c r="H75" t="e">
        <f>AND(#REF!,"AAAAACf9nwc=")</f>
        <v>#REF!</v>
      </c>
      <c r="I75" t="e">
        <f>AND(#REF!,"AAAAACf9nwg=")</f>
        <v>#REF!</v>
      </c>
      <c r="J75" t="e">
        <f>AND(#REF!,"AAAAACf9nwk=")</f>
        <v>#REF!</v>
      </c>
      <c r="K75" t="e">
        <f>IF(#REF!,"AAAAACf9nwo=",0)</f>
        <v>#REF!</v>
      </c>
      <c r="L75" t="e">
        <f>AND(#REF!,"AAAAACf9nws=")</f>
        <v>#REF!</v>
      </c>
      <c r="M75" t="e">
        <f>AND(#REF!,"AAAAACf9nww=")</f>
        <v>#REF!</v>
      </c>
      <c r="N75" t="e">
        <f>AND(#REF!,"AAAAACf9nw0=")</f>
        <v>#REF!</v>
      </c>
      <c r="O75" t="e">
        <f>AND(#REF!,"AAAAACf9nw4=")</f>
        <v>#REF!</v>
      </c>
      <c r="P75" t="e">
        <f>AND(#REF!,"AAAAACf9nw8=")</f>
        <v>#REF!</v>
      </c>
      <c r="Q75" t="e">
        <f>AND(#REF!,"AAAAACf9nxA=")</f>
        <v>#REF!</v>
      </c>
      <c r="R75" t="e">
        <f>AND(#REF!,"AAAAACf9nxE=")</f>
        <v>#REF!</v>
      </c>
      <c r="S75" t="e">
        <f>AND(#REF!,"AAAAACf9nxI=")</f>
        <v>#REF!</v>
      </c>
      <c r="T75" t="e">
        <f>IF(#REF!,"AAAAACf9nxM=",0)</f>
        <v>#REF!</v>
      </c>
      <c r="U75" t="e">
        <f>AND(#REF!,"AAAAACf9nxQ=")</f>
        <v>#REF!</v>
      </c>
      <c r="V75" t="e">
        <f>AND(#REF!,"AAAAACf9nxU=")</f>
        <v>#REF!</v>
      </c>
      <c r="W75" t="e">
        <f>AND(#REF!,"AAAAACf9nxY=")</f>
        <v>#REF!</v>
      </c>
      <c r="X75" t="e">
        <f>AND(#REF!,"AAAAACf9nxc=")</f>
        <v>#REF!</v>
      </c>
      <c r="Y75" t="e">
        <f>AND(#REF!,"AAAAACf9nxg=")</f>
        <v>#REF!</v>
      </c>
      <c r="Z75" t="e">
        <f>AND(#REF!,"AAAAACf9nxk=")</f>
        <v>#REF!</v>
      </c>
      <c r="AA75" t="e">
        <f>AND(#REF!,"AAAAACf9nxo=")</f>
        <v>#REF!</v>
      </c>
      <c r="AB75" t="e">
        <f>AND(#REF!,"AAAAACf9nxs=")</f>
        <v>#REF!</v>
      </c>
      <c r="AC75" t="e">
        <f>IF(#REF!,"AAAAACf9nxw=",0)</f>
        <v>#REF!</v>
      </c>
      <c r="AD75" t="e">
        <f>AND(#REF!,"AAAAACf9nx0=")</f>
        <v>#REF!</v>
      </c>
      <c r="AE75" t="e">
        <f>AND(#REF!,"AAAAACf9nx4=")</f>
        <v>#REF!</v>
      </c>
      <c r="AF75" t="e">
        <f>AND(#REF!,"AAAAACf9nx8=")</f>
        <v>#REF!</v>
      </c>
      <c r="AG75" t="e">
        <f>AND(#REF!,"AAAAACf9nyA=")</f>
        <v>#REF!</v>
      </c>
      <c r="AH75" t="e">
        <f>AND(#REF!,"AAAAACf9nyE=")</f>
        <v>#REF!</v>
      </c>
      <c r="AI75" t="e">
        <f>AND(#REF!,"AAAAACf9nyI=")</f>
        <v>#REF!</v>
      </c>
      <c r="AJ75" t="e">
        <f>AND(#REF!,"AAAAACf9nyM=")</f>
        <v>#REF!</v>
      </c>
      <c r="AK75" t="e">
        <f>AND(#REF!,"AAAAACf9nyQ=")</f>
        <v>#REF!</v>
      </c>
      <c r="AL75" t="e">
        <f>IF(#REF!,"AAAAACf9nyU=",0)</f>
        <v>#REF!</v>
      </c>
      <c r="AM75" t="e">
        <f>AND(#REF!,"AAAAACf9nyY=")</f>
        <v>#REF!</v>
      </c>
      <c r="AN75" t="e">
        <f>AND(#REF!,"AAAAACf9nyc=")</f>
        <v>#REF!</v>
      </c>
      <c r="AO75" t="e">
        <f>AND(#REF!,"AAAAACf9nyg=")</f>
        <v>#REF!</v>
      </c>
      <c r="AP75" t="e">
        <f>AND(#REF!,"AAAAACf9nyk=")</f>
        <v>#REF!</v>
      </c>
      <c r="AQ75" t="e">
        <f>AND(#REF!,"AAAAACf9nyo=")</f>
        <v>#REF!</v>
      </c>
      <c r="AR75" t="e">
        <f>AND(#REF!,"AAAAACf9nys=")</f>
        <v>#REF!</v>
      </c>
      <c r="AS75" t="e">
        <f>AND(#REF!,"AAAAACf9nyw=")</f>
        <v>#REF!</v>
      </c>
      <c r="AT75" t="e">
        <f>AND(#REF!,"AAAAACf9ny0=")</f>
        <v>#REF!</v>
      </c>
      <c r="AU75" t="e">
        <f>IF(#REF!,"AAAAACf9ny4=",0)</f>
        <v>#REF!</v>
      </c>
      <c r="AV75" t="e">
        <f>AND(#REF!,"AAAAACf9ny8=")</f>
        <v>#REF!</v>
      </c>
      <c r="AW75" t="e">
        <f>AND(#REF!,"AAAAACf9nzA=")</f>
        <v>#REF!</v>
      </c>
      <c r="AX75" t="e">
        <f>AND(#REF!,"AAAAACf9nzE=")</f>
        <v>#REF!</v>
      </c>
      <c r="AY75" t="e">
        <f>AND(#REF!,"AAAAACf9nzI=")</f>
        <v>#REF!</v>
      </c>
      <c r="AZ75" t="e">
        <f>AND(#REF!,"AAAAACf9nzM=")</f>
        <v>#REF!</v>
      </c>
      <c r="BA75" t="e">
        <f>AND(#REF!,"AAAAACf9nzQ=")</f>
        <v>#REF!</v>
      </c>
      <c r="BB75" t="e">
        <f>AND(#REF!,"AAAAACf9nzU=")</f>
        <v>#REF!</v>
      </c>
      <c r="BC75" t="e">
        <f>AND(#REF!,"AAAAACf9nzY=")</f>
        <v>#REF!</v>
      </c>
      <c r="BD75" t="e">
        <f>IF(#REF!,"AAAAACf9nzc=",0)</f>
        <v>#REF!</v>
      </c>
      <c r="BE75" t="e">
        <f>AND(#REF!,"AAAAACf9nzg=")</f>
        <v>#REF!</v>
      </c>
      <c r="BF75" t="e">
        <f>AND(#REF!,"AAAAACf9nzk=")</f>
        <v>#REF!</v>
      </c>
      <c r="BG75" t="e">
        <f>AND(#REF!,"AAAAACf9nzo=")</f>
        <v>#REF!</v>
      </c>
      <c r="BH75" t="e">
        <f>AND(#REF!,"AAAAACf9nzs=")</f>
        <v>#REF!</v>
      </c>
      <c r="BI75" t="e">
        <f>AND(#REF!,"AAAAACf9nzw=")</f>
        <v>#REF!</v>
      </c>
      <c r="BJ75" t="e">
        <f>AND(#REF!,"AAAAACf9nz0=")</f>
        <v>#REF!</v>
      </c>
      <c r="BK75" t="e">
        <f>AND(#REF!,"AAAAACf9nz4=")</f>
        <v>#REF!</v>
      </c>
      <c r="BL75" t="e">
        <f>AND(#REF!,"AAAAACf9nz8=")</f>
        <v>#REF!</v>
      </c>
      <c r="BM75" t="e">
        <f>IF(#REF!,"AAAAACf9n0A=",0)</f>
        <v>#REF!</v>
      </c>
      <c r="BN75" t="e">
        <f>AND(#REF!,"AAAAACf9n0E=")</f>
        <v>#REF!</v>
      </c>
      <c r="BO75" t="e">
        <f>AND(#REF!,"AAAAACf9n0I=")</f>
        <v>#REF!</v>
      </c>
      <c r="BP75" t="e">
        <f>AND(#REF!,"AAAAACf9n0M=")</f>
        <v>#REF!</v>
      </c>
      <c r="BQ75" t="e">
        <f>AND(#REF!,"AAAAACf9n0Q=")</f>
        <v>#REF!</v>
      </c>
      <c r="BR75" t="e">
        <f>AND(#REF!,"AAAAACf9n0U=")</f>
        <v>#REF!</v>
      </c>
      <c r="BS75" t="e">
        <f>AND(#REF!,"AAAAACf9n0Y=")</f>
        <v>#REF!</v>
      </c>
      <c r="BT75" t="e">
        <f>AND(#REF!,"AAAAACf9n0c=")</f>
        <v>#REF!</v>
      </c>
      <c r="BU75" t="e">
        <f>AND(#REF!,"AAAAACf9n0g=")</f>
        <v>#REF!</v>
      </c>
      <c r="BV75" t="e">
        <f>IF(#REF!,"AAAAACf9n0k=",0)</f>
        <v>#REF!</v>
      </c>
      <c r="BW75" t="e">
        <f>AND(#REF!,"AAAAACf9n0o=")</f>
        <v>#REF!</v>
      </c>
      <c r="BX75" t="e">
        <f>AND(#REF!,"AAAAACf9n0s=")</f>
        <v>#REF!</v>
      </c>
      <c r="BY75" t="e">
        <f>AND(#REF!,"AAAAACf9n0w=")</f>
        <v>#REF!</v>
      </c>
      <c r="BZ75" t="e">
        <f>AND(#REF!,"AAAAACf9n00=")</f>
        <v>#REF!</v>
      </c>
      <c r="CA75" t="e">
        <f>AND(#REF!,"AAAAACf9n04=")</f>
        <v>#REF!</v>
      </c>
      <c r="CB75" t="e">
        <f>AND(#REF!,"AAAAACf9n08=")</f>
        <v>#REF!</v>
      </c>
      <c r="CC75" t="e">
        <f>AND(#REF!,"AAAAACf9n1A=")</f>
        <v>#REF!</v>
      </c>
      <c r="CD75" t="e">
        <f>AND(#REF!,"AAAAACf9n1E=")</f>
        <v>#REF!</v>
      </c>
      <c r="CE75" t="e">
        <f>IF(#REF!,"AAAAACf9n1I=",0)</f>
        <v>#REF!</v>
      </c>
      <c r="CF75" t="e">
        <f>AND(#REF!,"AAAAACf9n1M=")</f>
        <v>#REF!</v>
      </c>
      <c r="CG75" t="e">
        <f>AND(#REF!,"AAAAACf9n1Q=")</f>
        <v>#REF!</v>
      </c>
      <c r="CH75" t="e">
        <f>AND(#REF!,"AAAAACf9n1U=")</f>
        <v>#REF!</v>
      </c>
      <c r="CI75" t="e">
        <f>AND(#REF!,"AAAAACf9n1Y=")</f>
        <v>#REF!</v>
      </c>
      <c r="CJ75" t="e">
        <f>AND(#REF!,"AAAAACf9n1c=")</f>
        <v>#REF!</v>
      </c>
      <c r="CK75" t="e">
        <f>AND(#REF!,"AAAAACf9n1g=")</f>
        <v>#REF!</v>
      </c>
      <c r="CL75" t="e">
        <f>AND(#REF!,"AAAAACf9n1k=")</f>
        <v>#REF!</v>
      </c>
      <c r="CM75" t="e">
        <f>AND(#REF!,"AAAAACf9n1o=")</f>
        <v>#REF!</v>
      </c>
      <c r="CN75" t="e">
        <f>IF(#REF!,"AAAAACf9n1s=",0)</f>
        <v>#REF!</v>
      </c>
      <c r="CO75" t="e">
        <f>AND(#REF!,"AAAAACf9n1w=")</f>
        <v>#REF!</v>
      </c>
      <c r="CP75" t="e">
        <f>AND(#REF!,"AAAAACf9n10=")</f>
        <v>#REF!</v>
      </c>
      <c r="CQ75" t="e">
        <f>AND(#REF!,"AAAAACf9n14=")</f>
        <v>#REF!</v>
      </c>
      <c r="CR75" t="e">
        <f>AND(#REF!,"AAAAACf9n18=")</f>
        <v>#REF!</v>
      </c>
      <c r="CS75" t="e">
        <f>AND(#REF!,"AAAAACf9n2A=")</f>
        <v>#REF!</v>
      </c>
      <c r="CT75" t="e">
        <f>AND(#REF!,"AAAAACf9n2E=")</f>
        <v>#REF!</v>
      </c>
      <c r="CU75" t="e">
        <f>AND(#REF!,"AAAAACf9n2I=")</f>
        <v>#REF!</v>
      </c>
      <c r="CV75" t="e">
        <f>AND(#REF!,"AAAAACf9n2M=")</f>
        <v>#REF!</v>
      </c>
      <c r="CW75" t="e">
        <f>IF(#REF!,"AAAAACf9n2Q=",0)</f>
        <v>#REF!</v>
      </c>
      <c r="CX75" t="e">
        <f>AND(#REF!,"AAAAACf9n2U=")</f>
        <v>#REF!</v>
      </c>
      <c r="CY75" t="e">
        <f>AND(#REF!,"AAAAACf9n2Y=")</f>
        <v>#REF!</v>
      </c>
      <c r="CZ75" t="e">
        <f>AND(#REF!,"AAAAACf9n2c=")</f>
        <v>#REF!</v>
      </c>
      <c r="DA75" t="e">
        <f>AND(#REF!,"AAAAACf9n2g=")</f>
        <v>#REF!</v>
      </c>
      <c r="DB75" t="e">
        <f>AND(#REF!,"AAAAACf9n2k=")</f>
        <v>#REF!</v>
      </c>
      <c r="DC75" t="e">
        <f>AND(#REF!,"AAAAACf9n2o=")</f>
        <v>#REF!</v>
      </c>
      <c r="DD75" t="e">
        <f>AND(#REF!,"AAAAACf9n2s=")</f>
        <v>#REF!</v>
      </c>
      <c r="DE75" t="e">
        <f>AND(#REF!,"AAAAACf9n2w=")</f>
        <v>#REF!</v>
      </c>
      <c r="DF75" t="e">
        <f>IF(#REF!,"AAAAACf9n20=",0)</f>
        <v>#REF!</v>
      </c>
      <c r="DG75" t="e">
        <f>AND(#REF!,"AAAAACf9n24=")</f>
        <v>#REF!</v>
      </c>
      <c r="DH75" t="e">
        <f>AND(#REF!,"AAAAACf9n28=")</f>
        <v>#REF!</v>
      </c>
      <c r="DI75" t="e">
        <f>AND(#REF!,"AAAAACf9n3A=")</f>
        <v>#REF!</v>
      </c>
      <c r="DJ75" t="e">
        <f>AND(#REF!,"AAAAACf9n3E=")</f>
        <v>#REF!</v>
      </c>
      <c r="DK75" t="e">
        <f>AND(#REF!,"AAAAACf9n3I=")</f>
        <v>#REF!</v>
      </c>
      <c r="DL75" t="e">
        <f>AND(#REF!,"AAAAACf9n3M=")</f>
        <v>#REF!</v>
      </c>
      <c r="DM75" t="e">
        <f>AND(#REF!,"AAAAACf9n3Q=")</f>
        <v>#REF!</v>
      </c>
      <c r="DN75" t="e">
        <f>AND(#REF!,"AAAAACf9n3U=")</f>
        <v>#REF!</v>
      </c>
      <c r="DO75" t="e">
        <f>IF(#REF!,"AAAAACf9n3Y=",0)</f>
        <v>#REF!</v>
      </c>
      <c r="DP75" t="e">
        <f>AND(#REF!,"AAAAACf9n3c=")</f>
        <v>#REF!</v>
      </c>
      <c r="DQ75" t="e">
        <f>AND(#REF!,"AAAAACf9n3g=")</f>
        <v>#REF!</v>
      </c>
      <c r="DR75" t="e">
        <f>AND(#REF!,"AAAAACf9n3k=")</f>
        <v>#REF!</v>
      </c>
      <c r="DS75" t="e">
        <f>AND(#REF!,"AAAAACf9n3o=")</f>
        <v>#REF!</v>
      </c>
      <c r="DT75" t="e">
        <f>AND(#REF!,"AAAAACf9n3s=")</f>
        <v>#REF!</v>
      </c>
      <c r="DU75" t="e">
        <f>AND(#REF!,"AAAAACf9n3w=")</f>
        <v>#REF!</v>
      </c>
      <c r="DV75" t="e">
        <f>AND(#REF!,"AAAAACf9n30=")</f>
        <v>#REF!</v>
      </c>
      <c r="DW75" t="e">
        <f>AND(#REF!,"AAAAACf9n34=")</f>
        <v>#REF!</v>
      </c>
      <c r="DX75" t="e">
        <f>IF(#REF!,"AAAAACf9n38=",0)</f>
        <v>#REF!</v>
      </c>
      <c r="DY75" t="e">
        <f>AND(#REF!,"AAAAACf9n4A=")</f>
        <v>#REF!</v>
      </c>
      <c r="DZ75" t="e">
        <f>AND(#REF!,"AAAAACf9n4E=")</f>
        <v>#REF!</v>
      </c>
      <c r="EA75" t="e">
        <f>AND(#REF!,"AAAAACf9n4I=")</f>
        <v>#REF!</v>
      </c>
      <c r="EB75" t="e">
        <f>AND(#REF!,"AAAAACf9n4M=")</f>
        <v>#REF!</v>
      </c>
      <c r="EC75" t="e">
        <f>AND(#REF!,"AAAAACf9n4Q=")</f>
        <v>#REF!</v>
      </c>
      <c r="ED75" t="e">
        <f>AND(#REF!,"AAAAACf9n4U=")</f>
        <v>#REF!</v>
      </c>
      <c r="EE75" t="e">
        <f>AND(#REF!,"AAAAACf9n4Y=")</f>
        <v>#REF!</v>
      </c>
      <c r="EF75" t="e">
        <f>AND(#REF!,"AAAAACf9n4c=")</f>
        <v>#REF!</v>
      </c>
      <c r="EG75" t="e">
        <f>IF(#REF!,"AAAAACf9n4g=",0)</f>
        <v>#REF!</v>
      </c>
      <c r="EH75" t="e">
        <f>AND(#REF!,"AAAAACf9n4k=")</f>
        <v>#REF!</v>
      </c>
      <c r="EI75" t="e">
        <f>AND(#REF!,"AAAAACf9n4o=")</f>
        <v>#REF!</v>
      </c>
      <c r="EJ75" t="e">
        <f>AND(#REF!,"AAAAACf9n4s=")</f>
        <v>#REF!</v>
      </c>
      <c r="EK75" t="e">
        <f>AND(#REF!,"AAAAACf9n4w=")</f>
        <v>#REF!</v>
      </c>
      <c r="EL75" t="e">
        <f>AND(#REF!,"AAAAACf9n40=")</f>
        <v>#REF!</v>
      </c>
      <c r="EM75" t="e">
        <f>AND(#REF!,"AAAAACf9n44=")</f>
        <v>#REF!</v>
      </c>
      <c r="EN75" t="e">
        <f>AND(#REF!,"AAAAACf9n48=")</f>
        <v>#REF!</v>
      </c>
      <c r="EO75" t="e">
        <f>AND(#REF!,"AAAAACf9n5A=")</f>
        <v>#REF!</v>
      </c>
      <c r="EP75" t="e">
        <f>IF(#REF!,"AAAAACf9n5E=",0)</f>
        <v>#REF!</v>
      </c>
      <c r="EQ75" t="e">
        <f>AND(#REF!,"AAAAACf9n5I=")</f>
        <v>#REF!</v>
      </c>
      <c r="ER75" t="e">
        <f>AND(#REF!,"AAAAACf9n5M=")</f>
        <v>#REF!</v>
      </c>
      <c r="ES75" t="e">
        <f>AND(#REF!,"AAAAACf9n5Q=")</f>
        <v>#REF!</v>
      </c>
      <c r="ET75" t="e">
        <f>AND(#REF!,"AAAAACf9n5U=")</f>
        <v>#REF!</v>
      </c>
      <c r="EU75" t="e">
        <f>AND(#REF!,"AAAAACf9n5Y=")</f>
        <v>#REF!</v>
      </c>
      <c r="EV75" t="e">
        <f>AND(#REF!,"AAAAACf9n5c=")</f>
        <v>#REF!</v>
      </c>
      <c r="EW75" t="e">
        <f>AND(#REF!,"AAAAACf9n5g=")</f>
        <v>#REF!</v>
      </c>
      <c r="EX75" t="e">
        <f>AND(#REF!,"AAAAACf9n5k=")</f>
        <v>#REF!</v>
      </c>
      <c r="EY75" t="e">
        <f>IF(#REF!,"AAAAACf9n5o=",0)</f>
        <v>#REF!</v>
      </c>
      <c r="EZ75" t="e">
        <f>AND(#REF!,"AAAAACf9n5s=")</f>
        <v>#REF!</v>
      </c>
      <c r="FA75" t="e">
        <f>AND(#REF!,"AAAAACf9n5w=")</f>
        <v>#REF!</v>
      </c>
      <c r="FB75" t="e">
        <f>AND(#REF!,"AAAAACf9n50=")</f>
        <v>#REF!</v>
      </c>
      <c r="FC75" t="e">
        <f>AND(#REF!,"AAAAACf9n54=")</f>
        <v>#REF!</v>
      </c>
      <c r="FD75" t="e">
        <f>AND(#REF!,"AAAAACf9n58=")</f>
        <v>#REF!</v>
      </c>
      <c r="FE75" t="e">
        <f>AND(#REF!,"AAAAACf9n6A=")</f>
        <v>#REF!</v>
      </c>
      <c r="FF75" t="e">
        <f>AND(#REF!,"AAAAACf9n6E=")</f>
        <v>#REF!</v>
      </c>
      <c r="FG75" t="e">
        <f>AND(#REF!,"AAAAACf9n6I=")</f>
        <v>#REF!</v>
      </c>
      <c r="FH75" t="e">
        <f>IF(#REF!,"AAAAACf9n6M=",0)</f>
        <v>#REF!</v>
      </c>
      <c r="FI75" t="e">
        <f>AND(#REF!,"AAAAACf9n6Q=")</f>
        <v>#REF!</v>
      </c>
      <c r="FJ75" t="e">
        <f>AND(#REF!,"AAAAACf9n6U=")</f>
        <v>#REF!</v>
      </c>
      <c r="FK75" t="e">
        <f>AND(#REF!,"AAAAACf9n6Y=")</f>
        <v>#REF!</v>
      </c>
      <c r="FL75" t="e">
        <f>AND(#REF!,"AAAAACf9n6c=")</f>
        <v>#REF!</v>
      </c>
      <c r="FM75" t="e">
        <f>AND(#REF!,"AAAAACf9n6g=")</f>
        <v>#REF!</v>
      </c>
      <c r="FN75" t="e">
        <f>AND(#REF!,"AAAAACf9n6k=")</f>
        <v>#REF!</v>
      </c>
      <c r="FO75" t="e">
        <f>AND(#REF!,"AAAAACf9n6o=")</f>
        <v>#REF!</v>
      </c>
      <c r="FP75" t="e">
        <f>AND(#REF!,"AAAAACf9n6s=")</f>
        <v>#REF!</v>
      </c>
      <c r="FQ75" t="e">
        <f>IF(#REF!,"AAAAACf9n6w=",0)</f>
        <v>#REF!</v>
      </c>
      <c r="FR75" t="e">
        <f>AND(#REF!,"AAAAACf9n60=")</f>
        <v>#REF!</v>
      </c>
      <c r="FS75" t="e">
        <f>AND(#REF!,"AAAAACf9n64=")</f>
        <v>#REF!</v>
      </c>
      <c r="FT75" t="e">
        <f>AND(#REF!,"AAAAACf9n68=")</f>
        <v>#REF!</v>
      </c>
      <c r="FU75" t="e">
        <f>AND(#REF!,"AAAAACf9n7A=")</f>
        <v>#REF!</v>
      </c>
      <c r="FV75" t="e">
        <f>AND(#REF!,"AAAAACf9n7E=")</f>
        <v>#REF!</v>
      </c>
      <c r="FW75" t="e">
        <f>AND(#REF!,"AAAAACf9n7I=")</f>
        <v>#REF!</v>
      </c>
      <c r="FX75" t="e">
        <f>AND(#REF!,"AAAAACf9n7M=")</f>
        <v>#REF!</v>
      </c>
      <c r="FY75" t="e">
        <f>AND(#REF!,"AAAAACf9n7Q=")</f>
        <v>#REF!</v>
      </c>
      <c r="FZ75" t="e">
        <f>IF(#REF!,"AAAAACf9n7U=",0)</f>
        <v>#REF!</v>
      </c>
      <c r="GA75" t="e">
        <f>AND(#REF!,"AAAAACf9n7Y=")</f>
        <v>#REF!</v>
      </c>
      <c r="GB75" t="e">
        <f>AND(#REF!,"AAAAACf9n7c=")</f>
        <v>#REF!</v>
      </c>
      <c r="GC75" t="e">
        <f>AND(#REF!,"AAAAACf9n7g=")</f>
        <v>#REF!</v>
      </c>
      <c r="GD75" t="e">
        <f>AND(#REF!,"AAAAACf9n7k=")</f>
        <v>#REF!</v>
      </c>
      <c r="GE75" t="e">
        <f>AND(#REF!,"AAAAACf9n7o=")</f>
        <v>#REF!</v>
      </c>
      <c r="GF75" t="e">
        <f>AND(#REF!,"AAAAACf9n7s=")</f>
        <v>#REF!</v>
      </c>
      <c r="GG75" t="e">
        <f>AND(#REF!,"AAAAACf9n7w=")</f>
        <v>#REF!</v>
      </c>
      <c r="GH75" t="e">
        <f>AND(#REF!,"AAAAACf9n70=")</f>
        <v>#REF!</v>
      </c>
      <c r="GI75" t="e">
        <f>IF(#REF!,"AAAAACf9n74=",0)</f>
        <v>#REF!</v>
      </c>
      <c r="GJ75" t="e">
        <f>AND(#REF!,"AAAAACf9n78=")</f>
        <v>#REF!</v>
      </c>
      <c r="GK75" t="e">
        <f>AND(#REF!,"AAAAACf9n8A=")</f>
        <v>#REF!</v>
      </c>
      <c r="GL75" t="e">
        <f>AND(#REF!,"AAAAACf9n8E=")</f>
        <v>#REF!</v>
      </c>
      <c r="GM75" t="e">
        <f>AND(#REF!,"AAAAACf9n8I=")</f>
        <v>#REF!</v>
      </c>
      <c r="GN75" t="e">
        <f>AND(#REF!,"AAAAACf9n8M=")</f>
        <v>#REF!</v>
      </c>
      <c r="GO75" t="e">
        <f>AND(#REF!,"AAAAACf9n8Q=")</f>
        <v>#REF!</v>
      </c>
      <c r="GP75" t="e">
        <f>AND(#REF!,"AAAAACf9n8U=")</f>
        <v>#REF!</v>
      </c>
      <c r="GQ75" t="e">
        <f>AND(#REF!,"AAAAACf9n8Y=")</f>
        <v>#REF!</v>
      </c>
      <c r="GR75" t="e">
        <f>IF(#REF!,"AAAAACf9n8c=",0)</f>
        <v>#REF!</v>
      </c>
      <c r="GS75" t="e">
        <f>AND(#REF!,"AAAAACf9n8g=")</f>
        <v>#REF!</v>
      </c>
      <c r="GT75" t="e">
        <f>AND(#REF!,"AAAAACf9n8k=")</f>
        <v>#REF!</v>
      </c>
      <c r="GU75" t="e">
        <f>AND(#REF!,"AAAAACf9n8o=")</f>
        <v>#REF!</v>
      </c>
      <c r="GV75" t="e">
        <f>AND(#REF!,"AAAAACf9n8s=")</f>
        <v>#REF!</v>
      </c>
      <c r="GW75" t="e">
        <f>AND(#REF!,"AAAAACf9n8w=")</f>
        <v>#REF!</v>
      </c>
      <c r="GX75" t="e">
        <f>AND(#REF!,"AAAAACf9n80=")</f>
        <v>#REF!</v>
      </c>
      <c r="GY75" t="e">
        <f>AND(#REF!,"AAAAACf9n84=")</f>
        <v>#REF!</v>
      </c>
      <c r="GZ75" t="e">
        <f>AND(#REF!,"AAAAACf9n88=")</f>
        <v>#REF!</v>
      </c>
      <c r="HA75" t="e">
        <f>IF(#REF!,"AAAAACf9n9A=",0)</f>
        <v>#REF!</v>
      </c>
      <c r="HB75" t="e">
        <f>AND(#REF!,"AAAAACf9n9E=")</f>
        <v>#REF!</v>
      </c>
      <c r="HC75" t="e">
        <f>AND(#REF!,"AAAAACf9n9I=")</f>
        <v>#REF!</v>
      </c>
      <c r="HD75" t="e">
        <f>AND(#REF!,"AAAAACf9n9M=")</f>
        <v>#REF!</v>
      </c>
      <c r="HE75" t="e">
        <f>AND(#REF!,"AAAAACf9n9Q=")</f>
        <v>#REF!</v>
      </c>
      <c r="HF75" t="e">
        <f>AND(#REF!,"AAAAACf9n9U=")</f>
        <v>#REF!</v>
      </c>
      <c r="HG75" t="e">
        <f>AND(#REF!,"AAAAACf9n9Y=")</f>
        <v>#REF!</v>
      </c>
      <c r="HH75" t="e">
        <f>AND(#REF!,"AAAAACf9n9c=")</f>
        <v>#REF!</v>
      </c>
      <c r="HI75" t="e">
        <f>AND(#REF!,"AAAAACf9n9g=")</f>
        <v>#REF!</v>
      </c>
      <c r="HJ75" t="e">
        <f>IF(#REF!,"AAAAACf9n9k=",0)</f>
        <v>#REF!</v>
      </c>
      <c r="HK75" t="e">
        <f>AND(#REF!,"AAAAACf9n9o=")</f>
        <v>#REF!</v>
      </c>
      <c r="HL75" t="e">
        <f>AND(#REF!,"AAAAACf9n9s=")</f>
        <v>#REF!</v>
      </c>
      <c r="HM75" t="e">
        <f>AND(#REF!,"AAAAACf9n9w=")</f>
        <v>#REF!</v>
      </c>
      <c r="HN75" t="e">
        <f>AND(#REF!,"AAAAACf9n90=")</f>
        <v>#REF!</v>
      </c>
      <c r="HO75" t="e">
        <f>AND(#REF!,"AAAAACf9n94=")</f>
        <v>#REF!</v>
      </c>
      <c r="HP75" t="e">
        <f>AND(#REF!,"AAAAACf9n98=")</f>
        <v>#REF!</v>
      </c>
      <c r="HQ75" t="e">
        <f>AND(#REF!,"AAAAACf9n+A=")</f>
        <v>#REF!</v>
      </c>
      <c r="HR75" t="e">
        <f>AND(#REF!,"AAAAACf9n+E=")</f>
        <v>#REF!</v>
      </c>
      <c r="HS75" t="e">
        <f>IF(#REF!,"AAAAACf9n+I=",0)</f>
        <v>#REF!</v>
      </c>
      <c r="HT75" t="e">
        <f>AND(#REF!,"AAAAACf9n+M=")</f>
        <v>#REF!</v>
      </c>
      <c r="HU75" t="e">
        <f>AND(#REF!,"AAAAACf9n+Q=")</f>
        <v>#REF!</v>
      </c>
      <c r="HV75" t="e">
        <f>AND(#REF!,"AAAAACf9n+U=")</f>
        <v>#REF!</v>
      </c>
      <c r="HW75" t="e">
        <f>AND(#REF!,"AAAAACf9n+Y=")</f>
        <v>#REF!</v>
      </c>
      <c r="HX75" t="e">
        <f>AND(#REF!,"AAAAACf9n+c=")</f>
        <v>#REF!</v>
      </c>
      <c r="HY75" t="e">
        <f>AND(#REF!,"AAAAACf9n+g=")</f>
        <v>#REF!</v>
      </c>
      <c r="HZ75" t="e">
        <f>AND(#REF!,"AAAAACf9n+k=")</f>
        <v>#REF!</v>
      </c>
      <c r="IA75" t="e">
        <f>AND(#REF!,"AAAAACf9n+o=")</f>
        <v>#REF!</v>
      </c>
      <c r="IB75" t="e">
        <f>IF(#REF!,"AAAAACf9n+s=",0)</f>
        <v>#REF!</v>
      </c>
      <c r="IC75" t="e">
        <f>AND(#REF!,"AAAAACf9n+w=")</f>
        <v>#REF!</v>
      </c>
      <c r="ID75" t="e">
        <f>AND(#REF!,"AAAAACf9n+0=")</f>
        <v>#REF!</v>
      </c>
      <c r="IE75" t="e">
        <f>AND(#REF!,"AAAAACf9n+4=")</f>
        <v>#REF!</v>
      </c>
      <c r="IF75" t="e">
        <f>AND(#REF!,"AAAAACf9n+8=")</f>
        <v>#REF!</v>
      </c>
      <c r="IG75" t="e">
        <f>AND(#REF!,"AAAAACf9n/A=")</f>
        <v>#REF!</v>
      </c>
      <c r="IH75" t="e">
        <f>AND(#REF!,"AAAAACf9n/E=")</f>
        <v>#REF!</v>
      </c>
      <c r="II75" t="e">
        <f>AND(#REF!,"AAAAACf9n/I=")</f>
        <v>#REF!</v>
      </c>
      <c r="IJ75" t="e">
        <f>AND(#REF!,"AAAAACf9n/M=")</f>
        <v>#REF!</v>
      </c>
      <c r="IK75" t="e">
        <f>IF(#REF!,"AAAAACf9n/Q=",0)</f>
        <v>#REF!</v>
      </c>
      <c r="IL75" t="e">
        <f>AND(#REF!,"AAAAACf9n/U=")</f>
        <v>#REF!</v>
      </c>
      <c r="IM75" t="e">
        <f>AND(#REF!,"AAAAACf9n/Y=")</f>
        <v>#REF!</v>
      </c>
      <c r="IN75" t="e">
        <f>AND(#REF!,"AAAAACf9n/c=")</f>
        <v>#REF!</v>
      </c>
      <c r="IO75" t="e">
        <f>AND(#REF!,"AAAAACf9n/g=")</f>
        <v>#REF!</v>
      </c>
      <c r="IP75" t="e">
        <f>AND(#REF!,"AAAAACf9n/k=")</f>
        <v>#REF!</v>
      </c>
      <c r="IQ75" t="e">
        <f>AND(#REF!,"AAAAACf9n/o=")</f>
        <v>#REF!</v>
      </c>
      <c r="IR75" t="e">
        <f>AND(#REF!,"AAAAACf9n/s=")</f>
        <v>#REF!</v>
      </c>
      <c r="IS75" t="e">
        <f>AND(#REF!,"AAAAACf9n/w=")</f>
        <v>#REF!</v>
      </c>
      <c r="IT75" t="e">
        <f>IF(#REF!,"AAAAACf9n/0=",0)</f>
        <v>#REF!</v>
      </c>
      <c r="IU75" t="e">
        <f>AND(#REF!,"AAAAACf9n/4=")</f>
        <v>#REF!</v>
      </c>
      <c r="IV75" t="e">
        <f>AND(#REF!,"AAAAACf9n/8=")</f>
        <v>#REF!</v>
      </c>
    </row>
    <row r="76" spans="1:256" x14ac:dyDescent="0.25">
      <c r="A76" t="e">
        <f>AND(#REF!,"AAAAAE+31wA=")</f>
        <v>#REF!</v>
      </c>
      <c r="B76" t="e">
        <f>AND(#REF!,"AAAAAE+31wE=")</f>
        <v>#REF!</v>
      </c>
      <c r="C76" t="e">
        <f>AND(#REF!,"AAAAAE+31wI=")</f>
        <v>#REF!</v>
      </c>
      <c r="D76" t="e">
        <f>AND(#REF!,"AAAAAE+31wM=")</f>
        <v>#REF!</v>
      </c>
      <c r="E76" t="e">
        <f>AND(#REF!,"AAAAAE+31wQ=")</f>
        <v>#REF!</v>
      </c>
      <c r="F76" t="e">
        <f>AND(#REF!,"AAAAAE+31wU=")</f>
        <v>#REF!</v>
      </c>
      <c r="G76" t="e">
        <f>IF(#REF!,"AAAAAE+31wY=",0)</f>
        <v>#REF!</v>
      </c>
      <c r="H76" t="e">
        <f>AND(#REF!,"AAAAAE+31wc=")</f>
        <v>#REF!</v>
      </c>
      <c r="I76" t="e">
        <f>AND(#REF!,"AAAAAE+31wg=")</f>
        <v>#REF!</v>
      </c>
      <c r="J76" t="e">
        <f>AND(#REF!,"AAAAAE+31wk=")</f>
        <v>#REF!</v>
      </c>
      <c r="K76" t="e">
        <f>AND(#REF!,"AAAAAE+31wo=")</f>
        <v>#REF!</v>
      </c>
      <c r="L76" t="e">
        <f>AND(#REF!,"AAAAAE+31ws=")</f>
        <v>#REF!</v>
      </c>
      <c r="M76" t="e">
        <f>AND(#REF!,"AAAAAE+31ww=")</f>
        <v>#REF!</v>
      </c>
      <c r="N76" t="e">
        <f>AND(#REF!,"AAAAAE+31w0=")</f>
        <v>#REF!</v>
      </c>
      <c r="O76" t="e">
        <f>AND(#REF!,"AAAAAE+31w4=")</f>
        <v>#REF!</v>
      </c>
      <c r="P76" t="e">
        <f>IF(#REF!,"AAAAAE+31w8=",0)</f>
        <v>#REF!</v>
      </c>
      <c r="Q76" t="e">
        <f>AND(#REF!,"AAAAAE+31xA=")</f>
        <v>#REF!</v>
      </c>
      <c r="R76" t="e">
        <f>AND(#REF!,"AAAAAE+31xE=")</f>
        <v>#REF!</v>
      </c>
      <c r="S76" t="e">
        <f>AND(#REF!,"AAAAAE+31xI=")</f>
        <v>#REF!</v>
      </c>
      <c r="T76" t="e">
        <f>AND(#REF!,"AAAAAE+31xM=")</f>
        <v>#REF!</v>
      </c>
      <c r="U76" t="e">
        <f>AND(#REF!,"AAAAAE+31xQ=")</f>
        <v>#REF!</v>
      </c>
      <c r="V76" t="e">
        <f>AND(#REF!,"AAAAAE+31xU=")</f>
        <v>#REF!</v>
      </c>
      <c r="W76" t="e">
        <f>AND(#REF!,"AAAAAE+31xY=")</f>
        <v>#REF!</v>
      </c>
      <c r="X76" t="e">
        <f>AND(#REF!,"AAAAAE+31xc=")</f>
        <v>#REF!</v>
      </c>
      <c r="Y76" t="e">
        <f>IF(#REF!,"AAAAAE+31xg=",0)</f>
        <v>#REF!</v>
      </c>
      <c r="Z76" t="e">
        <f>AND(#REF!,"AAAAAE+31xk=")</f>
        <v>#REF!</v>
      </c>
      <c r="AA76" t="e">
        <f>AND(#REF!,"AAAAAE+31xo=")</f>
        <v>#REF!</v>
      </c>
      <c r="AB76" t="e">
        <f>AND(#REF!,"AAAAAE+31xs=")</f>
        <v>#REF!</v>
      </c>
      <c r="AC76" t="e">
        <f>AND(#REF!,"AAAAAE+31xw=")</f>
        <v>#REF!</v>
      </c>
      <c r="AD76" t="e">
        <f>AND(#REF!,"AAAAAE+31x0=")</f>
        <v>#REF!</v>
      </c>
      <c r="AE76" t="e">
        <f>AND(#REF!,"AAAAAE+31x4=")</f>
        <v>#REF!</v>
      </c>
      <c r="AF76" t="e">
        <f>AND(#REF!,"AAAAAE+31x8=")</f>
        <v>#REF!</v>
      </c>
      <c r="AG76" t="e">
        <f>AND(#REF!,"AAAAAE+31yA=")</f>
        <v>#REF!</v>
      </c>
      <c r="AH76" t="e">
        <f>IF(#REF!,"AAAAAE+31yE=",0)</f>
        <v>#REF!</v>
      </c>
      <c r="AI76" t="e">
        <f>AND(#REF!,"AAAAAE+31yI=")</f>
        <v>#REF!</v>
      </c>
      <c r="AJ76" t="e">
        <f>AND(#REF!,"AAAAAE+31yM=")</f>
        <v>#REF!</v>
      </c>
      <c r="AK76" t="e">
        <f>AND(#REF!,"AAAAAE+31yQ=")</f>
        <v>#REF!</v>
      </c>
      <c r="AL76" t="e">
        <f>AND(#REF!,"AAAAAE+31yU=")</f>
        <v>#REF!</v>
      </c>
      <c r="AM76" t="e">
        <f>AND(#REF!,"AAAAAE+31yY=")</f>
        <v>#REF!</v>
      </c>
      <c r="AN76" t="e">
        <f>AND(#REF!,"AAAAAE+31yc=")</f>
        <v>#REF!</v>
      </c>
      <c r="AO76" t="e">
        <f>AND(#REF!,"AAAAAE+31yg=")</f>
        <v>#REF!</v>
      </c>
      <c r="AP76" t="e">
        <f>AND(#REF!,"AAAAAE+31yk=")</f>
        <v>#REF!</v>
      </c>
      <c r="AQ76" t="e">
        <f>IF(#REF!,"AAAAAE+31yo=",0)</f>
        <v>#REF!</v>
      </c>
      <c r="AR76" t="e">
        <f>AND(#REF!,"AAAAAE+31ys=")</f>
        <v>#REF!</v>
      </c>
      <c r="AS76" t="e">
        <f>AND(#REF!,"AAAAAE+31yw=")</f>
        <v>#REF!</v>
      </c>
      <c r="AT76" t="e">
        <f>AND(#REF!,"AAAAAE+31y0=")</f>
        <v>#REF!</v>
      </c>
      <c r="AU76" t="e">
        <f>AND(#REF!,"AAAAAE+31y4=")</f>
        <v>#REF!</v>
      </c>
      <c r="AV76" t="e">
        <f>AND(#REF!,"AAAAAE+31y8=")</f>
        <v>#REF!</v>
      </c>
      <c r="AW76" t="e">
        <f>AND(#REF!,"AAAAAE+31zA=")</f>
        <v>#REF!</v>
      </c>
      <c r="AX76" t="e">
        <f>AND(#REF!,"AAAAAE+31zE=")</f>
        <v>#REF!</v>
      </c>
      <c r="AY76" t="e">
        <f>AND(#REF!,"AAAAAE+31zI=")</f>
        <v>#REF!</v>
      </c>
      <c r="AZ76" t="e">
        <f>IF(#REF!,"AAAAAE+31zM=",0)</f>
        <v>#REF!</v>
      </c>
      <c r="BA76" t="e">
        <f>AND(#REF!,"AAAAAE+31zQ=")</f>
        <v>#REF!</v>
      </c>
      <c r="BB76" t="e">
        <f>AND(#REF!,"AAAAAE+31zU=")</f>
        <v>#REF!</v>
      </c>
      <c r="BC76" t="e">
        <f>AND(#REF!,"AAAAAE+31zY=")</f>
        <v>#REF!</v>
      </c>
      <c r="BD76" t="e">
        <f>AND(#REF!,"AAAAAE+31zc=")</f>
        <v>#REF!</v>
      </c>
      <c r="BE76" t="e">
        <f>AND(#REF!,"AAAAAE+31zg=")</f>
        <v>#REF!</v>
      </c>
      <c r="BF76" t="e">
        <f>AND(#REF!,"AAAAAE+31zk=")</f>
        <v>#REF!</v>
      </c>
      <c r="BG76" t="e">
        <f>AND(#REF!,"AAAAAE+31zo=")</f>
        <v>#REF!</v>
      </c>
      <c r="BH76" t="e">
        <f>AND(#REF!,"AAAAAE+31zs=")</f>
        <v>#REF!</v>
      </c>
      <c r="BI76" t="e">
        <f>IF(#REF!,"AAAAAE+31zw=",0)</f>
        <v>#REF!</v>
      </c>
      <c r="BJ76" t="e">
        <f>AND(#REF!,"AAAAAE+31z0=")</f>
        <v>#REF!</v>
      </c>
      <c r="BK76" t="e">
        <f>AND(#REF!,"AAAAAE+31z4=")</f>
        <v>#REF!</v>
      </c>
      <c r="BL76" t="e">
        <f>AND(#REF!,"AAAAAE+31z8=")</f>
        <v>#REF!</v>
      </c>
      <c r="BM76" t="e">
        <f>AND(#REF!,"AAAAAE+310A=")</f>
        <v>#REF!</v>
      </c>
      <c r="BN76" t="e">
        <f>AND(#REF!,"AAAAAE+310E=")</f>
        <v>#REF!</v>
      </c>
      <c r="BO76" t="e">
        <f>AND(#REF!,"AAAAAE+310I=")</f>
        <v>#REF!</v>
      </c>
      <c r="BP76" t="e">
        <f>AND(#REF!,"AAAAAE+310M=")</f>
        <v>#REF!</v>
      </c>
      <c r="BQ76" t="e">
        <f>AND(#REF!,"AAAAAE+310Q=")</f>
        <v>#REF!</v>
      </c>
      <c r="BR76" t="e">
        <f>IF(#REF!,"AAAAAE+310U=",0)</f>
        <v>#REF!</v>
      </c>
      <c r="BS76" t="e">
        <f>AND(#REF!,"AAAAAE+310Y=")</f>
        <v>#REF!</v>
      </c>
      <c r="BT76" t="e">
        <f>AND(#REF!,"AAAAAE+310c=")</f>
        <v>#REF!</v>
      </c>
      <c r="BU76" t="e">
        <f>AND(#REF!,"AAAAAE+310g=")</f>
        <v>#REF!</v>
      </c>
      <c r="BV76" t="e">
        <f>AND(#REF!,"AAAAAE+310k=")</f>
        <v>#REF!</v>
      </c>
      <c r="BW76" t="e">
        <f>AND(#REF!,"AAAAAE+310o=")</f>
        <v>#REF!</v>
      </c>
      <c r="BX76" t="e">
        <f>AND(#REF!,"AAAAAE+310s=")</f>
        <v>#REF!</v>
      </c>
      <c r="BY76" t="e">
        <f>AND(#REF!,"AAAAAE+310w=")</f>
        <v>#REF!</v>
      </c>
      <c r="BZ76" t="e">
        <f>AND(#REF!,"AAAAAE+3100=")</f>
        <v>#REF!</v>
      </c>
      <c r="CA76" t="e">
        <f>IF(#REF!,"AAAAAE+3104=",0)</f>
        <v>#REF!</v>
      </c>
      <c r="CB76" t="e">
        <f>AND(#REF!,"AAAAAE+3108=")</f>
        <v>#REF!</v>
      </c>
      <c r="CC76" t="e">
        <f>AND(#REF!,"AAAAAE+311A=")</f>
        <v>#REF!</v>
      </c>
      <c r="CD76" t="e">
        <f>AND(#REF!,"AAAAAE+311E=")</f>
        <v>#REF!</v>
      </c>
      <c r="CE76" t="e">
        <f>AND(#REF!,"AAAAAE+311I=")</f>
        <v>#REF!</v>
      </c>
      <c r="CF76" t="e">
        <f>AND(#REF!,"AAAAAE+311M=")</f>
        <v>#REF!</v>
      </c>
      <c r="CG76" t="e">
        <f>AND(#REF!,"AAAAAE+311Q=")</f>
        <v>#REF!</v>
      </c>
      <c r="CH76" t="e">
        <f>AND(#REF!,"AAAAAE+311U=")</f>
        <v>#REF!</v>
      </c>
      <c r="CI76" t="e">
        <f>AND(#REF!,"AAAAAE+311Y=")</f>
        <v>#REF!</v>
      </c>
      <c r="CJ76" t="e">
        <f>IF(#REF!,"AAAAAE+311c=",0)</f>
        <v>#REF!</v>
      </c>
      <c r="CK76" t="e">
        <f>AND(#REF!,"AAAAAE+311g=")</f>
        <v>#REF!</v>
      </c>
      <c r="CL76" t="e">
        <f>AND(#REF!,"AAAAAE+311k=")</f>
        <v>#REF!</v>
      </c>
      <c r="CM76" t="e">
        <f>AND(#REF!,"AAAAAE+311o=")</f>
        <v>#REF!</v>
      </c>
      <c r="CN76" t="e">
        <f>AND(#REF!,"AAAAAE+311s=")</f>
        <v>#REF!</v>
      </c>
      <c r="CO76" t="e">
        <f>AND(#REF!,"AAAAAE+311w=")</f>
        <v>#REF!</v>
      </c>
      <c r="CP76" t="e">
        <f>AND(#REF!,"AAAAAE+3110=")</f>
        <v>#REF!</v>
      </c>
      <c r="CQ76" t="e">
        <f>AND(#REF!,"AAAAAE+3114=")</f>
        <v>#REF!</v>
      </c>
      <c r="CR76" t="e">
        <f>AND(#REF!,"AAAAAE+3118=")</f>
        <v>#REF!</v>
      </c>
      <c r="CS76" t="e">
        <f>IF(#REF!,"AAAAAE+312A=",0)</f>
        <v>#REF!</v>
      </c>
      <c r="CT76" t="e">
        <f>AND(#REF!,"AAAAAE+312E=")</f>
        <v>#REF!</v>
      </c>
      <c r="CU76" t="e">
        <f>AND(#REF!,"AAAAAE+312I=")</f>
        <v>#REF!</v>
      </c>
      <c r="CV76" t="e">
        <f>AND(#REF!,"AAAAAE+312M=")</f>
        <v>#REF!</v>
      </c>
      <c r="CW76" t="e">
        <f>AND(#REF!,"AAAAAE+312Q=")</f>
        <v>#REF!</v>
      </c>
      <c r="CX76" t="e">
        <f>AND(#REF!,"AAAAAE+312U=")</f>
        <v>#REF!</v>
      </c>
      <c r="CY76" t="e">
        <f>AND(#REF!,"AAAAAE+312Y=")</f>
        <v>#REF!</v>
      </c>
      <c r="CZ76" t="e">
        <f>AND(#REF!,"AAAAAE+312c=")</f>
        <v>#REF!</v>
      </c>
      <c r="DA76" t="e">
        <f>AND(#REF!,"AAAAAE+312g=")</f>
        <v>#REF!</v>
      </c>
      <c r="DB76" t="e">
        <f>IF(#REF!,"AAAAAE+312k=",0)</f>
        <v>#REF!</v>
      </c>
      <c r="DC76" t="e">
        <f>AND(#REF!,"AAAAAE+312o=")</f>
        <v>#REF!</v>
      </c>
      <c r="DD76" t="e">
        <f>AND(#REF!,"AAAAAE+312s=")</f>
        <v>#REF!</v>
      </c>
      <c r="DE76" t="e">
        <f>AND(#REF!,"AAAAAE+312w=")</f>
        <v>#REF!</v>
      </c>
      <c r="DF76" t="e">
        <f>AND(#REF!,"AAAAAE+3120=")</f>
        <v>#REF!</v>
      </c>
      <c r="DG76" t="e">
        <f>AND(#REF!,"AAAAAE+3124=")</f>
        <v>#REF!</v>
      </c>
      <c r="DH76" t="e">
        <f>AND(#REF!,"AAAAAE+3128=")</f>
        <v>#REF!</v>
      </c>
      <c r="DI76" t="e">
        <f>AND(#REF!,"AAAAAE+313A=")</f>
        <v>#REF!</v>
      </c>
      <c r="DJ76" t="e">
        <f>AND(#REF!,"AAAAAE+313E=")</f>
        <v>#REF!</v>
      </c>
      <c r="DK76" t="e">
        <f>IF(#REF!,"AAAAAE+313I=",0)</f>
        <v>#REF!</v>
      </c>
      <c r="DL76" t="e">
        <f>AND(#REF!,"AAAAAE+313M=")</f>
        <v>#REF!</v>
      </c>
      <c r="DM76" t="e">
        <f>AND(#REF!,"AAAAAE+313Q=")</f>
        <v>#REF!</v>
      </c>
      <c r="DN76" t="e">
        <f>AND(#REF!,"AAAAAE+313U=")</f>
        <v>#REF!</v>
      </c>
      <c r="DO76" t="e">
        <f>AND(#REF!,"AAAAAE+313Y=")</f>
        <v>#REF!</v>
      </c>
      <c r="DP76" t="e">
        <f>AND(#REF!,"AAAAAE+313c=")</f>
        <v>#REF!</v>
      </c>
      <c r="DQ76" t="e">
        <f>AND(#REF!,"AAAAAE+313g=")</f>
        <v>#REF!</v>
      </c>
      <c r="DR76" t="e">
        <f>AND(#REF!,"AAAAAE+313k=")</f>
        <v>#REF!</v>
      </c>
      <c r="DS76" t="e">
        <f>AND(#REF!,"AAAAAE+313o=")</f>
        <v>#REF!</v>
      </c>
      <c r="DT76" t="e">
        <f>IF(#REF!,"AAAAAE+313s=",0)</f>
        <v>#REF!</v>
      </c>
      <c r="DU76" t="e">
        <f>AND(#REF!,"AAAAAE+313w=")</f>
        <v>#REF!</v>
      </c>
      <c r="DV76" t="e">
        <f>AND(#REF!,"AAAAAE+3130=")</f>
        <v>#REF!</v>
      </c>
      <c r="DW76" t="e">
        <f>AND(#REF!,"AAAAAE+3134=")</f>
        <v>#REF!</v>
      </c>
      <c r="DX76" t="e">
        <f>AND(#REF!,"AAAAAE+3138=")</f>
        <v>#REF!</v>
      </c>
      <c r="DY76" t="e">
        <f>AND(#REF!,"AAAAAE+314A=")</f>
        <v>#REF!</v>
      </c>
      <c r="DZ76" t="e">
        <f>AND(#REF!,"AAAAAE+314E=")</f>
        <v>#REF!</v>
      </c>
      <c r="EA76" t="e">
        <f>AND(#REF!,"AAAAAE+314I=")</f>
        <v>#REF!</v>
      </c>
      <c r="EB76" t="e">
        <f>AND(#REF!,"AAAAAE+314M=")</f>
        <v>#REF!</v>
      </c>
      <c r="EC76" t="e">
        <f>IF(#REF!,"AAAAAE+314Q=",0)</f>
        <v>#REF!</v>
      </c>
      <c r="ED76" t="e">
        <f>AND(#REF!,"AAAAAE+314U=")</f>
        <v>#REF!</v>
      </c>
      <c r="EE76" t="e">
        <f>AND(#REF!,"AAAAAE+314Y=")</f>
        <v>#REF!</v>
      </c>
      <c r="EF76" t="e">
        <f>AND(#REF!,"AAAAAE+314c=")</f>
        <v>#REF!</v>
      </c>
      <c r="EG76" t="e">
        <f>AND(#REF!,"AAAAAE+314g=")</f>
        <v>#REF!</v>
      </c>
      <c r="EH76" t="e">
        <f>AND(#REF!,"AAAAAE+314k=")</f>
        <v>#REF!</v>
      </c>
      <c r="EI76" t="e">
        <f>AND(#REF!,"AAAAAE+314o=")</f>
        <v>#REF!</v>
      </c>
      <c r="EJ76" t="e">
        <f>AND(#REF!,"AAAAAE+314s=")</f>
        <v>#REF!</v>
      </c>
      <c r="EK76" t="e">
        <f>AND(#REF!,"AAAAAE+314w=")</f>
        <v>#REF!</v>
      </c>
      <c r="EL76" t="e">
        <f>IF(#REF!,"AAAAAE+3140=",0)</f>
        <v>#REF!</v>
      </c>
      <c r="EM76" t="e">
        <f>AND(#REF!,"AAAAAE+3144=")</f>
        <v>#REF!</v>
      </c>
      <c r="EN76" t="e">
        <f>AND(#REF!,"AAAAAE+3148=")</f>
        <v>#REF!</v>
      </c>
      <c r="EO76" t="e">
        <f>AND(#REF!,"AAAAAE+315A=")</f>
        <v>#REF!</v>
      </c>
      <c r="EP76" t="e">
        <f>AND(#REF!,"AAAAAE+315E=")</f>
        <v>#REF!</v>
      </c>
      <c r="EQ76" t="e">
        <f>AND(#REF!,"AAAAAE+315I=")</f>
        <v>#REF!</v>
      </c>
      <c r="ER76" t="e">
        <f>AND(#REF!,"AAAAAE+315M=")</f>
        <v>#REF!</v>
      </c>
      <c r="ES76" t="e">
        <f>AND(#REF!,"AAAAAE+315Q=")</f>
        <v>#REF!</v>
      </c>
      <c r="ET76" t="e">
        <f>AND(#REF!,"AAAAAE+315U=")</f>
        <v>#REF!</v>
      </c>
      <c r="EU76" t="e">
        <f>IF(#REF!,"AAAAAE+315Y=",0)</f>
        <v>#REF!</v>
      </c>
      <c r="EV76" t="e">
        <f>AND(#REF!,"AAAAAE+315c=")</f>
        <v>#REF!</v>
      </c>
      <c r="EW76" t="e">
        <f>AND(#REF!,"AAAAAE+315g=")</f>
        <v>#REF!</v>
      </c>
      <c r="EX76" t="e">
        <f>AND(#REF!,"AAAAAE+315k=")</f>
        <v>#REF!</v>
      </c>
      <c r="EY76" t="e">
        <f>AND(#REF!,"AAAAAE+315o=")</f>
        <v>#REF!</v>
      </c>
      <c r="EZ76" t="e">
        <f>AND(#REF!,"AAAAAE+315s=")</f>
        <v>#REF!</v>
      </c>
      <c r="FA76" t="e">
        <f>AND(#REF!,"AAAAAE+315w=")</f>
        <v>#REF!</v>
      </c>
      <c r="FB76" t="e">
        <f>AND(#REF!,"AAAAAE+3150=")</f>
        <v>#REF!</v>
      </c>
      <c r="FC76" t="e">
        <f>AND(#REF!,"AAAAAE+3154=")</f>
        <v>#REF!</v>
      </c>
      <c r="FD76" t="e">
        <f>IF(#REF!,"AAAAAE+3158=",0)</f>
        <v>#REF!</v>
      </c>
      <c r="FE76" t="e">
        <f>AND(#REF!,"AAAAAE+316A=")</f>
        <v>#REF!</v>
      </c>
      <c r="FF76" t="e">
        <f>AND(#REF!,"AAAAAE+316E=")</f>
        <v>#REF!</v>
      </c>
      <c r="FG76" t="e">
        <f>AND(#REF!,"AAAAAE+316I=")</f>
        <v>#REF!</v>
      </c>
      <c r="FH76" t="e">
        <f>AND(#REF!,"AAAAAE+316M=")</f>
        <v>#REF!</v>
      </c>
      <c r="FI76" t="e">
        <f>AND(#REF!,"AAAAAE+316Q=")</f>
        <v>#REF!</v>
      </c>
      <c r="FJ76" t="e">
        <f>AND(#REF!,"AAAAAE+316U=")</f>
        <v>#REF!</v>
      </c>
      <c r="FK76" t="e">
        <f>AND(#REF!,"AAAAAE+316Y=")</f>
        <v>#REF!</v>
      </c>
      <c r="FL76" t="e">
        <f>AND(#REF!,"AAAAAE+316c=")</f>
        <v>#REF!</v>
      </c>
      <c r="FM76" t="e">
        <f>IF(#REF!,"AAAAAE+316g=",0)</f>
        <v>#REF!</v>
      </c>
      <c r="FN76" t="e">
        <f>AND(#REF!,"AAAAAE+316k=")</f>
        <v>#REF!</v>
      </c>
      <c r="FO76" t="e">
        <f>AND(#REF!,"AAAAAE+316o=")</f>
        <v>#REF!</v>
      </c>
      <c r="FP76" t="e">
        <f>AND(#REF!,"AAAAAE+316s=")</f>
        <v>#REF!</v>
      </c>
      <c r="FQ76" t="e">
        <f>AND(#REF!,"AAAAAE+316w=")</f>
        <v>#REF!</v>
      </c>
      <c r="FR76" t="e">
        <f>AND(#REF!,"AAAAAE+3160=")</f>
        <v>#REF!</v>
      </c>
      <c r="FS76" t="e">
        <f>AND(#REF!,"AAAAAE+3164=")</f>
        <v>#REF!</v>
      </c>
      <c r="FT76" t="e">
        <f>AND(#REF!,"AAAAAE+3168=")</f>
        <v>#REF!</v>
      </c>
      <c r="FU76" t="e">
        <f>AND(#REF!,"AAAAAE+317A=")</f>
        <v>#REF!</v>
      </c>
      <c r="FV76" t="e">
        <f>IF(#REF!,"AAAAAE+317E=",0)</f>
        <v>#REF!</v>
      </c>
      <c r="FW76" t="e">
        <f>AND(#REF!,"AAAAAE+317I=")</f>
        <v>#REF!</v>
      </c>
      <c r="FX76" t="e">
        <f>AND(#REF!,"AAAAAE+317M=")</f>
        <v>#REF!</v>
      </c>
      <c r="FY76" t="e">
        <f>AND(#REF!,"AAAAAE+317Q=")</f>
        <v>#REF!</v>
      </c>
      <c r="FZ76" t="e">
        <f>AND(#REF!,"AAAAAE+317U=")</f>
        <v>#REF!</v>
      </c>
      <c r="GA76" t="e">
        <f>AND(#REF!,"AAAAAE+317Y=")</f>
        <v>#REF!</v>
      </c>
      <c r="GB76" t="e">
        <f>AND(#REF!,"AAAAAE+317c=")</f>
        <v>#REF!</v>
      </c>
      <c r="GC76" t="e">
        <f>AND(#REF!,"AAAAAE+317g=")</f>
        <v>#REF!</v>
      </c>
      <c r="GD76" t="e">
        <f>AND(#REF!,"AAAAAE+317k=")</f>
        <v>#REF!</v>
      </c>
      <c r="GE76" t="e">
        <f>IF(#REF!,"AAAAAE+317o=",0)</f>
        <v>#REF!</v>
      </c>
      <c r="GF76" t="e">
        <f>AND(#REF!,"AAAAAE+317s=")</f>
        <v>#REF!</v>
      </c>
      <c r="GG76" t="e">
        <f>AND(#REF!,"AAAAAE+317w=")</f>
        <v>#REF!</v>
      </c>
      <c r="GH76" t="e">
        <f>AND(#REF!,"AAAAAE+3170=")</f>
        <v>#REF!</v>
      </c>
      <c r="GI76" t="e">
        <f>AND(#REF!,"AAAAAE+3174=")</f>
        <v>#REF!</v>
      </c>
      <c r="GJ76" t="e">
        <f>AND(#REF!,"AAAAAE+3178=")</f>
        <v>#REF!</v>
      </c>
      <c r="GK76" t="e">
        <f>AND(#REF!,"AAAAAE+318A=")</f>
        <v>#REF!</v>
      </c>
      <c r="GL76" t="e">
        <f>AND(#REF!,"AAAAAE+318E=")</f>
        <v>#REF!</v>
      </c>
      <c r="GM76" t="e">
        <f>AND(#REF!,"AAAAAE+318I=")</f>
        <v>#REF!</v>
      </c>
      <c r="GN76" t="e">
        <f>IF(#REF!,"AAAAAE+318M=",0)</f>
        <v>#REF!</v>
      </c>
      <c r="GO76" t="e">
        <f>AND(#REF!,"AAAAAE+318Q=")</f>
        <v>#REF!</v>
      </c>
      <c r="GP76" t="e">
        <f>AND(#REF!,"AAAAAE+318U=")</f>
        <v>#REF!</v>
      </c>
      <c r="GQ76" t="e">
        <f>AND(#REF!,"AAAAAE+318Y=")</f>
        <v>#REF!</v>
      </c>
      <c r="GR76" t="e">
        <f>AND(#REF!,"AAAAAE+318c=")</f>
        <v>#REF!</v>
      </c>
      <c r="GS76" t="e">
        <f>AND(#REF!,"AAAAAE+318g=")</f>
        <v>#REF!</v>
      </c>
      <c r="GT76" t="e">
        <f>AND(#REF!,"AAAAAE+318k=")</f>
        <v>#REF!</v>
      </c>
      <c r="GU76" t="e">
        <f>AND(#REF!,"AAAAAE+318o=")</f>
        <v>#REF!</v>
      </c>
      <c r="GV76" t="e">
        <f>AND(#REF!,"AAAAAE+318s=")</f>
        <v>#REF!</v>
      </c>
      <c r="GW76" t="e">
        <f>IF(#REF!,"AAAAAE+318w=",0)</f>
        <v>#REF!</v>
      </c>
      <c r="GX76" t="e">
        <f>AND(#REF!,"AAAAAE+3180=")</f>
        <v>#REF!</v>
      </c>
      <c r="GY76" t="e">
        <f>AND(#REF!,"AAAAAE+3184=")</f>
        <v>#REF!</v>
      </c>
      <c r="GZ76" t="e">
        <f>AND(#REF!,"AAAAAE+3188=")</f>
        <v>#REF!</v>
      </c>
      <c r="HA76" t="e">
        <f>AND(#REF!,"AAAAAE+319A=")</f>
        <v>#REF!</v>
      </c>
      <c r="HB76" t="e">
        <f>AND(#REF!,"AAAAAE+319E=")</f>
        <v>#REF!</v>
      </c>
      <c r="HC76" t="e">
        <f>AND(#REF!,"AAAAAE+319I=")</f>
        <v>#REF!</v>
      </c>
      <c r="HD76" t="e">
        <f>AND(#REF!,"AAAAAE+319M=")</f>
        <v>#REF!</v>
      </c>
      <c r="HE76" t="e">
        <f>AND(#REF!,"AAAAAE+319Q=")</f>
        <v>#REF!</v>
      </c>
      <c r="HF76" t="e">
        <f>IF(#REF!,"AAAAAE+319U=",0)</f>
        <v>#REF!</v>
      </c>
      <c r="HG76" t="e">
        <f>AND(#REF!,"AAAAAE+319Y=")</f>
        <v>#REF!</v>
      </c>
      <c r="HH76" t="e">
        <f>AND(#REF!,"AAAAAE+319c=")</f>
        <v>#REF!</v>
      </c>
      <c r="HI76" t="e">
        <f>AND(#REF!,"AAAAAE+319g=")</f>
        <v>#REF!</v>
      </c>
      <c r="HJ76" t="e">
        <f>AND(#REF!,"AAAAAE+319k=")</f>
        <v>#REF!</v>
      </c>
      <c r="HK76" t="e">
        <f>AND(#REF!,"AAAAAE+319o=")</f>
        <v>#REF!</v>
      </c>
      <c r="HL76" t="e">
        <f>AND(#REF!,"AAAAAE+319s=")</f>
        <v>#REF!</v>
      </c>
      <c r="HM76" t="e">
        <f>AND(#REF!,"AAAAAE+319w=")</f>
        <v>#REF!</v>
      </c>
      <c r="HN76" t="e">
        <f>AND(#REF!,"AAAAAE+3190=")</f>
        <v>#REF!</v>
      </c>
      <c r="HO76" t="e">
        <f>IF(#REF!,"AAAAAE+3194=",0)</f>
        <v>#REF!</v>
      </c>
      <c r="HP76" t="e">
        <f>AND(#REF!,"AAAAAE+3198=")</f>
        <v>#REF!</v>
      </c>
      <c r="HQ76" t="e">
        <f>AND(#REF!,"AAAAAE+31+A=")</f>
        <v>#REF!</v>
      </c>
      <c r="HR76" t="e">
        <f>AND(#REF!,"AAAAAE+31+E=")</f>
        <v>#REF!</v>
      </c>
      <c r="HS76" t="e">
        <f>AND(#REF!,"AAAAAE+31+I=")</f>
        <v>#REF!</v>
      </c>
      <c r="HT76" t="e">
        <f>AND(#REF!,"AAAAAE+31+M=")</f>
        <v>#REF!</v>
      </c>
      <c r="HU76" t="e">
        <f>AND(#REF!,"AAAAAE+31+Q=")</f>
        <v>#REF!</v>
      </c>
      <c r="HV76" t="e">
        <f>AND(#REF!,"AAAAAE+31+U=")</f>
        <v>#REF!</v>
      </c>
      <c r="HW76" t="e">
        <f>AND(#REF!,"AAAAAE+31+Y=")</f>
        <v>#REF!</v>
      </c>
      <c r="HX76" t="e">
        <f>IF(#REF!,"AAAAAE+31+c=",0)</f>
        <v>#REF!</v>
      </c>
      <c r="HY76" t="e">
        <f>AND(#REF!,"AAAAAE+31+g=")</f>
        <v>#REF!</v>
      </c>
      <c r="HZ76" t="e">
        <f>AND(#REF!,"AAAAAE+31+k=")</f>
        <v>#REF!</v>
      </c>
      <c r="IA76" t="e">
        <f>AND(#REF!,"AAAAAE+31+o=")</f>
        <v>#REF!</v>
      </c>
      <c r="IB76" t="e">
        <f>AND(#REF!,"AAAAAE+31+s=")</f>
        <v>#REF!</v>
      </c>
      <c r="IC76" t="e">
        <f>AND(#REF!,"AAAAAE+31+w=")</f>
        <v>#REF!</v>
      </c>
      <c r="ID76" t="e">
        <f>AND(#REF!,"AAAAAE+31+0=")</f>
        <v>#REF!</v>
      </c>
      <c r="IE76" t="e">
        <f>AND(#REF!,"AAAAAE+31+4=")</f>
        <v>#REF!</v>
      </c>
      <c r="IF76" t="e">
        <f>AND(#REF!,"AAAAAE+31+8=")</f>
        <v>#REF!</v>
      </c>
      <c r="IG76" t="e">
        <f>IF(#REF!,"AAAAAE+31/A=",0)</f>
        <v>#REF!</v>
      </c>
      <c r="IH76" t="e">
        <f>AND(#REF!,"AAAAAE+31/E=")</f>
        <v>#REF!</v>
      </c>
      <c r="II76" t="e">
        <f>AND(#REF!,"AAAAAE+31/I=")</f>
        <v>#REF!</v>
      </c>
      <c r="IJ76" t="e">
        <f>AND(#REF!,"AAAAAE+31/M=")</f>
        <v>#REF!</v>
      </c>
      <c r="IK76" t="e">
        <f>AND(#REF!,"AAAAAE+31/Q=")</f>
        <v>#REF!</v>
      </c>
      <c r="IL76" t="e">
        <f>AND(#REF!,"AAAAAE+31/U=")</f>
        <v>#REF!</v>
      </c>
      <c r="IM76" t="e">
        <f>AND(#REF!,"AAAAAE+31/Y=")</f>
        <v>#REF!</v>
      </c>
      <c r="IN76" t="e">
        <f>AND(#REF!,"AAAAAE+31/c=")</f>
        <v>#REF!</v>
      </c>
      <c r="IO76" t="e">
        <f>AND(#REF!,"AAAAAE+31/g=")</f>
        <v>#REF!</v>
      </c>
      <c r="IP76" t="e">
        <f>IF(#REF!,"AAAAAE+31/k=",0)</f>
        <v>#REF!</v>
      </c>
      <c r="IQ76" t="e">
        <f>AND(#REF!,"AAAAAE+31/o=")</f>
        <v>#REF!</v>
      </c>
      <c r="IR76" t="e">
        <f>AND(#REF!,"AAAAAE+31/s=")</f>
        <v>#REF!</v>
      </c>
      <c r="IS76" t="e">
        <f>AND(#REF!,"AAAAAE+31/w=")</f>
        <v>#REF!</v>
      </c>
      <c r="IT76" t="e">
        <f>AND(#REF!,"AAAAAE+31/0=")</f>
        <v>#REF!</v>
      </c>
      <c r="IU76" t="e">
        <f>AND(#REF!,"AAAAAE+31/4=")</f>
        <v>#REF!</v>
      </c>
      <c r="IV76" t="e">
        <f>AND(#REF!,"AAAAAE+31/8=")</f>
        <v>#REF!</v>
      </c>
    </row>
    <row r="77" spans="1:256" x14ac:dyDescent="0.25">
      <c r="A77" t="e">
        <f>AND(#REF!,"AAAAACn/vwA=")</f>
        <v>#REF!</v>
      </c>
      <c r="B77" t="e">
        <f>AND(#REF!,"AAAAACn/vwE=")</f>
        <v>#REF!</v>
      </c>
      <c r="C77" t="e">
        <f>IF(#REF!,"AAAAACn/vwI=",0)</f>
        <v>#REF!</v>
      </c>
      <c r="D77" t="e">
        <f>AND(#REF!,"AAAAACn/vwM=")</f>
        <v>#REF!</v>
      </c>
      <c r="E77" t="e">
        <f>AND(#REF!,"AAAAACn/vwQ=")</f>
        <v>#REF!</v>
      </c>
      <c r="F77" t="e">
        <f>AND(#REF!,"AAAAACn/vwU=")</f>
        <v>#REF!</v>
      </c>
      <c r="G77" t="e">
        <f>AND(#REF!,"AAAAACn/vwY=")</f>
        <v>#REF!</v>
      </c>
      <c r="H77" t="e">
        <f>AND(#REF!,"AAAAACn/vwc=")</f>
        <v>#REF!</v>
      </c>
      <c r="I77" t="e">
        <f>AND(#REF!,"AAAAACn/vwg=")</f>
        <v>#REF!</v>
      </c>
      <c r="J77" t="e">
        <f>AND(#REF!,"AAAAACn/vwk=")</f>
        <v>#REF!</v>
      </c>
      <c r="K77" t="e">
        <f>AND(#REF!,"AAAAACn/vwo=")</f>
        <v>#REF!</v>
      </c>
      <c r="L77" t="e">
        <f>IF(#REF!,"AAAAACn/vws=",0)</f>
        <v>#REF!</v>
      </c>
      <c r="M77" t="e">
        <f>AND(#REF!,"AAAAACn/vww=")</f>
        <v>#REF!</v>
      </c>
      <c r="N77" t="e">
        <f>AND(#REF!,"AAAAACn/vw0=")</f>
        <v>#REF!</v>
      </c>
      <c r="O77" t="e">
        <f>AND(#REF!,"AAAAACn/vw4=")</f>
        <v>#REF!</v>
      </c>
      <c r="P77" t="e">
        <f>AND(#REF!,"AAAAACn/vw8=")</f>
        <v>#REF!</v>
      </c>
      <c r="Q77" t="e">
        <f>AND(#REF!,"AAAAACn/vxA=")</f>
        <v>#REF!</v>
      </c>
      <c r="R77" t="e">
        <f>AND(#REF!,"AAAAACn/vxE=")</f>
        <v>#REF!</v>
      </c>
      <c r="S77" t="e">
        <f>AND(#REF!,"AAAAACn/vxI=")</f>
        <v>#REF!</v>
      </c>
      <c r="T77" t="e">
        <f>AND(#REF!,"AAAAACn/vxM=")</f>
        <v>#REF!</v>
      </c>
      <c r="U77" t="e">
        <f>IF(#REF!,"AAAAACn/vxQ=",0)</f>
        <v>#REF!</v>
      </c>
      <c r="V77" t="e">
        <f>AND(#REF!,"AAAAACn/vxU=")</f>
        <v>#REF!</v>
      </c>
      <c r="W77" t="e">
        <f>AND(#REF!,"AAAAACn/vxY=")</f>
        <v>#REF!</v>
      </c>
      <c r="X77" t="e">
        <f>AND(#REF!,"AAAAACn/vxc=")</f>
        <v>#REF!</v>
      </c>
      <c r="Y77" t="e">
        <f>AND(#REF!,"AAAAACn/vxg=")</f>
        <v>#REF!</v>
      </c>
      <c r="Z77" t="e">
        <f>AND(#REF!,"AAAAACn/vxk=")</f>
        <v>#REF!</v>
      </c>
      <c r="AA77" t="e">
        <f>AND(#REF!,"AAAAACn/vxo=")</f>
        <v>#REF!</v>
      </c>
      <c r="AB77" t="e">
        <f>AND(#REF!,"AAAAACn/vxs=")</f>
        <v>#REF!</v>
      </c>
      <c r="AC77" t="e">
        <f>AND(#REF!,"AAAAACn/vxw=")</f>
        <v>#REF!</v>
      </c>
      <c r="AD77" t="e">
        <f>IF(#REF!,"AAAAACn/vx0=",0)</f>
        <v>#REF!</v>
      </c>
      <c r="AE77" t="e">
        <f>AND(#REF!,"AAAAACn/vx4=")</f>
        <v>#REF!</v>
      </c>
      <c r="AF77" t="e">
        <f>AND(#REF!,"AAAAACn/vx8=")</f>
        <v>#REF!</v>
      </c>
      <c r="AG77" t="e">
        <f>AND(#REF!,"AAAAACn/vyA=")</f>
        <v>#REF!</v>
      </c>
      <c r="AH77" t="e">
        <f>AND(#REF!,"AAAAACn/vyE=")</f>
        <v>#REF!</v>
      </c>
      <c r="AI77" t="e">
        <f>AND(#REF!,"AAAAACn/vyI=")</f>
        <v>#REF!</v>
      </c>
      <c r="AJ77" t="e">
        <f>AND(#REF!,"AAAAACn/vyM=")</f>
        <v>#REF!</v>
      </c>
      <c r="AK77" t="e">
        <f>AND(#REF!,"AAAAACn/vyQ=")</f>
        <v>#REF!</v>
      </c>
      <c r="AL77" t="e">
        <f>AND(#REF!,"AAAAACn/vyU=")</f>
        <v>#REF!</v>
      </c>
      <c r="AM77" t="e">
        <f>IF(#REF!,"AAAAACn/vyY=",0)</f>
        <v>#REF!</v>
      </c>
      <c r="AN77" t="e">
        <f>AND(#REF!,"AAAAACn/vyc=")</f>
        <v>#REF!</v>
      </c>
      <c r="AO77" t="e">
        <f>AND(#REF!,"AAAAACn/vyg=")</f>
        <v>#REF!</v>
      </c>
      <c r="AP77" t="e">
        <f>AND(#REF!,"AAAAACn/vyk=")</f>
        <v>#REF!</v>
      </c>
      <c r="AQ77" t="e">
        <f>AND(#REF!,"AAAAACn/vyo=")</f>
        <v>#REF!</v>
      </c>
      <c r="AR77" t="e">
        <f>AND(#REF!,"AAAAACn/vys=")</f>
        <v>#REF!</v>
      </c>
      <c r="AS77" t="e">
        <f>AND(#REF!,"AAAAACn/vyw=")</f>
        <v>#REF!</v>
      </c>
      <c r="AT77" t="e">
        <f>AND(#REF!,"AAAAACn/vy0=")</f>
        <v>#REF!</v>
      </c>
      <c r="AU77" t="e">
        <f>AND(#REF!,"AAAAACn/vy4=")</f>
        <v>#REF!</v>
      </c>
      <c r="AV77" t="e">
        <f>IF(#REF!,"AAAAACn/vy8=",0)</f>
        <v>#REF!</v>
      </c>
      <c r="AW77" t="e">
        <f>AND(#REF!,"AAAAACn/vzA=")</f>
        <v>#REF!</v>
      </c>
      <c r="AX77" t="e">
        <f>AND(#REF!,"AAAAACn/vzE=")</f>
        <v>#REF!</v>
      </c>
      <c r="AY77" t="e">
        <f>AND(#REF!,"AAAAACn/vzI=")</f>
        <v>#REF!</v>
      </c>
      <c r="AZ77" t="e">
        <f>AND(#REF!,"AAAAACn/vzM=")</f>
        <v>#REF!</v>
      </c>
      <c r="BA77" t="e">
        <f>AND(#REF!,"AAAAACn/vzQ=")</f>
        <v>#REF!</v>
      </c>
      <c r="BB77" t="e">
        <f>AND(#REF!,"AAAAACn/vzU=")</f>
        <v>#REF!</v>
      </c>
      <c r="BC77" t="e">
        <f>AND(#REF!,"AAAAACn/vzY=")</f>
        <v>#REF!</v>
      </c>
      <c r="BD77" t="e">
        <f>AND(#REF!,"AAAAACn/vzc=")</f>
        <v>#REF!</v>
      </c>
      <c r="BE77" t="e">
        <f>IF(#REF!,"AAAAACn/vzg=",0)</f>
        <v>#REF!</v>
      </c>
      <c r="BF77" t="e">
        <f>AND(#REF!,"AAAAACn/vzk=")</f>
        <v>#REF!</v>
      </c>
      <c r="BG77" t="e">
        <f>AND(#REF!,"AAAAACn/vzo=")</f>
        <v>#REF!</v>
      </c>
      <c r="BH77" t="e">
        <f>AND(#REF!,"AAAAACn/vzs=")</f>
        <v>#REF!</v>
      </c>
      <c r="BI77" t="e">
        <f>AND(#REF!,"AAAAACn/vzw=")</f>
        <v>#REF!</v>
      </c>
      <c r="BJ77" t="e">
        <f>AND(#REF!,"AAAAACn/vz0=")</f>
        <v>#REF!</v>
      </c>
      <c r="BK77" t="e">
        <f>AND(#REF!,"AAAAACn/vz4=")</f>
        <v>#REF!</v>
      </c>
      <c r="BL77" t="e">
        <f>AND(#REF!,"AAAAACn/vz8=")</f>
        <v>#REF!</v>
      </c>
      <c r="BM77" t="e">
        <f>AND(#REF!,"AAAAACn/v0A=")</f>
        <v>#REF!</v>
      </c>
      <c r="BN77" t="e">
        <f>IF(#REF!,"AAAAACn/v0E=",0)</f>
        <v>#REF!</v>
      </c>
      <c r="BO77" t="e">
        <f>AND(#REF!,"AAAAACn/v0I=")</f>
        <v>#REF!</v>
      </c>
      <c r="BP77" t="e">
        <f>AND(#REF!,"AAAAACn/v0M=")</f>
        <v>#REF!</v>
      </c>
      <c r="BQ77" t="e">
        <f>AND(#REF!,"AAAAACn/v0Q=")</f>
        <v>#REF!</v>
      </c>
      <c r="BR77" t="e">
        <f>AND(#REF!,"AAAAACn/v0U=")</f>
        <v>#REF!</v>
      </c>
      <c r="BS77" t="e">
        <f>AND(#REF!,"AAAAACn/v0Y=")</f>
        <v>#REF!</v>
      </c>
      <c r="BT77" t="e">
        <f>AND(#REF!,"AAAAACn/v0c=")</f>
        <v>#REF!</v>
      </c>
      <c r="BU77" t="e">
        <f>AND(#REF!,"AAAAACn/v0g=")</f>
        <v>#REF!</v>
      </c>
      <c r="BV77" t="e">
        <f>AND(#REF!,"AAAAACn/v0k=")</f>
        <v>#REF!</v>
      </c>
      <c r="BW77" t="e">
        <f>IF(#REF!,"AAAAACn/v0o=",0)</f>
        <v>#REF!</v>
      </c>
      <c r="BX77" t="e">
        <f>AND(#REF!,"AAAAACn/v0s=")</f>
        <v>#REF!</v>
      </c>
      <c r="BY77" t="e">
        <f>AND(#REF!,"AAAAACn/v0w=")</f>
        <v>#REF!</v>
      </c>
      <c r="BZ77" t="e">
        <f>AND(#REF!,"AAAAACn/v00=")</f>
        <v>#REF!</v>
      </c>
      <c r="CA77" t="e">
        <f>AND(#REF!,"AAAAACn/v04=")</f>
        <v>#REF!</v>
      </c>
      <c r="CB77" t="e">
        <f>AND(#REF!,"AAAAACn/v08=")</f>
        <v>#REF!</v>
      </c>
      <c r="CC77" t="e">
        <f>AND(#REF!,"AAAAACn/v1A=")</f>
        <v>#REF!</v>
      </c>
      <c r="CD77" t="e">
        <f>AND(#REF!,"AAAAACn/v1E=")</f>
        <v>#REF!</v>
      </c>
      <c r="CE77" t="e">
        <f>AND(#REF!,"AAAAACn/v1I=")</f>
        <v>#REF!</v>
      </c>
      <c r="CF77" t="e">
        <f>IF(#REF!,"AAAAACn/v1M=",0)</f>
        <v>#REF!</v>
      </c>
      <c r="CG77" t="e">
        <f>AND(#REF!,"AAAAACn/v1Q=")</f>
        <v>#REF!</v>
      </c>
      <c r="CH77" t="e">
        <f>AND(#REF!,"AAAAACn/v1U=")</f>
        <v>#REF!</v>
      </c>
      <c r="CI77" t="e">
        <f>AND(#REF!,"AAAAACn/v1Y=")</f>
        <v>#REF!</v>
      </c>
      <c r="CJ77" t="e">
        <f>AND(#REF!,"AAAAACn/v1c=")</f>
        <v>#REF!</v>
      </c>
      <c r="CK77" t="e">
        <f>AND(#REF!,"AAAAACn/v1g=")</f>
        <v>#REF!</v>
      </c>
      <c r="CL77" t="e">
        <f>AND(#REF!,"AAAAACn/v1k=")</f>
        <v>#REF!</v>
      </c>
      <c r="CM77" t="e">
        <f>AND(#REF!,"AAAAACn/v1o=")</f>
        <v>#REF!</v>
      </c>
      <c r="CN77" t="e">
        <f>AND(#REF!,"AAAAACn/v1s=")</f>
        <v>#REF!</v>
      </c>
      <c r="CO77" t="e">
        <f>IF(#REF!,"AAAAACn/v1w=",0)</f>
        <v>#REF!</v>
      </c>
      <c r="CP77" t="e">
        <f>AND(#REF!,"AAAAACn/v10=")</f>
        <v>#REF!</v>
      </c>
      <c r="CQ77" t="e">
        <f>AND(#REF!,"AAAAACn/v14=")</f>
        <v>#REF!</v>
      </c>
      <c r="CR77" t="e">
        <f>AND(#REF!,"AAAAACn/v18=")</f>
        <v>#REF!</v>
      </c>
      <c r="CS77" t="e">
        <f>AND(#REF!,"AAAAACn/v2A=")</f>
        <v>#REF!</v>
      </c>
      <c r="CT77" t="e">
        <f>AND(#REF!,"AAAAACn/v2E=")</f>
        <v>#REF!</v>
      </c>
      <c r="CU77" t="e">
        <f>AND(#REF!,"AAAAACn/v2I=")</f>
        <v>#REF!</v>
      </c>
      <c r="CV77" t="e">
        <f>AND(#REF!,"AAAAACn/v2M=")</f>
        <v>#REF!</v>
      </c>
      <c r="CW77" t="e">
        <f>AND(#REF!,"AAAAACn/v2Q=")</f>
        <v>#REF!</v>
      </c>
      <c r="CX77" t="e">
        <f>IF(#REF!,"AAAAACn/v2U=",0)</f>
        <v>#REF!</v>
      </c>
      <c r="CY77" t="e">
        <f>AND(#REF!,"AAAAACn/v2Y=")</f>
        <v>#REF!</v>
      </c>
      <c r="CZ77" t="e">
        <f>AND(#REF!,"AAAAACn/v2c=")</f>
        <v>#REF!</v>
      </c>
      <c r="DA77" t="e">
        <f>AND(#REF!,"AAAAACn/v2g=")</f>
        <v>#REF!</v>
      </c>
      <c r="DB77" t="e">
        <f>AND(#REF!,"AAAAACn/v2k=")</f>
        <v>#REF!</v>
      </c>
      <c r="DC77" t="e">
        <f>AND(#REF!,"AAAAACn/v2o=")</f>
        <v>#REF!</v>
      </c>
      <c r="DD77" t="e">
        <f>AND(#REF!,"AAAAACn/v2s=")</f>
        <v>#REF!</v>
      </c>
      <c r="DE77" t="e">
        <f>AND(#REF!,"AAAAACn/v2w=")</f>
        <v>#REF!</v>
      </c>
      <c r="DF77" t="e">
        <f>AND(#REF!,"AAAAACn/v20=")</f>
        <v>#REF!</v>
      </c>
      <c r="DG77" t="e">
        <f>IF(#REF!,"AAAAACn/v24=",0)</f>
        <v>#REF!</v>
      </c>
      <c r="DH77" t="e">
        <f>AND(#REF!,"AAAAACn/v28=")</f>
        <v>#REF!</v>
      </c>
      <c r="DI77" t="e">
        <f>AND(#REF!,"AAAAACn/v3A=")</f>
        <v>#REF!</v>
      </c>
      <c r="DJ77" t="e">
        <f>AND(#REF!,"AAAAACn/v3E=")</f>
        <v>#REF!</v>
      </c>
      <c r="DK77" t="e">
        <f>AND(#REF!,"AAAAACn/v3I=")</f>
        <v>#REF!</v>
      </c>
      <c r="DL77" t="e">
        <f>AND(#REF!,"AAAAACn/v3M=")</f>
        <v>#REF!</v>
      </c>
      <c r="DM77" t="e">
        <f>AND(#REF!,"AAAAACn/v3Q=")</f>
        <v>#REF!</v>
      </c>
      <c r="DN77" t="e">
        <f>AND(#REF!,"AAAAACn/v3U=")</f>
        <v>#REF!</v>
      </c>
      <c r="DO77" t="e">
        <f>AND(#REF!,"AAAAACn/v3Y=")</f>
        <v>#REF!</v>
      </c>
      <c r="DP77" t="e">
        <f>IF(#REF!,"AAAAACn/v3c=",0)</f>
        <v>#REF!</v>
      </c>
      <c r="DQ77" t="e">
        <f>AND(#REF!,"AAAAACn/v3g=")</f>
        <v>#REF!</v>
      </c>
      <c r="DR77" t="e">
        <f>AND(#REF!,"AAAAACn/v3k=")</f>
        <v>#REF!</v>
      </c>
      <c r="DS77" t="e">
        <f>AND(#REF!,"AAAAACn/v3o=")</f>
        <v>#REF!</v>
      </c>
      <c r="DT77" t="e">
        <f>AND(#REF!,"AAAAACn/v3s=")</f>
        <v>#REF!</v>
      </c>
      <c r="DU77" t="e">
        <f>AND(#REF!,"AAAAACn/v3w=")</f>
        <v>#REF!</v>
      </c>
      <c r="DV77" t="e">
        <f>AND(#REF!,"AAAAACn/v30=")</f>
        <v>#REF!</v>
      </c>
      <c r="DW77" t="e">
        <f>AND(#REF!,"AAAAACn/v34=")</f>
        <v>#REF!</v>
      </c>
      <c r="DX77" t="e">
        <f>AND(#REF!,"AAAAACn/v38=")</f>
        <v>#REF!</v>
      </c>
      <c r="DY77" t="e">
        <f>IF(#REF!,"AAAAACn/v4A=",0)</f>
        <v>#REF!</v>
      </c>
      <c r="DZ77" t="e">
        <f>AND(#REF!,"AAAAACn/v4E=")</f>
        <v>#REF!</v>
      </c>
      <c r="EA77" t="e">
        <f>AND(#REF!,"AAAAACn/v4I=")</f>
        <v>#REF!</v>
      </c>
      <c r="EB77" t="e">
        <f>AND(#REF!,"AAAAACn/v4M=")</f>
        <v>#REF!</v>
      </c>
      <c r="EC77" t="e">
        <f>AND(#REF!,"AAAAACn/v4Q=")</f>
        <v>#REF!</v>
      </c>
      <c r="ED77" t="e">
        <f>AND(#REF!,"AAAAACn/v4U=")</f>
        <v>#REF!</v>
      </c>
      <c r="EE77" t="e">
        <f>AND(#REF!,"AAAAACn/v4Y=")</f>
        <v>#REF!</v>
      </c>
      <c r="EF77" t="e">
        <f>AND(#REF!,"AAAAACn/v4c=")</f>
        <v>#REF!</v>
      </c>
      <c r="EG77" t="e">
        <f>AND(#REF!,"AAAAACn/v4g=")</f>
        <v>#REF!</v>
      </c>
      <c r="EH77" t="e">
        <f>IF(#REF!,"AAAAACn/v4k=",0)</f>
        <v>#REF!</v>
      </c>
      <c r="EI77" t="e">
        <f>AND(#REF!,"AAAAACn/v4o=")</f>
        <v>#REF!</v>
      </c>
      <c r="EJ77" t="e">
        <f>AND(#REF!,"AAAAACn/v4s=")</f>
        <v>#REF!</v>
      </c>
      <c r="EK77" t="e">
        <f>AND(#REF!,"AAAAACn/v4w=")</f>
        <v>#REF!</v>
      </c>
      <c r="EL77" t="e">
        <f>AND(#REF!,"AAAAACn/v40=")</f>
        <v>#REF!</v>
      </c>
      <c r="EM77" t="e">
        <f>AND(#REF!,"AAAAACn/v44=")</f>
        <v>#REF!</v>
      </c>
      <c r="EN77" t="e">
        <f>AND(#REF!,"AAAAACn/v48=")</f>
        <v>#REF!</v>
      </c>
      <c r="EO77" t="e">
        <f>AND(#REF!,"AAAAACn/v5A=")</f>
        <v>#REF!</v>
      </c>
      <c r="EP77" t="e">
        <f>AND(#REF!,"AAAAACn/v5E=")</f>
        <v>#REF!</v>
      </c>
      <c r="EQ77" t="e">
        <f>IF(#REF!,"AAAAACn/v5I=",0)</f>
        <v>#REF!</v>
      </c>
      <c r="ER77" t="e">
        <f>AND(#REF!,"AAAAACn/v5M=")</f>
        <v>#REF!</v>
      </c>
      <c r="ES77" t="e">
        <f>AND(#REF!,"AAAAACn/v5Q=")</f>
        <v>#REF!</v>
      </c>
      <c r="ET77" t="e">
        <f>AND(#REF!,"AAAAACn/v5U=")</f>
        <v>#REF!</v>
      </c>
      <c r="EU77" t="e">
        <f>AND(#REF!,"AAAAACn/v5Y=")</f>
        <v>#REF!</v>
      </c>
      <c r="EV77" t="e">
        <f>AND(#REF!,"AAAAACn/v5c=")</f>
        <v>#REF!</v>
      </c>
      <c r="EW77" t="e">
        <f>AND(#REF!,"AAAAACn/v5g=")</f>
        <v>#REF!</v>
      </c>
      <c r="EX77" t="e">
        <f>AND(#REF!,"AAAAACn/v5k=")</f>
        <v>#REF!</v>
      </c>
      <c r="EY77" t="e">
        <f>AND(#REF!,"AAAAACn/v5o=")</f>
        <v>#REF!</v>
      </c>
      <c r="EZ77" t="e">
        <f>IF(#REF!,"AAAAACn/v5s=",0)</f>
        <v>#REF!</v>
      </c>
      <c r="FA77" t="e">
        <f>AND(#REF!,"AAAAACn/v5w=")</f>
        <v>#REF!</v>
      </c>
      <c r="FB77" t="e">
        <f>AND(#REF!,"AAAAACn/v50=")</f>
        <v>#REF!</v>
      </c>
      <c r="FC77" t="e">
        <f>AND(#REF!,"AAAAACn/v54=")</f>
        <v>#REF!</v>
      </c>
      <c r="FD77" t="e">
        <f>AND(#REF!,"AAAAACn/v58=")</f>
        <v>#REF!</v>
      </c>
      <c r="FE77" t="e">
        <f>AND(#REF!,"AAAAACn/v6A=")</f>
        <v>#REF!</v>
      </c>
      <c r="FF77" t="e">
        <f>AND(#REF!,"AAAAACn/v6E=")</f>
        <v>#REF!</v>
      </c>
      <c r="FG77" t="e">
        <f>AND(#REF!,"AAAAACn/v6I=")</f>
        <v>#REF!</v>
      </c>
      <c r="FH77" t="e">
        <f>AND(#REF!,"AAAAACn/v6M=")</f>
        <v>#REF!</v>
      </c>
      <c r="FI77" t="e">
        <f>IF(#REF!,"AAAAACn/v6Q=",0)</f>
        <v>#REF!</v>
      </c>
      <c r="FJ77" t="e">
        <f>AND(#REF!,"AAAAACn/v6U=")</f>
        <v>#REF!</v>
      </c>
      <c r="FK77" t="e">
        <f>AND(#REF!,"AAAAACn/v6Y=")</f>
        <v>#REF!</v>
      </c>
      <c r="FL77" t="e">
        <f>AND(#REF!,"AAAAACn/v6c=")</f>
        <v>#REF!</v>
      </c>
      <c r="FM77" t="e">
        <f>AND(#REF!,"AAAAACn/v6g=")</f>
        <v>#REF!</v>
      </c>
      <c r="FN77" t="e">
        <f>AND(#REF!,"AAAAACn/v6k=")</f>
        <v>#REF!</v>
      </c>
      <c r="FO77" t="e">
        <f>AND(#REF!,"AAAAACn/v6o=")</f>
        <v>#REF!</v>
      </c>
      <c r="FP77" t="e">
        <f>AND(#REF!,"AAAAACn/v6s=")</f>
        <v>#REF!</v>
      </c>
      <c r="FQ77" t="e">
        <f>AND(#REF!,"AAAAACn/v6w=")</f>
        <v>#REF!</v>
      </c>
      <c r="FR77" t="e">
        <f>IF(#REF!,"AAAAACn/v60=",0)</f>
        <v>#REF!</v>
      </c>
      <c r="FS77" t="e">
        <f>AND(#REF!,"AAAAACn/v64=")</f>
        <v>#REF!</v>
      </c>
      <c r="FT77" t="e">
        <f>AND(#REF!,"AAAAACn/v68=")</f>
        <v>#REF!</v>
      </c>
      <c r="FU77" t="e">
        <f>AND(#REF!,"AAAAACn/v7A=")</f>
        <v>#REF!</v>
      </c>
      <c r="FV77" t="e">
        <f>AND(#REF!,"AAAAACn/v7E=")</f>
        <v>#REF!</v>
      </c>
      <c r="FW77" t="e">
        <f>AND(#REF!,"AAAAACn/v7I=")</f>
        <v>#REF!</v>
      </c>
      <c r="FX77" t="e">
        <f>AND(#REF!,"AAAAACn/v7M=")</f>
        <v>#REF!</v>
      </c>
      <c r="FY77" t="e">
        <f>AND(#REF!,"AAAAACn/v7Q=")</f>
        <v>#REF!</v>
      </c>
      <c r="FZ77" t="e">
        <f>AND(#REF!,"AAAAACn/v7U=")</f>
        <v>#REF!</v>
      </c>
      <c r="GA77" t="e">
        <f>IF(#REF!,"AAAAACn/v7Y=",0)</f>
        <v>#REF!</v>
      </c>
      <c r="GB77" t="e">
        <f>AND(#REF!,"AAAAACn/v7c=")</f>
        <v>#REF!</v>
      </c>
      <c r="GC77" t="e">
        <f>AND(#REF!,"AAAAACn/v7g=")</f>
        <v>#REF!</v>
      </c>
      <c r="GD77" t="e">
        <f>AND(#REF!,"AAAAACn/v7k=")</f>
        <v>#REF!</v>
      </c>
      <c r="GE77" t="e">
        <f>AND(#REF!,"AAAAACn/v7o=")</f>
        <v>#REF!</v>
      </c>
      <c r="GF77" t="e">
        <f>AND(#REF!,"AAAAACn/v7s=")</f>
        <v>#REF!</v>
      </c>
      <c r="GG77" t="e">
        <f>AND(#REF!,"AAAAACn/v7w=")</f>
        <v>#REF!</v>
      </c>
      <c r="GH77" t="e">
        <f>AND(#REF!,"AAAAACn/v70=")</f>
        <v>#REF!</v>
      </c>
      <c r="GI77" t="e">
        <f>AND(#REF!,"AAAAACn/v74=")</f>
        <v>#REF!</v>
      </c>
      <c r="GJ77" t="e">
        <f>IF(#REF!,"AAAAACn/v78=",0)</f>
        <v>#REF!</v>
      </c>
      <c r="GK77" t="e">
        <f>AND(#REF!,"AAAAACn/v8A=")</f>
        <v>#REF!</v>
      </c>
      <c r="GL77" t="e">
        <f>AND(#REF!,"AAAAACn/v8E=")</f>
        <v>#REF!</v>
      </c>
      <c r="GM77" t="e">
        <f>AND(#REF!,"AAAAACn/v8I=")</f>
        <v>#REF!</v>
      </c>
      <c r="GN77" t="e">
        <f>AND(#REF!,"AAAAACn/v8M=")</f>
        <v>#REF!</v>
      </c>
      <c r="GO77" t="e">
        <f>AND(#REF!,"AAAAACn/v8Q=")</f>
        <v>#REF!</v>
      </c>
      <c r="GP77" t="e">
        <f>AND(#REF!,"AAAAACn/v8U=")</f>
        <v>#REF!</v>
      </c>
      <c r="GQ77" t="e">
        <f>AND(#REF!,"AAAAACn/v8Y=")</f>
        <v>#REF!</v>
      </c>
      <c r="GR77" t="e">
        <f>AND(#REF!,"AAAAACn/v8c=")</f>
        <v>#REF!</v>
      </c>
      <c r="GS77" t="e">
        <f>IF(#REF!,"AAAAACn/v8g=",0)</f>
        <v>#REF!</v>
      </c>
      <c r="GT77" t="e">
        <f>AND(#REF!,"AAAAACn/v8k=")</f>
        <v>#REF!</v>
      </c>
      <c r="GU77" t="e">
        <f>AND(#REF!,"AAAAACn/v8o=")</f>
        <v>#REF!</v>
      </c>
      <c r="GV77" t="e">
        <f>AND(#REF!,"AAAAACn/v8s=")</f>
        <v>#REF!</v>
      </c>
      <c r="GW77" t="e">
        <f>AND(#REF!,"AAAAACn/v8w=")</f>
        <v>#REF!</v>
      </c>
      <c r="GX77" t="e">
        <f>AND(#REF!,"AAAAACn/v80=")</f>
        <v>#REF!</v>
      </c>
      <c r="GY77" t="e">
        <f>AND(#REF!,"AAAAACn/v84=")</f>
        <v>#REF!</v>
      </c>
      <c r="GZ77" t="e">
        <f>AND(#REF!,"AAAAACn/v88=")</f>
        <v>#REF!</v>
      </c>
      <c r="HA77" t="e">
        <f>AND(#REF!,"AAAAACn/v9A=")</f>
        <v>#REF!</v>
      </c>
      <c r="HB77" t="e">
        <f>IF(#REF!,"AAAAACn/v9E=",0)</f>
        <v>#REF!</v>
      </c>
      <c r="HC77" t="e">
        <f>AND(#REF!,"AAAAACn/v9I=")</f>
        <v>#REF!</v>
      </c>
      <c r="HD77" t="e">
        <f>AND(#REF!,"AAAAACn/v9M=")</f>
        <v>#REF!</v>
      </c>
      <c r="HE77" t="e">
        <f>AND(#REF!,"AAAAACn/v9Q=")</f>
        <v>#REF!</v>
      </c>
      <c r="HF77" t="e">
        <f>AND(#REF!,"AAAAACn/v9U=")</f>
        <v>#REF!</v>
      </c>
      <c r="HG77" t="e">
        <f>AND(#REF!,"AAAAACn/v9Y=")</f>
        <v>#REF!</v>
      </c>
      <c r="HH77" t="e">
        <f>AND(#REF!,"AAAAACn/v9c=")</f>
        <v>#REF!</v>
      </c>
      <c r="HI77" t="e">
        <f>AND(#REF!,"AAAAACn/v9g=")</f>
        <v>#REF!</v>
      </c>
      <c r="HJ77" t="e">
        <f>AND(#REF!,"AAAAACn/v9k=")</f>
        <v>#REF!</v>
      </c>
      <c r="HK77" t="e">
        <f>IF(#REF!,"AAAAACn/v9o=",0)</f>
        <v>#REF!</v>
      </c>
      <c r="HL77" t="e">
        <f>AND(#REF!,"AAAAACn/v9s=")</f>
        <v>#REF!</v>
      </c>
      <c r="HM77" t="e">
        <f>AND(#REF!,"AAAAACn/v9w=")</f>
        <v>#REF!</v>
      </c>
      <c r="HN77" t="e">
        <f>AND(#REF!,"AAAAACn/v90=")</f>
        <v>#REF!</v>
      </c>
      <c r="HO77" t="e">
        <f>AND(#REF!,"AAAAACn/v94=")</f>
        <v>#REF!</v>
      </c>
      <c r="HP77" t="e">
        <f>AND(#REF!,"AAAAACn/v98=")</f>
        <v>#REF!</v>
      </c>
      <c r="HQ77" t="e">
        <f>AND(#REF!,"AAAAACn/v+A=")</f>
        <v>#REF!</v>
      </c>
      <c r="HR77" t="e">
        <f>AND(#REF!,"AAAAACn/v+E=")</f>
        <v>#REF!</v>
      </c>
      <c r="HS77" t="e">
        <f>AND(#REF!,"AAAAACn/v+I=")</f>
        <v>#REF!</v>
      </c>
      <c r="HT77" t="e">
        <f>IF(#REF!,"AAAAACn/v+M=",0)</f>
        <v>#REF!</v>
      </c>
      <c r="HU77" t="e">
        <f>AND(#REF!,"AAAAACn/v+Q=")</f>
        <v>#REF!</v>
      </c>
      <c r="HV77" t="e">
        <f>AND(#REF!,"AAAAACn/v+U=")</f>
        <v>#REF!</v>
      </c>
      <c r="HW77" t="e">
        <f>AND(#REF!,"AAAAACn/v+Y=")</f>
        <v>#REF!</v>
      </c>
      <c r="HX77" t="e">
        <f>AND(#REF!,"AAAAACn/v+c=")</f>
        <v>#REF!</v>
      </c>
      <c r="HY77" t="e">
        <f>AND(#REF!,"AAAAACn/v+g=")</f>
        <v>#REF!</v>
      </c>
      <c r="HZ77" t="e">
        <f>AND(#REF!,"AAAAACn/v+k=")</f>
        <v>#REF!</v>
      </c>
      <c r="IA77" t="e">
        <f>AND(#REF!,"AAAAACn/v+o=")</f>
        <v>#REF!</v>
      </c>
      <c r="IB77" t="e">
        <f>AND(#REF!,"AAAAACn/v+s=")</f>
        <v>#REF!</v>
      </c>
      <c r="IC77" t="e">
        <f>IF(#REF!,"AAAAACn/v+w=",0)</f>
        <v>#REF!</v>
      </c>
      <c r="ID77" t="e">
        <f>AND(#REF!,"AAAAACn/v+0=")</f>
        <v>#REF!</v>
      </c>
      <c r="IE77" t="e">
        <f>AND(#REF!,"AAAAACn/v+4=")</f>
        <v>#REF!</v>
      </c>
      <c r="IF77" t="e">
        <f>AND(#REF!,"AAAAACn/v+8=")</f>
        <v>#REF!</v>
      </c>
      <c r="IG77" t="e">
        <f>AND(#REF!,"AAAAACn/v/A=")</f>
        <v>#REF!</v>
      </c>
      <c r="IH77" t="e">
        <f>AND(#REF!,"AAAAACn/v/E=")</f>
        <v>#REF!</v>
      </c>
      <c r="II77" t="e">
        <f>AND(#REF!,"AAAAACn/v/I=")</f>
        <v>#REF!</v>
      </c>
      <c r="IJ77" t="e">
        <f>AND(#REF!,"AAAAACn/v/M=")</f>
        <v>#REF!</v>
      </c>
      <c r="IK77" t="e">
        <f>AND(#REF!,"AAAAACn/v/Q=")</f>
        <v>#REF!</v>
      </c>
      <c r="IL77" t="e">
        <f>IF(#REF!,"AAAAACn/v/U=",0)</f>
        <v>#REF!</v>
      </c>
      <c r="IM77" t="e">
        <f>AND(#REF!,"AAAAACn/v/Y=")</f>
        <v>#REF!</v>
      </c>
      <c r="IN77" t="e">
        <f>AND(#REF!,"AAAAACn/v/c=")</f>
        <v>#REF!</v>
      </c>
      <c r="IO77" t="e">
        <f>AND(#REF!,"AAAAACn/v/g=")</f>
        <v>#REF!</v>
      </c>
      <c r="IP77" t="e">
        <f>AND(#REF!,"AAAAACn/v/k=")</f>
        <v>#REF!</v>
      </c>
      <c r="IQ77" t="e">
        <f>AND(#REF!,"AAAAACn/v/o=")</f>
        <v>#REF!</v>
      </c>
      <c r="IR77" t="e">
        <f>AND(#REF!,"AAAAACn/v/s=")</f>
        <v>#REF!</v>
      </c>
      <c r="IS77" t="e">
        <f>AND(#REF!,"AAAAACn/v/w=")</f>
        <v>#REF!</v>
      </c>
      <c r="IT77" t="e">
        <f>AND(#REF!,"AAAAACn/v/0=")</f>
        <v>#REF!</v>
      </c>
      <c r="IU77" t="e">
        <f>IF(#REF!,"AAAAACn/v/4=",0)</f>
        <v>#REF!</v>
      </c>
      <c r="IV77" t="e">
        <f>AND(#REF!,"AAAAACn/v/8=")</f>
        <v>#REF!</v>
      </c>
    </row>
    <row r="78" spans="1:256" x14ac:dyDescent="0.25">
      <c r="A78" t="e">
        <f>AND(#REF!,"AAAAAHZ/VgA=")</f>
        <v>#REF!</v>
      </c>
      <c r="B78" t="e">
        <f>AND(#REF!,"AAAAAHZ/VgE=")</f>
        <v>#REF!</v>
      </c>
      <c r="C78" t="e">
        <f>AND(#REF!,"AAAAAHZ/VgI=")</f>
        <v>#REF!</v>
      </c>
      <c r="D78" t="e">
        <f>AND(#REF!,"AAAAAHZ/VgM=")</f>
        <v>#REF!</v>
      </c>
      <c r="E78" t="e">
        <f>AND(#REF!,"AAAAAHZ/VgQ=")</f>
        <v>#REF!</v>
      </c>
      <c r="F78" t="e">
        <f>AND(#REF!,"AAAAAHZ/VgU=")</f>
        <v>#REF!</v>
      </c>
      <c r="G78" t="e">
        <f>AND(#REF!,"AAAAAHZ/VgY=")</f>
        <v>#REF!</v>
      </c>
      <c r="H78" t="e">
        <f>IF(#REF!,"AAAAAHZ/Vgc=",0)</f>
        <v>#REF!</v>
      </c>
      <c r="I78" t="e">
        <f>AND(#REF!,"AAAAAHZ/Vgg=")</f>
        <v>#REF!</v>
      </c>
      <c r="J78" t="e">
        <f>AND(#REF!,"AAAAAHZ/Vgk=")</f>
        <v>#REF!</v>
      </c>
      <c r="K78" t="e">
        <f>AND(#REF!,"AAAAAHZ/Vgo=")</f>
        <v>#REF!</v>
      </c>
      <c r="L78" t="e">
        <f>AND(#REF!,"AAAAAHZ/Vgs=")</f>
        <v>#REF!</v>
      </c>
      <c r="M78" t="e">
        <f>AND(#REF!,"AAAAAHZ/Vgw=")</f>
        <v>#REF!</v>
      </c>
      <c r="N78" t="e">
        <f>AND(#REF!,"AAAAAHZ/Vg0=")</f>
        <v>#REF!</v>
      </c>
      <c r="O78" t="e">
        <f>AND(#REF!,"AAAAAHZ/Vg4=")</f>
        <v>#REF!</v>
      </c>
      <c r="P78" t="e">
        <f>AND(#REF!,"AAAAAHZ/Vg8=")</f>
        <v>#REF!</v>
      </c>
      <c r="Q78" t="e">
        <f>IF(#REF!,"AAAAAHZ/VhA=",0)</f>
        <v>#REF!</v>
      </c>
      <c r="R78" t="e">
        <f>AND(#REF!,"AAAAAHZ/VhE=")</f>
        <v>#REF!</v>
      </c>
      <c r="S78" t="e">
        <f>AND(#REF!,"AAAAAHZ/VhI=")</f>
        <v>#REF!</v>
      </c>
      <c r="T78" t="e">
        <f>AND(#REF!,"AAAAAHZ/VhM=")</f>
        <v>#REF!</v>
      </c>
      <c r="U78" t="e">
        <f>AND(#REF!,"AAAAAHZ/VhQ=")</f>
        <v>#REF!</v>
      </c>
      <c r="V78" t="e">
        <f>AND(#REF!,"AAAAAHZ/VhU=")</f>
        <v>#REF!</v>
      </c>
      <c r="W78" t="e">
        <f>AND(#REF!,"AAAAAHZ/VhY=")</f>
        <v>#REF!</v>
      </c>
      <c r="X78" t="e">
        <f>AND(#REF!,"AAAAAHZ/Vhc=")</f>
        <v>#REF!</v>
      </c>
      <c r="Y78" t="e">
        <f>AND(#REF!,"AAAAAHZ/Vhg=")</f>
        <v>#REF!</v>
      </c>
      <c r="Z78" t="e">
        <f>IF(#REF!,"AAAAAHZ/Vhk=",0)</f>
        <v>#REF!</v>
      </c>
      <c r="AA78" t="e">
        <f>AND(#REF!,"AAAAAHZ/Vho=")</f>
        <v>#REF!</v>
      </c>
      <c r="AB78" t="e">
        <f>AND(#REF!,"AAAAAHZ/Vhs=")</f>
        <v>#REF!</v>
      </c>
      <c r="AC78" t="e">
        <f>AND(#REF!,"AAAAAHZ/Vhw=")</f>
        <v>#REF!</v>
      </c>
      <c r="AD78" t="e">
        <f>AND(#REF!,"AAAAAHZ/Vh0=")</f>
        <v>#REF!</v>
      </c>
      <c r="AE78" t="e">
        <f>AND(#REF!,"AAAAAHZ/Vh4=")</f>
        <v>#REF!</v>
      </c>
      <c r="AF78" t="e">
        <f>AND(#REF!,"AAAAAHZ/Vh8=")</f>
        <v>#REF!</v>
      </c>
      <c r="AG78" t="e">
        <f>AND(#REF!,"AAAAAHZ/ViA=")</f>
        <v>#REF!</v>
      </c>
      <c r="AH78" t="e">
        <f>AND(#REF!,"AAAAAHZ/ViE=")</f>
        <v>#REF!</v>
      </c>
      <c r="AI78" t="e">
        <f>IF(#REF!,"AAAAAHZ/ViI=",0)</f>
        <v>#REF!</v>
      </c>
      <c r="AJ78" t="e">
        <f>AND(#REF!,"AAAAAHZ/ViM=")</f>
        <v>#REF!</v>
      </c>
      <c r="AK78" t="e">
        <f>AND(#REF!,"AAAAAHZ/ViQ=")</f>
        <v>#REF!</v>
      </c>
      <c r="AL78" t="e">
        <f>AND(#REF!,"AAAAAHZ/ViU=")</f>
        <v>#REF!</v>
      </c>
      <c r="AM78" t="e">
        <f>AND(#REF!,"AAAAAHZ/ViY=")</f>
        <v>#REF!</v>
      </c>
      <c r="AN78" t="e">
        <f>AND(#REF!,"AAAAAHZ/Vic=")</f>
        <v>#REF!</v>
      </c>
      <c r="AO78" t="e">
        <f>AND(#REF!,"AAAAAHZ/Vig=")</f>
        <v>#REF!</v>
      </c>
      <c r="AP78" t="e">
        <f>AND(#REF!,"AAAAAHZ/Vik=")</f>
        <v>#REF!</v>
      </c>
      <c r="AQ78" t="e">
        <f>AND(#REF!,"AAAAAHZ/Vio=")</f>
        <v>#REF!</v>
      </c>
      <c r="AR78" t="e">
        <f>IF(#REF!,"AAAAAHZ/Vis=",0)</f>
        <v>#REF!</v>
      </c>
      <c r="AS78" t="e">
        <f>AND(#REF!,"AAAAAHZ/Viw=")</f>
        <v>#REF!</v>
      </c>
      <c r="AT78" t="e">
        <f>AND(#REF!,"AAAAAHZ/Vi0=")</f>
        <v>#REF!</v>
      </c>
      <c r="AU78" t="e">
        <f>AND(#REF!,"AAAAAHZ/Vi4=")</f>
        <v>#REF!</v>
      </c>
      <c r="AV78" t="e">
        <f>AND(#REF!,"AAAAAHZ/Vi8=")</f>
        <v>#REF!</v>
      </c>
      <c r="AW78" t="e">
        <f>AND(#REF!,"AAAAAHZ/VjA=")</f>
        <v>#REF!</v>
      </c>
      <c r="AX78" t="e">
        <f>AND(#REF!,"AAAAAHZ/VjE=")</f>
        <v>#REF!</v>
      </c>
      <c r="AY78" t="e">
        <f>AND(#REF!,"AAAAAHZ/VjI=")</f>
        <v>#REF!</v>
      </c>
      <c r="AZ78" t="e">
        <f>AND(#REF!,"AAAAAHZ/VjM=")</f>
        <v>#REF!</v>
      </c>
      <c r="BA78" t="e">
        <f>IF(#REF!,"AAAAAHZ/VjQ=",0)</f>
        <v>#REF!</v>
      </c>
      <c r="BB78" t="e">
        <f>AND(#REF!,"AAAAAHZ/VjU=")</f>
        <v>#REF!</v>
      </c>
      <c r="BC78" t="e">
        <f>AND(#REF!,"AAAAAHZ/VjY=")</f>
        <v>#REF!</v>
      </c>
      <c r="BD78" t="e">
        <f>AND(#REF!,"AAAAAHZ/Vjc=")</f>
        <v>#REF!</v>
      </c>
      <c r="BE78" t="e">
        <f>AND(#REF!,"AAAAAHZ/Vjg=")</f>
        <v>#REF!</v>
      </c>
      <c r="BF78" t="e">
        <f>AND(#REF!,"AAAAAHZ/Vjk=")</f>
        <v>#REF!</v>
      </c>
      <c r="BG78" t="e">
        <f>AND(#REF!,"AAAAAHZ/Vjo=")</f>
        <v>#REF!</v>
      </c>
      <c r="BH78" t="e">
        <f>AND(#REF!,"AAAAAHZ/Vjs=")</f>
        <v>#REF!</v>
      </c>
      <c r="BI78" t="e">
        <f>AND(#REF!,"AAAAAHZ/Vjw=")</f>
        <v>#REF!</v>
      </c>
      <c r="BJ78" t="e">
        <f>IF(#REF!,"AAAAAHZ/Vj0=",0)</f>
        <v>#REF!</v>
      </c>
      <c r="BK78" t="e">
        <f>AND(#REF!,"AAAAAHZ/Vj4=")</f>
        <v>#REF!</v>
      </c>
      <c r="BL78" t="e">
        <f>AND(#REF!,"AAAAAHZ/Vj8=")</f>
        <v>#REF!</v>
      </c>
      <c r="BM78" t="e">
        <f>AND(#REF!,"AAAAAHZ/VkA=")</f>
        <v>#REF!</v>
      </c>
      <c r="BN78" t="e">
        <f>AND(#REF!,"AAAAAHZ/VkE=")</f>
        <v>#REF!</v>
      </c>
      <c r="BO78" t="e">
        <f>AND(#REF!,"AAAAAHZ/VkI=")</f>
        <v>#REF!</v>
      </c>
      <c r="BP78" t="e">
        <f>AND(#REF!,"AAAAAHZ/VkM=")</f>
        <v>#REF!</v>
      </c>
      <c r="BQ78" t="e">
        <f>AND(#REF!,"AAAAAHZ/VkQ=")</f>
        <v>#REF!</v>
      </c>
      <c r="BR78" t="e">
        <f>AND(#REF!,"AAAAAHZ/VkU=")</f>
        <v>#REF!</v>
      </c>
      <c r="BS78" t="e">
        <f>IF(#REF!,"AAAAAHZ/VkY=",0)</f>
        <v>#REF!</v>
      </c>
      <c r="BT78" t="e">
        <f>AND(#REF!,"AAAAAHZ/Vkc=")</f>
        <v>#REF!</v>
      </c>
      <c r="BU78" t="e">
        <f>AND(#REF!,"AAAAAHZ/Vkg=")</f>
        <v>#REF!</v>
      </c>
      <c r="BV78" t="e">
        <f>AND(#REF!,"AAAAAHZ/Vkk=")</f>
        <v>#REF!</v>
      </c>
      <c r="BW78" t="e">
        <f>AND(#REF!,"AAAAAHZ/Vko=")</f>
        <v>#REF!</v>
      </c>
      <c r="BX78" t="e">
        <f>AND(#REF!,"AAAAAHZ/Vks=")</f>
        <v>#REF!</v>
      </c>
      <c r="BY78" t="e">
        <f>AND(#REF!,"AAAAAHZ/Vkw=")</f>
        <v>#REF!</v>
      </c>
      <c r="BZ78" t="e">
        <f>AND(#REF!,"AAAAAHZ/Vk0=")</f>
        <v>#REF!</v>
      </c>
      <c r="CA78" t="e">
        <f>AND(#REF!,"AAAAAHZ/Vk4=")</f>
        <v>#REF!</v>
      </c>
      <c r="CB78" t="e">
        <f>IF(#REF!,"AAAAAHZ/Vk8=",0)</f>
        <v>#REF!</v>
      </c>
      <c r="CC78" t="e">
        <f>AND(#REF!,"AAAAAHZ/VlA=")</f>
        <v>#REF!</v>
      </c>
      <c r="CD78" t="e">
        <f>AND(#REF!,"AAAAAHZ/VlE=")</f>
        <v>#REF!</v>
      </c>
      <c r="CE78" t="e">
        <f>AND(#REF!,"AAAAAHZ/VlI=")</f>
        <v>#REF!</v>
      </c>
      <c r="CF78" t="e">
        <f>AND(#REF!,"AAAAAHZ/VlM=")</f>
        <v>#REF!</v>
      </c>
      <c r="CG78" t="e">
        <f>AND(#REF!,"AAAAAHZ/VlQ=")</f>
        <v>#REF!</v>
      </c>
      <c r="CH78" t="e">
        <f>AND(#REF!,"AAAAAHZ/VlU=")</f>
        <v>#REF!</v>
      </c>
      <c r="CI78" t="e">
        <f>AND(#REF!,"AAAAAHZ/VlY=")</f>
        <v>#REF!</v>
      </c>
      <c r="CJ78" t="e">
        <f>AND(#REF!,"AAAAAHZ/Vlc=")</f>
        <v>#REF!</v>
      </c>
      <c r="CK78" t="e">
        <f>IF(#REF!,"AAAAAHZ/Vlg=",0)</f>
        <v>#REF!</v>
      </c>
      <c r="CL78" t="e">
        <f>AND(#REF!,"AAAAAHZ/Vlk=")</f>
        <v>#REF!</v>
      </c>
      <c r="CM78" t="e">
        <f>AND(#REF!,"AAAAAHZ/Vlo=")</f>
        <v>#REF!</v>
      </c>
      <c r="CN78" t="e">
        <f>AND(#REF!,"AAAAAHZ/Vls=")</f>
        <v>#REF!</v>
      </c>
      <c r="CO78" t="e">
        <f>AND(#REF!,"AAAAAHZ/Vlw=")</f>
        <v>#REF!</v>
      </c>
      <c r="CP78" t="e">
        <f>AND(#REF!,"AAAAAHZ/Vl0=")</f>
        <v>#REF!</v>
      </c>
      <c r="CQ78" t="e">
        <f>AND(#REF!,"AAAAAHZ/Vl4=")</f>
        <v>#REF!</v>
      </c>
      <c r="CR78" t="e">
        <f>AND(#REF!,"AAAAAHZ/Vl8=")</f>
        <v>#REF!</v>
      </c>
      <c r="CS78" t="e">
        <f>AND(#REF!,"AAAAAHZ/VmA=")</f>
        <v>#REF!</v>
      </c>
      <c r="CT78" t="e">
        <f>IF(#REF!,"AAAAAHZ/VmE=",0)</f>
        <v>#REF!</v>
      </c>
      <c r="CU78" t="e">
        <f>AND(#REF!,"AAAAAHZ/VmI=")</f>
        <v>#REF!</v>
      </c>
      <c r="CV78" t="e">
        <f>AND(#REF!,"AAAAAHZ/VmM=")</f>
        <v>#REF!</v>
      </c>
      <c r="CW78" t="e">
        <f>AND(#REF!,"AAAAAHZ/VmQ=")</f>
        <v>#REF!</v>
      </c>
      <c r="CX78" t="e">
        <f>AND(#REF!,"AAAAAHZ/VmU=")</f>
        <v>#REF!</v>
      </c>
      <c r="CY78" t="e">
        <f>AND(#REF!,"AAAAAHZ/VmY=")</f>
        <v>#REF!</v>
      </c>
      <c r="CZ78" t="e">
        <f>AND(#REF!,"AAAAAHZ/Vmc=")</f>
        <v>#REF!</v>
      </c>
      <c r="DA78" t="e">
        <f>AND(#REF!,"AAAAAHZ/Vmg=")</f>
        <v>#REF!</v>
      </c>
      <c r="DB78" t="e">
        <f>AND(#REF!,"AAAAAHZ/Vmk=")</f>
        <v>#REF!</v>
      </c>
      <c r="DC78" t="e">
        <f>IF(#REF!,"AAAAAHZ/Vmo=",0)</f>
        <v>#REF!</v>
      </c>
      <c r="DD78" t="e">
        <f>AND(#REF!,"AAAAAHZ/Vms=")</f>
        <v>#REF!</v>
      </c>
      <c r="DE78" t="e">
        <f>AND(#REF!,"AAAAAHZ/Vmw=")</f>
        <v>#REF!</v>
      </c>
      <c r="DF78" t="e">
        <f>AND(#REF!,"AAAAAHZ/Vm0=")</f>
        <v>#REF!</v>
      </c>
      <c r="DG78" t="e">
        <f>AND(#REF!,"AAAAAHZ/Vm4=")</f>
        <v>#REF!</v>
      </c>
      <c r="DH78" t="e">
        <f>AND(#REF!,"AAAAAHZ/Vm8=")</f>
        <v>#REF!</v>
      </c>
      <c r="DI78" t="e">
        <f>AND(#REF!,"AAAAAHZ/VnA=")</f>
        <v>#REF!</v>
      </c>
      <c r="DJ78" t="e">
        <f>AND(#REF!,"AAAAAHZ/VnE=")</f>
        <v>#REF!</v>
      </c>
      <c r="DK78" t="e">
        <f>AND(#REF!,"AAAAAHZ/VnI=")</f>
        <v>#REF!</v>
      </c>
      <c r="DL78" t="e">
        <f>IF(#REF!,"AAAAAHZ/VnM=",0)</f>
        <v>#REF!</v>
      </c>
      <c r="DM78" t="e">
        <f>AND(#REF!,"AAAAAHZ/VnQ=")</f>
        <v>#REF!</v>
      </c>
      <c r="DN78" t="e">
        <f>AND(#REF!,"AAAAAHZ/VnU=")</f>
        <v>#REF!</v>
      </c>
      <c r="DO78" t="e">
        <f>AND(#REF!,"AAAAAHZ/VnY=")</f>
        <v>#REF!</v>
      </c>
      <c r="DP78" t="e">
        <f>AND(#REF!,"AAAAAHZ/Vnc=")</f>
        <v>#REF!</v>
      </c>
      <c r="DQ78" t="e">
        <f>AND(#REF!,"AAAAAHZ/Vng=")</f>
        <v>#REF!</v>
      </c>
      <c r="DR78" t="e">
        <f>AND(#REF!,"AAAAAHZ/Vnk=")</f>
        <v>#REF!</v>
      </c>
      <c r="DS78" t="e">
        <f>AND(#REF!,"AAAAAHZ/Vno=")</f>
        <v>#REF!</v>
      </c>
      <c r="DT78" t="e">
        <f>AND(#REF!,"AAAAAHZ/Vns=")</f>
        <v>#REF!</v>
      </c>
      <c r="DU78" t="e">
        <f>IF(#REF!,"AAAAAHZ/Vnw=",0)</f>
        <v>#REF!</v>
      </c>
      <c r="DV78" t="e">
        <f>AND(#REF!,"AAAAAHZ/Vn0=")</f>
        <v>#REF!</v>
      </c>
      <c r="DW78" t="e">
        <f>AND(#REF!,"AAAAAHZ/Vn4=")</f>
        <v>#REF!</v>
      </c>
      <c r="DX78" t="e">
        <f>AND(#REF!,"AAAAAHZ/Vn8=")</f>
        <v>#REF!</v>
      </c>
      <c r="DY78" t="e">
        <f>AND(#REF!,"AAAAAHZ/VoA=")</f>
        <v>#REF!</v>
      </c>
      <c r="DZ78" t="e">
        <f>AND(#REF!,"AAAAAHZ/VoE=")</f>
        <v>#REF!</v>
      </c>
      <c r="EA78" t="e">
        <f>AND(#REF!,"AAAAAHZ/VoI=")</f>
        <v>#REF!</v>
      </c>
      <c r="EB78" t="e">
        <f>AND(#REF!,"AAAAAHZ/VoM=")</f>
        <v>#REF!</v>
      </c>
      <c r="EC78" t="e">
        <f>AND(#REF!,"AAAAAHZ/VoQ=")</f>
        <v>#REF!</v>
      </c>
      <c r="ED78" t="e">
        <f>IF(#REF!,"AAAAAHZ/VoU=",0)</f>
        <v>#REF!</v>
      </c>
      <c r="EE78" t="e">
        <f>AND(#REF!,"AAAAAHZ/VoY=")</f>
        <v>#REF!</v>
      </c>
      <c r="EF78" t="e">
        <f>AND(#REF!,"AAAAAHZ/Voc=")</f>
        <v>#REF!</v>
      </c>
      <c r="EG78" t="e">
        <f>AND(#REF!,"AAAAAHZ/Vog=")</f>
        <v>#REF!</v>
      </c>
      <c r="EH78" t="e">
        <f>AND(#REF!,"AAAAAHZ/Vok=")</f>
        <v>#REF!</v>
      </c>
      <c r="EI78" t="e">
        <f>AND(#REF!,"AAAAAHZ/Voo=")</f>
        <v>#REF!</v>
      </c>
      <c r="EJ78" t="e">
        <f>AND(#REF!,"AAAAAHZ/Vos=")</f>
        <v>#REF!</v>
      </c>
      <c r="EK78" t="e">
        <f>AND(#REF!,"AAAAAHZ/Vow=")</f>
        <v>#REF!</v>
      </c>
      <c r="EL78" t="e">
        <f>AND(#REF!,"AAAAAHZ/Vo0=")</f>
        <v>#REF!</v>
      </c>
      <c r="EM78" t="e">
        <f>IF(#REF!,"AAAAAHZ/Vo4=",0)</f>
        <v>#REF!</v>
      </c>
      <c r="EN78" t="e">
        <f>AND(#REF!,"AAAAAHZ/Vo8=")</f>
        <v>#REF!</v>
      </c>
      <c r="EO78" t="e">
        <f>AND(#REF!,"AAAAAHZ/VpA=")</f>
        <v>#REF!</v>
      </c>
      <c r="EP78" t="e">
        <f>AND(#REF!,"AAAAAHZ/VpE=")</f>
        <v>#REF!</v>
      </c>
      <c r="EQ78" t="e">
        <f>AND(#REF!,"AAAAAHZ/VpI=")</f>
        <v>#REF!</v>
      </c>
      <c r="ER78" t="e">
        <f>AND(#REF!,"AAAAAHZ/VpM=")</f>
        <v>#REF!</v>
      </c>
      <c r="ES78" t="e">
        <f>AND(#REF!,"AAAAAHZ/VpQ=")</f>
        <v>#REF!</v>
      </c>
      <c r="ET78" t="e">
        <f>AND(#REF!,"AAAAAHZ/VpU=")</f>
        <v>#REF!</v>
      </c>
      <c r="EU78" t="e">
        <f>AND(#REF!,"AAAAAHZ/VpY=")</f>
        <v>#REF!</v>
      </c>
      <c r="EV78" t="e">
        <f>IF(#REF!,"AAAAAHZ/Vpc=",0)</f>
        <v>#REF!</v>
      </c>
      <c r="EW78" t="e">
        <f>AND(#REF!,"AAAAAHZ/Vpg=")</f>
        <v>#REF!</v>
      </c>
      <c r="EX78" t="e">
        <f>AND(#REF!,"AAAAAHZ/Vpk=")</f>
        <v>#REF!</v>
      </c>
      <c r="EY78" t="e">
        <f>AND(#REF!,"AAAAAHZ/Vpo=")</f>
        <v>#REF!</v>
      </c>
      <c r="EZ78" t="e">
        <f>AND(#REF!,"AAAAAHZ/Vps=")</f>
        <v>#REF!</v>
      </c>
      <c r="FA78" t="e">
        <f>AND(#REF!,"AAAAAHZ/Vpw=")</f>
        <v>#REF!</v>
      </c>
      <c r="FB78" t="e">
        <f>AND(#REF!,"AAAAAHZ/Vp0=")</f>
        <v>#REF!</v>
      </c>
      <c r="FC78" t="e">
        <f>AND(#REF!,"AAAAAHZ/Vp4=")</f>
        <v>#REF!</v>
      </c>
      <c r="FD78" t="e">
        <f>AND(#REF!,"AAAAAHZ/Vp8=")</f>
        <v>#REF!</v>
      </c>
      <c r="FE78" t="e">
        <f>IF(#REF!,"AAAAAHZ/VqA=",0)</f>
        <v>#REF!</v>
      </c>
      <c r="FF78" t="e">
        <f>AND(#REF!,"AAAAAHZ/VqE=")</f>
        <v>#REF!</v>
      </c>
      <c r="FG78" t="e">
        <f>AND(#REF!,"AAAAAHZ/VqI=")</f>
        <v>#REF!</v>
      </c>
      <c r="FH78" t="e">
        <f>AND(#REF!,"AAAAAHZ/VqM=")</f>
        <v>#REF!</v>
      </c>
      <c r="FI78" t="e">
        <f>AND(#REF!,"AAAAAHZ/VqQ=")</f>
        <v>#REF!</v>
      </c>
      <c r="FJ78" t="e">
        <f>AND(#REF!,"AAAAAHZ/VqU=")</f>
        <v>#REF!</v>
      </c>
      <c r="FK78" t="e">
        <f>AND(#REF!,"AAAAAHZ/VqY=")</f>
        <v>#REF!</v>
      </c>
      <c r="FL78" t="e">
        <f>AND(#REF!,"AAAAAHZ/Vqc=")</f>
        <v>#REF!</v>
      </c>
      <c r="FM78" t="e">
        <f>AND(#REF!,"AAAAAHZ/Vqg=")</f>
        <v>#REF!</v>
      </c>
      <c r="FN78" t="e">
        <f>IF(#REF!,"AAAAAHZ/Vqk=",0)</f>
        <v>#REF!</v>
      </c>
      <c r="FO78" t="e">
        <f>AND(#REF!,"AAAAAHZ/Vqo=")</f>
        <v>#REF!</v>
      </c>
      <c r="FP78" t="e">
        <f>AND(#REF!,"AAAAAHZ/Vqs=")</f>
        <v>#REF!</v>
      </c>
      <c r="FQ78" t="e">
        <f>AND(#REF!,"AAAAAHZ/Vqw=")</f>
        <v>#REF!</v>
      </c>
      <c r="FR78" t="e">
        <f>AND(#REF!,"AAAAAHZ/Vq0=")</f>
        <v>#REF!</v>
      </c>
      <c r="FS78" t="e">
        <f>AND(#REF!,"AAAAAHZ/Vq4=")</f>
        <v>#REF!</v>
      </c>
      <c r="FT78" t="e">
        <f>AND(#REF!,"AAAAAHZ/Vq8=")</f>
        <v>#REF!</v>
      </c>
      <c r="FU78" t="e">
        <f>AND(#REF!,"AAAAAHZ/VrA=")</f>
        <v>#REF!</v>
      </c>
      <c r="FV78" t="e">
        <f>AND(#REF!,"AAAAAHZ/VrE=")</f>
        <v>#REF!</v>
      </c>
      <c r="FW78" t="e">
        <f>IF(#REF!,"AAAAAHZ/VrI=",0)</f>
        <v>#REF!</v>
      </c>
      <c r="FX78" t="e">
        <f>AND(#REF!,"AAAAAHZ/VrM=")</f>
        <v>#REF!</v>
      </c>
      <c r="FY78" t="e">
        <f>AND(#REF!,"AAAAAHZ/VrQ=")</f>
        <v>#REF!</v>
      </c>
      <c r="FZ78" t="e">
        <f>AND(#REF!,"AAAAAHZ/VrU=")</f>
        <v>#REF!</v>
      </c>
      <c r="GA78" t="e">
        <f>AND(#REF!,"AAAAAHZ/VrY=")</f>
        <v>#REF!</v>
      </c>
      <c r="GB78" t="e">
        <f>AND(#REF!,"AAAAAHZ/Vrc=")</f>
        <v>#REF!</v>
      </c>
      <c r="GC78" t="e">
        <f>AND(#REF!,"AAAAAHZ/Vrg=")</f>
        <v>#REF!</v>
      </c>
      <c r="GD78" t="e">
        <f>AND(#REF!,"AAAAAHZ/Vrk=")</f>
        <v>#REF!</v>
      </c>
      <c r="GE78" t="e">
        <f>AND(#REF!,"AAAAAHZ/Vro=")</f>
        <v>#REF!</v>
      </c>
      <c r="GF78" t="e">
        <f>IF(#REF!,"AAAAAHZ/Vrs=",0)</f>
        <v>#REF!</v>
      </c>
      <c r="GG78" t="e">
        <f>AND(#REF!,"AAAAAHZ/Vrw=")</f>
        <v>#REF!</v>
      </c>
      <c r="GH78" t="e">
        <f>AND(#REF!,"AAAAAHZ/Vr0=")</f>
        <v>#REF!</v>
      </c>
      <c r="GI78" t="e">
        <f>AND(#REF!,"AAAAAHZ/Vr4=")</f>
        <v>#REF!</v>
      </c>
      <c r="GJ78" t="e">
        <f>AND(#REF!,"AAAAAHZ/Vr8=")</f>
        <v>#REF!</v>
      </c>
      <c r="GK78" t="e">
        <f>AND(#REF!,"AAAAAHZ/VsA=")</f>
        <v>#REF!</v>
      </c>
      <c r="GL78" t="e">
        <f>AND(#REF!,"AAAAAHZ/VsE=")</f>
        <v>#REF!</v>
      </c>
      <c r="GM78" t="e">
        <f>AND(#REF!,"AAAAAHZ/VsI=")</f>
        <v>#REF!</v>
      </c>
      <c r="GN78" t="e">
        <f>AND(#REF!,"AAAAAHZ/VsM=")</f>
        <v>#REF!</v>
      </c>
      <c r="GO78" t="e">
        <f>IF(#REF!,"AAAAAHZ/VsQ=",0)</f>
        <v>#REF!</v>
      </c>
      <c r="GP78" t="e">
        <f>AND(#REF!,"AAAAAHZ/VsU=")</f>
        <v>#REF!</v>
      </c>
      <c r="GQ78" t="e">
        <f>AND(#REF!,"AAAAAHZ/VsY=")</f>
        <v>#REF!</v>
      </c>
      <c r="GR78" t="e">
        <f>AND(#REF!,"AAAAAHZ/Vsc=")</f>
        <v>#REF!</v>
      </c>
      <c r="GS78" t="e">
        <f>AND(#REF!,"AAAAAHZ/Vsg=")</f>
        <v>#REF!</v>
      </c>
      <c r="GT78" t="e">
        <f>AND(#REF!,"AAAAAHZ/Vsk=")</f>
        <v>#REF!</v>
      </c>
      <c r="GU78" t="e">
        <f>AND(#REF!,"AAAAAHZ/Vso=")</f>
        <v>#REF!</v>
      </c>
      <c r="GV78" t="e">
        <f>AND(#REF!,"AAAAAHZ/Vss=")</f>
        <v>#REF!</v>
      </c>
      <c r="GW78" t="e">
        <f>AND(#REF!,"AAAAAHZ/Vsw=")</f>
        <v>#REF!</v>
      </c>
      <c r="GX78" t="e">
        <f>IF(#REF!,"AAAAAHZ/Vs0=",0)</f>
        <v>#REF!</v>
      </c>
      <c r="GY78" t="e">
        <f>AND(#REF!,"AAAAAHZ/Vs4=")</f>
        <v>#REF!</v>
      </c>
      <c r="GZ78" t="e">
        <f>AND(#REF!,"AAAAAHZ/Vs8=")</f>
        <v>#REF!</v>
      </c>
      <c r="HA78" t="e">
        <f>AND(#REF!,"AAAAAHZ/VtA=")</f>
        <v>#REF!</v>
      </c>
      <c r="HB78" t="e">
        <f>AND(#REF!,"AAAAAHZ/VtE=")</f>
        <v>#REF!</v>
      </c>
      <c r="HC78" t="e">
        <f>AND(#REF!,"AAAAAHZ/VtI=")</f>
        <v>#REF!</v>
      </c>
      <c r="HD78" t="e">
        <f>AND(#REF!,"AAAAAHZ/VtM=")</f>
        <v>#REF!</v>
      </c>
      <c r="HE78" t="e">
        <f>AND(#REF!,"AAAAAHZ/VtQ=")</f>
        <v>#REF!</v>
      </c>
      <c r="HF78" t="e">
        <f>AND(#REF!,"AAAAAHZ/VtU=")</f>
        <v>#REF!</v>
      </c>
      <c r="HG78" t="e">
        <f>IF(#REF!,"AAAAAHZ/VtY=",0)</f>
        <v>#REF!</v>
      </c>
      <c r="HH78" t="e">
        <f>AND(#REF!,"AAAAAHZ/Vtc=")</f>
        <v>#REF!</v>
      </c>
      <c r="HI78" t="e">
        <f>AND(#REF!,"AAAAAHZ/Vtg=")</f>
        <v>#REF!</v>
      </c>
      <c r="HJ78" t="e">
        <f>AND(#REF!,"AAAAAHZ/Vtk=")</f>
        <v>#REF!</v>
      </c>
      <c r="HK78" t="e">
        <f>AND(#REF!,"AAAAAHZ/Vto=")</f>
        <v>#REF!</v>
      </c>
      <c r="HL78" t="e">
        <f>AND(#REF!,"AAAAAHZ/Vts=")</f>
        <v>#REF!</v>
      </c>
      <c r="HM78" t="e">
        <f>AND(#REF!,"AAAAAHZ/Vtw=")</f>
        <v>#REF!</v>
      </c>
      <c r="HN78" t="e">
        <f>AND(#REF!,"AAAAAHZ/Vt0=")</f>
        <v>#REF!</v>
      </c>
      <c r="HO78" t="e">
        <f>AND(#REF!,"AAAAAHZ/Vt4=")</f>
        <v>#REF!</v>
      </c>
      <c r="HP78" t="e">
        <f>IF(#REF!,"AAAAAHZ/Vt8=",0)</f>
        <v>#REF!</v>
      </c>
      <c r="HQ78" t="e">
        <f>AND(#REF!,"AAAAAHZ/VuA=")</f>
        <v>#REF!</v>
      </c>
      <c r="HR78" t="e">
        <f>AND(#REF!,"AAAAAHZ/VuE=")</f>
        <v>#REF!</v>
      </c>
      <c r="HS78" t="e">
        <f>AND(#REF!,"AAAAAHZ/VuI=")</f>
        <v>#REF!</v>
      </c>
      <c r="HT78" t="e">
        <f>AND(#REF!,"AAAAAHZ/VuM=")</f>
        <v>#REF!</v>
      </c>
      <c r="HU78" t="e">
        <f>AND(#REF!,"AAAAAHZ/VuQ=")</f>
        <v>#REF!</v>
      </c>
      <c r="HV78" t="e">
        <f>AND(#REF!,"AAAAAHZ/VuU=")</f>
        <v>#REF!</v>
      </c>
      <c r="HW78" t="e">
        <f>AND(#REF!,"AAAAAHZ/VuY=")</f>
        <v>#REF!</v>
      </c>
      <c r="HX78" t="e">
        <f>AND(#REF!,"AAAAAHZ/Vuc=")</f>
        <v>#REF!</v>
      </c>
      <c r="HY78" t="e">
        <f>IF(#REF!,"AAAAAHZ/Vug=",0)</f>
        <v>#REF!</v>
      </c>
      <c r="HZ78" t="e">
        <f>AND(#REF!,"AAAAAHZ/Vuk=")</f>
        <v>#REF!</v>
      </c>
      <c r="IA78" t="e">
        <f>AND(#REF!,"AAAAAHZ/Vuo=")</f>
        <v>#REF!</v>
      </c>
      <c r="IB78" t="e">
        <f>AND(#REF!,"AAAAAHZ/Vus=")</f>
        <v>#REF!</v>
      </c>
      <c r="IC78" t="e">
        <f>AND(#REF!,"AAAAAHZ/Vuw=")</f>
        <v>#REF!</v>
      </c>
      <c r="ID78" t="e">
        <f>AND(#REF!,"AAAAAHZ/Vu0=")</f>
        <v>#REF!</v>
      </c>
      <c r="IE78" t="e">
        <f>AND(#REF!,"AAAAAHZ/Vu4=")</f>
        <v>#REF!</v>
      </c>
      <c r="IF78" t="e">
        <f>AND(#REF!,"AAAAAHZ/Vu8=")</f>
        <v>#REF!</v>
      </c>
      <c r="IG78" t="e">
        <f>AND(#REF!,"AAAAAHZ/VvA=")</f>
        <v>#REF!</v>
      </c>
      <c r="IH78" t="e">
        <f>IF(#REF!,"AAAAAHZ/VvE=",0)</f>
        <v>#REF!</v>
      </c>
      <c r="II78" t="e">
        <f>AND(#REF!,"AAAAAHZ/VvI=")</f>
        <v>#REF!</v>
      </c>
      <c r="IJ78" t="e">
        <f>AND(#REF!,"AAAAAHZ/VvM=")</f>
        <v>#REF!</v>
      </c>
      <c r="IK78" t="e">
        <f>AND(#REF!,"AAAAAHZ/VvQ=")</f>
        <v>#REF!</v>
      </c>
      <c r="IL78" t="e">
        <f>AND(#REF!,"AAAAAHZ/VvU=")</f>
        <v>#REF!</v>
      </c>
      <c r="IM78" t="e">
        <f>AND(#REF!,"AAAAAHZ/VvY=")</f>
        <v>#REF!</v>
      </c>
      <c r="IN78" t="e">
        <f>AND(#REF!,"AAAAAHZ/Vvc=")</f>
        <v>#REF!</v>
      </c>
      <c r="IO78" t="e">
        <f>AND(#REF!,"AAAAAHZ/Vvg=")</f>
        <v>#REF!</v>
      </c>
      <c r="IP78" t="e">
        <f>AND(#REF!,"AAAAAHZ/Vvk=")</f>
        <v>#REF!</v>
      </c>
      <c r="IQ78" t="e">
        <f>IF(#REF!,"AAAAAHZ/Vvo=",0)</f>
        <v>#REF!</v>
      </c>
      <c r="IR78" t="e">
        <f>AND(#REF!,"AAAAAHZ/Vvs=")</f>
        <v>#REF!</v>
      </c>
      <c r="IS78" t="e">
        <f>AND(#REF!,"AAAAAHZ/Vvw=")</f>
        <v>#REF!</v>
      </c>
      <c r="IT78" t="e">
        <f>AND(#REF!,"AAAAAHZ/Vv0=")</f>
        <v>#REF!</v>
      </c>
      <c r="IU78" t="e">
        <f>AND(#REF!,"AAAAAHZ/Vv4=")</f>
        <v>#REF!</v>
      </c>
      <c r="IV78" t="e">
        <f>AND(#REF!,"AAAAAHZ/Vv8=")</f>
        <v>#REF!</v>
      </c>
    </row>
    <row r="79" spans="1:256" x14ac:dyDescent="0.25">
      <c r="A79" t="e">
        <f>AND(#REF!,"AAAAAEj/uwA=")</f>
        <v>#REF!</v>
      </c>
      <c r="B79" t="e">
        <f>AND(#REF!,"AAAAAEj/uwE=")</f>
        <v>#REF!</v>
      </c>
      <c r="C79" t="e">
        <f>AND(#REF!,"AAAAAEj/uwI=")</f>
        <v>#REF!</v>
      </c>
      <c r="D79" t="e">
        <f>IF(#REF!,"AAAAAEj/uwM=",0)</f>
        <v>#REF!</v>
      </c>
      <c r="E79" t="e">
        <f>AND(#REF!,"AAAAAEj/uwQ=")</f>
        <v>#REF!</v>
      </c>
      <c r="F79" t="e">
        <f>AND(#REF!,"AAAAAEj/uwU=")</f>
        <v>#REF!</v>
      </c>
      <c r="G79" t="e">
        <f>AND(#REF!,"AAAAAEj/uwY=")</f>
        <v>#REF!</v>
      </c>
      <c r="H79" t="e">
        <f>AND(#REF!,"AAAAAEj/uwc=")</f>
        <v>#REF!</v>
      </c>
      <c r="I79" t="e">
        <f>AND(#REF!,"AAAAAEj/uwg=")</f>
        <v>#REF!</v>
      </c>
      <c r="J79" t="e">
        <f>AND(#REF!,"AAAAAEj/uwk=")</f>
        <v>#REF!</v>
      </c>
      <c r="K79" t="e">
        <f>AND(#REF!,"AAAAAEj/uwo=")</f>
        <v>#REF!</v>
      </c>
      <c r="L79" t="e">
        <f>AND(#REF!,"AAAAAEj/uws=")</f>
        <v>#REF!</v>
      </c>
      <c r="M79" t="e">
        <f>IF(#REF!,"AAAAAEj/uww=",0)</f>
        <v>#REF!</v>
      </c>
      <c r="N79" t="e">
        <f>AND(#REF!,"AAAAAEj/uw0=")</f>
        <v>#REF!</v>
      </c>
      <c r="O79" t="e">
        <f>AND(#REF!,"AAAAAEj/uw4=")</f>
        <v>#REF!</v>
      </c>
      <c r="P79" t="e">
        <f>AND(#REF!,"AAAAAEj/uw8=")</f>
        <v>#REF!</v>
      </c>
      <c r="Q79" t="e">
        <f>AND(#REF!,"AAAAAEj/uxA=")</f>
        <v>#REF!</v>
      </c>
      <c r="R79" t="e">
        <f>AND(#REF!,"AAAAAEj/uxE=")</f>
        <v>#REF!</v>
      </c>
      <c r="S79" t="e">
        <f>AND(#REF!,"AAAAAEj/uxI=")</f>
        <v>#REF!</v>
      </c>
      <c r="T79" t="e">
        <f>AND(#REF!,"AAAAAEj/uxM=")</f>
        <v>#REF!</v>
      </c>
      <c r="U79" t="e">
        <f>AND(#REF!,"AAAAAEj/uxQ=")</f>
        <v>#REF!</v>
      </c>
      <c r="V79" t="e">
        <f>IF(#REF!,"AAAAAEj/uxU=",0)</f>
        <v>#REF!</v>
      </c>
      <c r="W79" t="e">
        <f>AND(#REF!,"AAAAAEj/uxY=")</f>
        <v>#REF!</v>
      </c>
      <c r="X79" t="e">
        <f>AND(#REF!,"AAAAAEj/uxc=")</f>
        <v>#REF!</v>
      </c>
      <c r="Y79" t="e">
        <f>AND(#REF!,"AAAAAEj/uxg=")</f>
        <v>#REF!</v>
      </c>
      <c r="Z79" t="e">
        <f>AND(#REF!,"AAAAAEj/uxk=")</f>
        <v>#REF!</v>
      </c>
      <c r="AA79" t="e">
        <f>AND(#REF!,"AAAAAEj/uxo=")</f>
        <v>#REF!</v>
      </c>
      <c r="AB79" t="e">
        <f>AND(#REF!,"AAAAAEj/uxs=")</f>
        <v>#REF!</v>
      </c>
      <c r="AC79" t="e">
        <f>AND(#REF!,"AAAAAEj/uxw=")</f>
        <v>#REF!</v>
      </c>
      <c r="AD79" t="e">
        <f>AND(#REF!,"AAAAAEj/ux0=")</f>
        <v>#REF!</v>
      </c>
      <c r="AE79" t="e">
        <f>IF(#REF!,"AAAAAEj/ux4=",0)</f>
        <v>#REF!</v>
      </c>
      <c r="AF79" t="e">
        <f>AND(#REF!,"AAAAAEj/ux8=")</f>
        <v>#REF!</v>
      </c>
      <c r="AG79" t="e">
        <f>AND(#REF!,"AAAAAEj/uyA=")</f>
        <v>#REF!</v>
      </c>
      <c r="AH79" t="e">
        <f>AND(#REF!,"AAAAAEj/uyE=")</f>
        <v>#REF!</v>
      </c>
      <c r="AI79" t="e">
        <f>AND(#REF!,"AAAAAEj/uyI=")</f>
        <v>#REF!</v>
      </c>
      <c r="AJ79" t="e">
        <f>AND(#REF!,"AAAAAEj/uyM=")</f>
        <v>#REF!</v>
      </c>
      <c r="AK79" t="e">
        <f>AND(#REF!,"AAAAAEj/uyQ=")</f>
        <v>#REF!</v>
      </c>
      <c r="AL79" t="e">
        <f>AND(#REF!,"AAAAAEj/uyU=")</f>
        <v>#REF!</v>
      </c>
      <c r="AM79" t="e">
        <f>AND(#REF!,"AAAAAEj/uyY=")</f>
        <v>#REF!</v>
      </c>
      <c r="AN79" t="e">
        <f>IF(#REF!,"AAAAAEj/uyc=",0)</f>
        <v>#REF!</v>
      </c>
      <c r="AO79" t="e">
        <f>AND(#REF!,"AAAAAEj/uyg=")</f>
        <v>#REF!</v>
      </c>
      <c r="AP79" t="e">
        <f>AND(#REF!,"AAAAAEj/uyk=")</f>
        <v>#REF!</v>
      </c>
      <c r="AQ79" t="e">
        <f>AND(#REF!,"AAAAAEj/uyo=")</f>
        <v>#REF!</v>
      </c>
      <c r="AR79" t="e">
        <f>AND(#REF!,"AAAAAEj/uys=")</f>
        <v>#REF!</v>
      </c>
      <c r="AS79" t="e">
        <f>AND(#REF!,"AAAAAEj/uyw=")</f>
        <v>#REF!</v>
      </c>
      <c r="AT79" t="e">
        <f>AND(#REF!,"AAAAAEj/uy0=")</f>
        <v>#REF!</v>
      </c>
      <c r="AU79" t="e">
        <f>AND(#REF!,"AAAAAEj/uy4=")</f>
        <v>#REF!</v>
      </c>
      <c r="AV79" t="e">
        <f>AND(#REF!,"AAAAAEj/uy8=")</f>
        <v>#REF!</v>
      </c>
      <c r="AW79" t="e">
        <f>IF(#REF!,"AAAAAEj/uzA=",0)</f>
        <v>#REF!</v>
      </c>
      <c r="AX79" t="e">
        <f>AND(#REF!,"AAAAAEj/uzE=")</f>
        <v>#REF!</v>
      </c>
      <c r="AY79" t="e">
        <f>AND(#REF!,"AAAAAEj/uzI=")</f>
        <v>#REF!</v>
      </c>
      <c r="AZ79" t="e">
        <f>AND(#REF!,"AAAAAEj/uzM=")</f>
        <v>#REF!</v>
      </c>
      <c r="BA79" t="e">
        <f>AND(#REF!,"AAAAAEj/uzQ=")</f>
        <v>#REF!</v>
      </c>
      <c r="BB79" t="e">
        <f>AND(#REF!,"AAAAAEj/uzU=")</f>
        <v>#REF!</v>
      </c>
      <c r="BC79" t="e">
        <f>AND(#REF!,"AAAAAEj/uzY=")</f>
        <v>#REF!</v>
      </c>
      <c r="BD79" t="e">
        <f>AND(#REF!,"AAAAAEj/uzc=")</f>
        <v>#REF!</v>
      </c>
      <c r="BE79" t="e">
        <f>AND(#REF!,"AAAAAEj/uzg=")</f>
        <v>#REF!</v>
      </c>
      <c r="BF79" t="e">
        <f>IF(#REF!,"AAAAAEj/uzk=",0)</f>
        <v>#REF!</v>
      </c>
      <c r="BG79" t="e">
        <f>AND(#REF!,"AAAAAEj/uzo=")</f>
        <v>#REF!</v>
      </c>
      <c r="BH79" t="e">
        <f>AND(#REF!,"AAAAAEj/uzs=")</f>
        <v>#REF!</v>
      </c>
      <c r="BI79" t="e">
        <f>AND(#REF!,"AAAAAEj/uzw=")</f>
        <v>#REF!</v>
      </c>
      <c r="BJ79" t="e">
        <f>AND(#REF!,"AAAAAEj/uz0=")</f>
        <v>#REF!</v>
      </c>
      <c r="BK79" t="e">
        <f>AND(#REF!,"AAAAAEj/uz4=")</f>
        <v>#REF!</v>
      </c>
      <c r="BL79" t="e">
        <f>AND(#REF!,"AAAAAEj/uz8=")</f>
        <v>#REF!</v>
      </c>
      <c r="BM79" t="e">
        <f>AND(#REF!,"AAAAAEj/u0A=")</f>
        <v>#REF!</v>
      </c>
      <c r="BN79" t="e">
        <f>AND(#REF!,"AAAAAEj/u0E=")</f>
        <v>#REF!</v>
      </c>
      <c r="BO79" t="e">
        <f>IF(#REF!,"AAAAAEj/u0I=",0)</f>
        <v>#REF!</v>
      </c>
      <c r="BP79" t="e">
        <f>AND(#REF!,"AAAAAEj/u0M=")</f>
        <v>#REF!</v>
      </c>
      <c r="BQ79" t="e">
        <f>AND(#REF!,"AAAAAEj/u0Q=")</f>
        <v>#REF!</v>
      </c>
      <c r="BR79" t="e">
        <f>AND(#REF!,"AAAAAEj/u0U=")</f>
        <v>#REF!</v>
      </c>
      <c r="BS79" t="e">
        <f>AND(#REF!,"AAAAAEj/u0Y=")</f>
        <v>#REF!</v>
      </c>
      <c r="BT79" t="e">
        <f>AND(#REF!,"AAAAAEj/u0c=")</f>
        <v>#REF!</v>
      </c>
      <c r="BU79" t="e">
        <f>AND(#REF!,"AAAAAEj/u0g=")</f>
        <v>#REF!</v>
      </c>
      <c r="BV79" t="e">
        <f>AND(#REF!,"AAAAAEj/u0k=")</f>
        <v>#REF!</v>
      </c>
      <c r="BW79" t="e">
        <f>AND(#REF!,"AAAAAEj/u0o=")</f>
        <v>#REF!</v>
      </c>
      <c r="BX79" t="e">
        <f>IF(#REF!,"AAAAAEj/u0s=",0)</f>
        <v>#REF!</v>
      </c>
      <c r="BY79" t="e">
        <f>AND(#REF!,"AAAAAEj/u0w=")</f>
        <v>#REF!</v>
      </c>
      <c r="BZ79" t="e">
        <f>AND(#REF!,"AAAAAEj/u00=")</f>
        <v>#REF!</v>
      </c>
      <c r="CA79" t="e">
        <f>AND(#REF!,"AAAAAEj/u04=")</f>
        <v>#REF!</v>
      </c>
      <c r="CB79" t="e">
        <f>AND(#REF!,"AAAAAEj/u08=")</f>
        <v>#REF!</v>
      </c>
      <c r="CC79" t="e">
        <f>AND(#REF!,"AAAAAEj/u1A=")</f>
        <v>#REF!</v>
      </c>
      <c r="CD79" t="e">
        <f>AND(#REF!,"AAAAAEj/u1E=")</f>
        <v>#REF!</v>
      </c>
      <c r="CE79" t="e">
        <f>AND(#REF!,"AAAAAEj/u1I=")</f>
        <v>#REF!</v>
      </c>
      <c r="CF79" t="e">
        <f>AND(#REF!,"AAAAAEj/u1M=")</f>
        <v>#REF!</v>
      </c>
      <c r="CG79" t="e">
        <f>IF(#REF!,"AAAAAEj/u1Q=",0)</f>
        <v>#REF!</v>
      </c>
      <c r="CH79" t="e">
        <f>AND(#REF!,"AAAAAEj/u1U=")</f>
        <v>#REF!</v>
      </c>
      <c r="CI79" t="e">
        <f>AND(#REF!,"AAAAAEj/u1Y=")</f>
        <v>#REF!</v>
      </c>
      <c r="CJ79" t="e">
        <f>AND(#REF!,"AAAAAEj/u1c=")</f>
        <v>#REF!</v>
      </c>
      <c r="CK79" t="e">
        <f>AND(#REF!,"AAAAAEj/u1g=")</f>
        <v>#REF!</v>
      </c>
      <c r="CL79" t="e">
        <f>AND(#REF!,"AAAAAEj/u1k=")</f>
        <v>#REF!</v>
      </c>
      <c r="CM79" t="e">
        <f>AND(#REF!,"AAAAAEj/u1o=")</f>
        <v>#REF!</v>
      </c>
      <c r="CN79" t="e">
        <f>AND(#REF!,"AAAAAEj/u1s=")</f>
        <v>#REF!</v>
      </c>
      <c r="CO79" t="e">
        <f>AND(#REF!,"AAAAAEj/u1w=")</f>
        <v>#REF!</v>
      </c>
      <c r="CP79" t="e">
        <f>IF(#REF!,"AAAAAEj/u10=",0)</f>
        <v>#REF!</v>
      </c>
      <c r="CQ79" t="e">
        <f>AND(#REF!,"AAAAAEj/u14=")</f>
        <v>#REF!</v>
      </c>
      <c r="CR79" t="e">
        <f>AND(#REF!,"AAAAAEj/u18=")</f>
        <v>#REF!</v>
      </c>
      <c r="CS79" t="e">
        <f>AND(#REF!,"AAAAAEj/u2A=")</f>
        <v>#REF!</v>
      </c>
      <c r="CT79" t="e">
        <f>AND(#REF!,"AAAAAEj/u2E=")</f>
        <v>#REF!</v>
      </c>
      <c r="CU79" t="e">
        <f>AND(#REF!,"AAAAAEj/u2I=")</f>
        <v>#REF!</v>
      </c>
      <c r="CV79" t="e">
        <f>AND(#REF!,"AAAAAEj/u2M=")</f>
        <v>#REF!</v>
      </c>
      <c r="CW79" t="e">
        <f>AND(#REF!,"AAAAAEj/u2Q=")</f>
        <v>#REF!</v>
      </c>
      <c r="CX79" t="e">
        <f>AND(#REF!,"AAAAAEj/u2U=")</f>
        <v>#REF!</v>
      </c>
      <c r="CY79" t="e">
        <f>IF(#REF!,"AAAAAEj/u2Y=",0)</f>
        <v>#REF!</v>
      </c>
      <c r="CZ79" t="e">
        <f>AND(#REF!,"AAAAAEj/u2c=")</f>
        <v>#REF!</v>
      </c>
      <c r="DA79" t="e">
        <f>AND(#REF!,"AAAAAEj/u2g=")</f>
        <v>#REF!</v>
      </c>
      <c r="DB79" t="e">
        <f>AND(#REF!,"AAAAAEj/u2k=")</f>
        <v>#REF!</v>
      </c>
      <c r="DC79" t="e">
        <f>AND(#REF!,"AAAAAEj/u2o=")</f>
        <v>#REF!</v>
      </c>
      <c r="DD79" t="e">
        <f>AND(#REF!,"AAAAAEj/u2s=")</f>
        <v>#REF!</v>
      </c>
      <c r="DE79" t="e">
        <f>AND(#REF!,"AAAAAEj/u2w=")</f>
        <v>#REF!</v>
      </c>
      <c r="DF79" t="e">
        <f>AND(#REF!,"AAAAAEj/u20=")</f>
        <v>#REF!</v>
      </c>
      <c r="DG79" t="e">
        <f>AND(#REF!,"AAAAAEj/u24=")</f>
        <v>#REF!</v>
      </c>
      <c r="DH79" t="e">
        <f>IF(#REF!,"AAAAAEj/u28=",0)</f>
        <v>#REF!</v>
      </c>
      <c r="DI79" t="e">
        <f>AND(#REF!,"AAAAAEj/u3A=")</f>
        <v>#REF!</v>
      </c>
      <c r="DJ79" t="e">
        <f>AND(#REF!,"AAAAAEj/u3E=")</f>
        <v>#REF!</v>
      </c>
      <c r="DK79" t="e">
        <f>AND(#REF!,"AAAAAEj/u3I=")</f>
        <v>#REF!</v>
      </c>
      <c r="DL79" t="e">
        <f>AND(#REF!,"AAAAAEj/u3M=")</f>
        <v>#REF!</v>
      </c>
      <c r="DM79" t="e">
        <f>AND(#REF!,"AAAAAEj/u3Q=")</f>
        <v>#REF!</v>
      </c>
      <c r="DN79" t="e">
        <f>AND(#REF!,"AAAAAEj/u3U=")</f>
        <v>#REF!</v>
      </c>
      <c r="DO79" t="e">
        <f>AND(#REF!,"AAAAAEj/u3Y=")</f>
        <v>#REF!</v>
      </c>
      <c r="DP79" t="e">
        <f>AND(#REF!,"AAAAAEj/u3c=")</f>
        <v>#REF!</v>
      </c>
      <c r="DQ79" t="e">
        <f>IF(#REF!,"AAAAAEj/u3g=",0)</f>
        <v>#REF!</v>
      </c>
      <c r="DR79" t="e">
        <f>AND(#REF!,"AAAAAEj/u3k=")</f>
        <v>#REF!</v>
      </c>
      <c r="DS79" t="e">
        <f>AND(#REF!,"AAAAAEj/u3o=")</f>
        <v>#REF!</v>
      </c>
      <c r="DT79" t="e">
        <f>AND(#REF!,"AAAAAEj/u3s=")</f>
        <v>#REF!</v>
      </c>
      <c r="DU79" t="e">
        <f>AND(#REF!,"AAAAAEj/u3w=")</f>
        <v>#REF!</v>
      </c>
      <c r="DV79" t="e">
        <f>AND(#REF!,"AAAAAEj/u30=")</f>
        <v>#REF!</v>
      </c>
      <c r="DW79" t="e">
        <f>AND(#REF!,"AAAAAEj/u34=")</f>
        <v>#REF!</v>
      </c>
      <c r="DX79" t="e">
        <f>AND(#REF!,"AAAAAEj/u38=")</f>
        <v>#REF!</v>
      </c>
      <c r="DY79" t="e">
        <f>AND(#REF!,"AAAAAEj/u4A=")</f>
        <v>#REF!</v>
      </c>
      <c r="DZ79" t="e">
        <f>IF(#REF!,"AAAAAEj/u4E=",0)</f>
        <v>#REF!</v>
      </c>
      <c r="EA79" t="e">
        <f>AND(#REF!,"AAAAAEj/u4I=")</f>
        <v>#REF!</v>
      </c>
      <c r="EB79" t="e">
        <f>AND(#REF!,"AAAAAEj/u4M=")</f>
        <v>#REF!</v>
      </c>
      <c r="EC79" t="e">
        <f>AND(#REF!,"AAAAAEj/u4Q=")</f>
        <v>#REF!</v>
      </c>
      <c r="ED79" t="e">
        <f>AND(#REF!,"AAAAAEj/u4U=")</f>
        <v>#REF!</v>
      </c>
      <c r="EE79" t="e">
        <f>AND(#REF!,"AAAAAEj/u4Y=")</f>
        <v>#REF!</v>
      </c>
      <c r="EF79" t="e">
        <f>AND(#REF!,"AAAAAEj/u4c=")</f>
        <v>#REF!</v>
      </c>
      <c r="EG79" t="e">
        <f>AND(#REF!,"AAAAAEj/u4g=")</f>
        <v>#REF!</v>
      </c>
      <c r="EH79" t="e">
        <f>AND(#REF!,"AAAAAEj/u4k=")</f>
        <v>#REF!</v>
      </c>
      <c r="EI79" t="e">
        <f>IF(#REF!,"AAAAAEj/u4o=",0)</f>
        <v>#REF!</v>
      </c>
      <c r="EJ79" t="e">
        <f>AND(#REF!,"AAAAAEj/u4s=")</f>
        <v>#REF!</v>
      </c>
      <c r="EK79" t="e">
        <f>AND(#REF!,"AAAAAEj/u4w=")</f>
        <v>#REF!</v>
      </c>
      <c r="EL79" t="e">
        <f>AND(#REF!,"AAAAAEj/u40=")</f>
        <v>#REF!</v>
      </c>
      <c r="EM79" t="e">
        <f>AND(#REF!,"AAAAAEj/u44=")</f>
        <v>#REF!</v>
      </c>
      <c r="EN79" t="e">
        <f>AND(#REF!,"AAAAAEj/u48=")</f>
        <v>#REF!</v>
      </c>
      <c r="EO79" t="e">
        <f>AND(#REF!,"AAAAAEj/u5A=")</f>
        <v>#REF!</v>
      </c>
      <c r="EP79" t="e">
        <f>AND(#REF!,"AAAAAEj/u5E=")</f>
        <v>#REF!</v>
      </c>
      <c r="EQ79" t="e">
        <f>AND(#REF!,"AAAAAEj/u5I=")</f>
        <v>#REF!</v>
      </c>
      <c r="ER79" t="e">
        <f>IF(#REF!,"AAAAAEj/u5M=",0)</f>
        <v>#REF!</v>
      </c>
      <c r="ES79" t="e">
        <f>AND(#REF!,"AAAAAEj/u5Q=")</f>
        <v>#REF!</v>
      </c>
      <c r="ET79" t="e">
        <f>AND(#REF!,"AAAAAEj/u5U=")</f>
        <v>#REF!</v>
      </c>
      <c r="EU79" t="e">
        <f>AND(#REF!,"AAAAAEj/u5Y=")</f>
        <v>#REF!</v>
      </c>
      <c r="EV79" t="e">
        <f>AND(#REF!,"AAAAAEj/u5c=")</f>
        <v>#REF!</v>
      </c>
      <c r="EW79" t="e">
        <f>AND(#REF!,"AAAAAEj/u5g=")</f>
        <v>#REF!</v>
      </c>
      <c r="EX79" t="e">
        <f>AND(#REF!,"AAAAAEj/u5k=")</f>
        <v>#REF!</v>
      </c>
      <c r="EY79" t="e">
        <f>AND(#REF!,"AAAAAEj/u5o=")</f>
        <v>#REF!</v>
      </c>
      <c r="EZ79" t="e">
        <f>AND(#REF!,"AAAAAEj/u5s=")</f>
        <v>#REF!</v>
      </c>
      <c r="FA79" t="e">
        <f>IF(#REF!,"AAAAAEj/u5w=",0)</f>
        <v>#REF!</v>
      </c>
      <c r="FB79" t="e">
        <f>AND(#REF!,"AAAAAEj/u50=")</f>
        <v>#REF!</v>
      </c>
      <c r="FC79" t="e">
        <f>AND(#REF!,"AAAAAEj/u54=")</f>
        <v>#REF!</v>
      </c>
      <c r="FD79" t="e">
        <f>AND(#REF!,"AAAAAEj/u58=")</f>
        <v>#REF!</v>
      </c>
      <c r="FE79" t="e">
        <f>AND(#REF!,"AAAAAEj/u6A=")</f>
        <v>#REF!</v>
      </c>
      <c r="FF79" t="e">
        <f>AND(#REF!,"AAAAAEj/u6E=")</f>
        <v>#REF!</v>
      </c>
      <c r="FG79" t="e">
        <f>AND(#REF!,"AAAAAEj/u6I=")</f>
        <v>#REF!</v>
      </c>
      <c r="FH79" t="e">
        <f>AND(#REF!,"AAAAAEj/u6M=")</f>
        <v>#REF!</v>
      </c>
      <c r="FI79" t="e">
        <f>AND(#REF!,"AAAAAEj/u6Q=")</f>
        <v>#REF!</v>
      </c>
      <c r="FJ79" t="e">
        <f>IF(#REF!,"AAAAAEj/u6U=",0)</f>
        <v>#REF!</v>
      </c>
      <c r="FK79" t="e">
        <f>AND(#REF!,"AAAAAEj/u6Y=")</f>
        <v>#REF!</v>
      </c>
      <c r="FL79" t="e">
        <f>AND(#REF!,"AAAAAEj/u6c=")</f>
        <v>#REF!</v>
      </c>
      <c r="FM79" t="e">
        <f>AND(#REF!,"AAAAAEj/u6g=")</f>
        <v>#REF!</v>
      </c>
      <c r="FN79" t="e">
        <f>AND(#REF!,"AAAAAEj/u6k=")</f>
        <v>#REF!</v>
      </c>
      <c r="FO79" t="e">
        <f>AND(#REF!,"AAAAAEj/u6o=")</f>
        <v>#REF!</v>
      </c>
      <c r="FP79" t="e">
        <f>AND(#REF!,"AAAAAEj/u6s=")</f>
        <v>#REF!</v>
      </c>
      <c r="FQ79" t="e">
        <f>AND(#REF!,"AAAAAEj/u6w=")</f>
        <v>#REF!</v>
      </c>
      <c r="FR79" t="e">
        <f>AND(#REF!,"AAAAAEj/u60=")</f>
        <v>#REF!</v>
      </c>
      <c r="FS79" t="e">
        <f>IF(#REF!,"AAAAAEj/u64=",0)</f>
        <v>#REF!</v>
      </c>
      <c r="FT79" t="e">
        <f>AND(#REF!,"AAAAAEj/u68=")</f>
        <v>#REF!</v>
      </c>
      <c r="FU79" t="e">
        <f>AND(#REF!,"AAAAAEj/u7A=")</f>
        <v>#REF!</v>
      </c>
      <c r="FV79" t="e">
        <f>AND(#REF!,"AAAAAEj/u7E=")</f>
        <v>#REF!</v>
      </c>
      <c r="FW79" t="e">
        <f>AND(#REF!,"AAAAAEj/u7I=")</f>
        <v>#REF!</v>
      </c>
      <c r="FX79" t="e">
        <f>AND(#REF!,"AAAAAEj/u7M=")</f>
        <v>#REF!</v>
      </c>
      <c r="FY79" t="e">
        <f>AND(#REF!,"AAAAAEj/u7Q=")</f>
        <v>#REF!</v>
      </c>
      <c r="FZ79" t="e">
        <f>AND(#REF!,"AAAAAEj/u7U=")</f>
        <v>#REF!</v>
      </c>
      <c r="GA79" t="e">
        <f>AND(#REF!,"AAAAAEj/u7Y=")</f>
        <v>#REF!</v>
      </c>
      <c r="GB79" t="e">
        <f>IF(#REF!,"AAAAAEj/u7c=",0)</f>
        <v>#REF!</v>
      </c>
      <c r="GC79" t="e">
        <f>AND(#REF!,"AAAAAEj/u7g=")</f>
        <v>#REF!</v>
      </c>
      <c r="GD79" t="e">
        <f>AND(#REF!,"AAAAAEj/u7k=")</f>
        <v>#REF!</v>
      </c>
      <c r="GE79" t="e">
        <f>AND(#REF!,"AAAAAEj/u7o=")</f>
        <v>#REF!</v>
      </c>
      <c r="GF79" t="e">
        <f>AND(#REF!,"AAAAAEj/u7s=")</f>
        <v>#REF!</v>
      </c>
      <c r="GG79" t="e">
        <f>AND(#REF!,"AAAAAEj/u7w=")</f>
        <v>#REF!</v>
      </c>
      <c r="GH79" t="e">
        <f>AND(#REF!,"AAAAAEj/u70=")</f>
        <v>#REF!</v>
      </c>
      <c r="GI79" t="e">
        <f>AND(#REF!,"AAAAAEj/u74=")</f>
        <v>#REF!</v>
      </c>
      <c r="GJ79" t="e">
        <f>AND(#REF!,"AAAAAEj/u78=")</f>
        <v>#REF!</v>
      </c>
      <c r="GK79" t="e">
        <f>IF(#REF!,"AAAAAEj/u8A=",0)</f>
        <v>#REF!</v>
      </c>
      <c r="GL79" t="e">
        <f>AND(#REF!,"AAAAAEj/u8E=")</f>
        <v>#REF!</v>
      </c>
      <c r="GM79" t="e">
        <f>AND(#REF!,"AAAAAEj/u8I=")</f>
        <v>#REF!</v>
      </c>
      <c r="GN79" t="e">
        <f>AND(#REF!,"AAAAAEj/u8M=")</f>
        <v>#REF!</v>
      </c>
      <c r="GO79" t="e">
        <f>AND(#REF!,"AAAAAEj/u8Q=")</f>
        <v>#REF!</v>
      </c>
      <c r="GP79" t="e">
        <f>AND(#REF!,"AAAAAEj/u8U=")</f>
        <v>#REF!</v>
      </c>
      <c r="GQ79" t="e">
        <f>AND(#REF!,"AAAAAEj/u8Y=")</f>
        <v>#REF!</v>
      </c>
      <c r="GR79" t="e">
        <f>AND(#REF!,"AAAAAEj/u8c=")</f>
        <v>#REF!</v>
      </c>
      <c r="GS79" t="e">
        <f>AND(#REF!,"AAAAAEj/u8g=")</f>
        <v>#REF!</v>
      </c>
      <c r="GT79" t="e">
        <f>IF(#REF!,"AAAAAEj/u8k=",0)</f>
        <v>#REF!</v>
      </c>
      <c r="GU79" t="e">
        <f>AND(#REF!,"AAAAAEj/u8o=")</f>
        <v>#REF!</v>
      </c>
      <c r="GV79" t="e">
        <f>AND(#REF!,"AAAAAEj/u8s=")</f>
        <v>#REF!</v>
      </c>
      <c r="GW79" t="e">
        <f>AND(#REF!,"AAAAAEj/u8w=")</f>
        <v>#REF!</v>
      </c>
      <c r="GX79" t="e">
        <f>AND(#REF!,"AAAAAEj/u80=")</f>
        <v>#REF!</v>
      </c>
      <c r="GY79" t="e">
        <f>AND(#REF!,"AAAAAEj/u84=")</f>
        <v>#REF!</v>
      </c>
      <c r="GZ79" t="e">
        <f>AND(#REF!,"AAAAAEj/u88=")</f>
        <v>#REF!</v>
      </c>
      <c r="HA79" t="e">
        <f>AND(#REF!,"AAAAAEj/u9A=")</f>
        <v>#REF!</v>
      </c>
      <c r="HB79" t="e">
        <f>AND(#REF!,"AAAAAEj/u9E=")</f>
        <v>#REF!</v>
      </c>
      <c r="HC79" t="e">
        <f>IF(#REF!,"AAAAAEj/u9I=",0)</f>
        <v>#REF!</v>
      </c>
      <c r="HD79" t="e">
        <f>AND(#REF!,"AAAAAEj/u9M=")</f>
        <v>#REF!</v>
      </c>
      <c r="HE79" t="e">
        <f>AND(#REF!,"AAAAAEj/u9Q=")</f>
        <v>#REF!</v>
      </c>
      <c r="HF79" t="e">
        <f>AND(#REF!,"AAAAAEj/u9U=")</f>
        <v>#REF!</v>
      </c>
      <c r="HG79" t="e">
        <f>AND(#REF!,"AAAAAEj/u9Y=")</f>
        <v>#REF!</v>
      </c>
      <c r="HH79" t="e">
        <f>AND(#REF!,"AAAAAEj/u9c=")</f>
        <v>#REF!</v>
      </c>
      <c r="HI79" t="e">
        <f>AND(#REF!,"AAAAAEj/u9g=")</f>
        <v>#REF!</v>
      </c>
      <c r="HJ79" t="e">
        <f>AND(#REF!,"AAAAAEj/u9k=")</f>
        <v>#REF!</v>
      </c>
      <c r="HK79" t="e">
        <f>AND(#REF!,"AAAAAEj/u9o=")</f>
        <v>#REF!</v>
      </c>
      <c r="HL79" t="e">
        <f>IF(#REF!,"AAAAAEj/u9s=",0)</f>
        <v>#REF!</v>
      </c>
      <c r="HM79" t="e">
        <f>AND(#REF!,"AAAAAEj/u9w=")</f>
        <v>#REF!</v>
      </c>
      <c r="HN79" t="e">
        <f>AND(#REF!,"AAAAAEj/u90=")</f>
        <v>#REF!</v>
      </c>
      <c r="HO79" t="e">
        <f>AND(#REF!,"AAAAAEj/u94=")</f>
        <v>#REF!</v>
      </c>
      <c r="HP79" t="e">
        <f>AND(#REF!,"AAAAAEj/u98=")</f>
        <v>#REF!</v>
      </c>
      <c r="HQ79" t="e">
        <f>AND(#REF!,"AAAAAEj/u+A=")</f>
        <v>#REF!</v>
      </c>
      <c r="HR79" t="e">
        <f>AND(#REF!,"AAAAAEj/u+E=")</f>
        <v>#REF!</v>
      </c>
      <c r="HS79" t="e">
        <f>AND(#REF!,"AAAAAEj/u+I=")</f>
        <v>#REF!</v>
      </c>
      <c r="HT79" t="e">
        <f>AND(#REF!,"AAAAAEj/u+M=")</f>
        <v>#REF!</v>
      </c>
      <c r="HU79" t="e">
        <f>IF(#REF!,"AAAAAEj/u+Q=",0)</f>
        <v>#REF!</v>
      </c>
      <c r="HV79" t="e">
        <f>AND(#REF!,"AAAAAEj/u+U=")</f>
        <v>#REF!</v>
      </c>
      <c r="HW79" t="e">
        <f>AND(#REF!,"AAAAAEj/u+Y=")</f>
        <v>#REF!</v>
      </c>
      <c r="HX79" t="e">
        <f>AND(#REF!,"AAAAAEj/u+c=")</f>
        <v>#REF!</v>
      </c>
      <c r="HY79" t="e">
        <f>AND(#REF!,"AAAAAEj/u+g=")</f>
        <v>#REF!</v>
      </c>
      <c r="HZ79" t="e">
        <f>AND(#REF!,"AAAAAEj/u+k=")</f>
        <v>#REF!</v>
      </c>
      <c r="IA79" t="e">
        <f>AND(#REF!,"AAAAAEj/u+o=")</f>
        <v>#REF!</v>
      </c>
      <c r="IB79" t="e">
        <f>AND(#REF!,"AAAAAEj/u+s=")</f>
        <v>#REF!</v>
      </c>
      <c r="IC79" t="e">
        <f>AND(#REF!,"AAAAAEj/u+w=")</f>
        <v>#REF!</v>
      </c>
      <c r="ID79" t="e">
        <f>IF(#REF!,"AAAAAEj/u+0=",0)</f>
        <v>#REF!</v>
      </c>
      <c r="IE79" t="e">
        <f>AND(#REF!,"AAAAAEj/u+4=")</f>
        <v>#REF!</v>
      </c>
      <c r="IF79" t="e">
        <f>AND(#REF!,"AAAAAEj/u+8=")</f>
        <v>#REF!</v>
      </c>
      <c r="IG79" t="e">
        <f>AND(#REF!,"AAAAAEj/u/A=")</f>
        <v>#REF!</v>
      </c>
      <c r="IH79" t="e">
        <f>AND(#REF!,"AAAAAEj/u/E=")</f>
        <v>#REF!</v>
      </c>
      <c r="II79" t="e">
        <f>AND(#REF!,"AAAAAEj/u/I=")</f>
        <v>#REF!</v>
      </c>
      <c r="IJ79" t="e">
        <f>AND(#REF!,"AAAAAEj/u/M=")</f>
        <v>#REF!</v>
      </c>
      <c r="IK79" t="e">
        <f>AND(#REF!,"AAAAAEj/u/Q=")</f>
        <v>#REF!</v>
      </c>
      <c r="IL79" t="e">
        <f>AND(#REF!,"AAAAAEj/u/U=")</f>
        <v>#REF!</v>
      </c>
      <c r="IM79" t="e">
        <f>IF(#REF!,"AAAAAEj/u/Y=",0)</f>
        <v>#REF!</v>
      </c>
      <c r="IN79" t="e">
        <f>AND(#REF!,"AAAAAEj/u/c=")</f>
        <v>#REF!</v>
      </c>
      <c r="IO79" t="e">
        <f>AND(#REF!,"AAAAAEj/u/g=")</f>
        <v>#REF!</v>
      </c>
      <c r="IP79" t="e">
        <f>AND(#REF!,"AAAAAEj/u/k=")</f>
        <v>#REF!</v>
      </c>
      <c r="IQ79" t="e">
        <f>AND(#REF!,"AAAAAEj/u/o=")</f>
        <v>#REF!</v>
      </c>
      <c r="IR79" t="e">
        <f>AND(#REF!,"AAAAAEj/u/s=")</f>
        <v>#REF!</v>
      </c>
      <c r="IS79" t="e">
        <f>AND(#REF!,"AAAAAEj/u/w=")</f>
        <v>#REF!</v>
      </c>
      <c r="IT79" t="e">
        <f>AND(#REF!,"AAAAAEj/u/0=")</f>
        <v>#REF!</v>
      </c>
      <c r="IU79" t="e">
        <f>AND(#REF!,"AAAAAEj/u/4=")</f>
        <v>#REF!</v>
      </c>
      <c r="IV79" t="e">
        <f>IF(#REF!,"AAAAAEj/u/8=",0)</f>
        <v>#REF!</v>
      </c>
    </row>
    <row r="80" spans="1:256" x14ac:dyDescent="0.25">
      <c r="A80" t="e">
        <f>AND(#REF!,"AAAAAHPdwgA=")</f>
        <v>#REF!</v>
      </c>
      <c r="B80" t="e">
        <f>AND(#REF!,"AAAAAHPdwgE=")</f>
        <v>#REF!</v>
      </c>
      <c r="C80" t="e">
        <f>AND(#REF!,"AAAAAHPdwgI=")</f>
        <v>#REF!</v>
      </c>
      <c r="D80" t="e">
        <f>AND(#REF!,"AAAAAHPdwgM=")</f>
        <v>#REF!</v>
      </c>
      <c r="E80" t="e">
        <f>AND(#REF!,"AAAAAHPdwgQ=")</f>
        <v>#REF!</v>
      </c>
      <c r="F80" t="e">
        <f>AND(#REF!,"AAAAAHPdwgU=")</f>
        <v>#REF!</v>
      </c>
      <c r="G80" t="e">
        <f>AND(#REF!,"AAAAAHPdwgY=")</f>
        <v>#REF!</v>
      </c>
      <c r="H80" t="e">
        <f>AND(#REF!,"AAAAAHPdwgc=")</f>
        <v>#REF!</v>
      </c>
      <c r="I80" t="e">
        <f>IF(#REF!,"AAAAAHPdwgg=",0)</f>
        <v>#REF!</v>
      </c>
      <c r="J80" t="e">
        <f>AND(#REF!,"AAAAAHPdwgk=")</f>
        <v>#REF!</v>
      </c>
      <c r="K80" t="e">
        <f>AND(#REF!,"AAAAAHPdwgo=")</f>
        <v>#REF!</v>
      </c>
      <c r="L80" t="e">
        <f>AND(#REF!,"AAAAAHPdwgs=")</f>
        <v>#REF!</v>
      </c>
      <c r="M80" t="e">
        <f>AND(#REF!,"AAAAAHPdwgw=")</f>
        <v>#REF!</v>
      </c>
      <c r="N80" t="e">
        <f>AND(#REF!,"AAAAAHPdwg0=")</f>
        <v>#REF!</v>
      </c>
      <c r="O80" t="e">
        <f>AND(#REF!,"AAAAAHPdwg4=")</f>
        <v>#REF!</v>
      </c>
      <c r="P80" t="e">
        <f>AND(#REF!,"AAAAAHPdwg8=")</f>
        <v>#REF!</v>
      </c>
      <c r="Q80" t="e">
        <f>AND(#REF!,"AAAAAHPdwhA=")</f>
        <v>#REF!</v>
      </c>
      <c r="R80" t="e">
        <f>IF(#REF!,"AAAAAHPdwhE=",0)</f>
        <v>#REF!</v>
      </c>
      <c r="S80" t="e">
        <f>AND(#REF!,"AAAAAHPdwhI=")</f>
        <v>#REF!</v>
      </c>
      <c r="T80" t="e">
        <f>AND(#REF!,"AAAAAHPdwhM=")</f>
        <v>#REF!</v>
      </c>
      <c r="U80" t="e">
        <f>AND(#REF!,"AAAAAHPdwhQ=")</f>
        <v>#REF!</v>
      </c>
      <c r="V80" t="e">
        <f>AND(#REF!,"AAAAAHPdwhU=")</f>
        <v>#REF!</v>
      </c>
      <c r="W80" t="e">
        <f>AND(#REF!,"AAAAAHPdwhY=")</f>
        <v>#REF!</v>
      </c>
      <c r="X80" t="e">
        <f>AND(#REF!,"AAAAAHPdwhc=")</f>
        <v>#REF!</v>
      </c>
      <c r="Y80" t="e">
        <f>AND(#REF!,"AAAAAHPdwhg=")</f>
        <v>#REF!</v>
      </c>
      <c r="Z80" t="e">
        <f>AND(#REF!,"AAAAAHPdwhk=")</f>
        <v>#REF!</v>
      </c>
      <c r="AA80" t="e">
        <f>IF(#REF!,"AAAAAHPdwho=",0)</f>
        <v>#REF!</v>
      </c>
      <c r="AB80" t="e">
        <f>AND(#REF!,"AAAAAHPdwhs=")</f>
        <v>#REF!</v>
      </c>
      <c r="AC80" t="e">
        <f>AND(#REF!,"AAAAAHPdwhw=")</f>
        <v>#REF!</v>
      </c>
      <c r="AD80" t="e">
        <f>AND(#REF!,"AAAAAHPdwh0=")</f>
        <v>#REF!</v>
      </c>
      <c r="AE80" t="e">
        <f>AND(#REF!,"AAAAAHPdwh4=")</f>
        <v>#REF!</v>
      </c>
      <c r="AF80" t="e">
        <f>AND(#REF!,"AAAAAHPdwh8=")</f>
        <v>#REF!</v>
      </c>
      <c r="AG80" t="e">
        <f>AND(#REF!,"AAAAAHPdwiA=")</f>
        <v>#REF!</v>
      </c>
      <c r="AH80" t="e">
        <f>AND(#REF!,"AAAAAHPdwiE=")</f>
        <v>#REF!</v>
      </c>
      <c r="AI80" t="e">
        <f>AND(#REF!,"AAAAAHPdwiI=")</f>
        <v>#REF!</v>
      </c>
      <c r="AJ80" t="e">
        <f>IF(#REF!,"AAAAAHPdwiM=",0)</f>
        <v>#REF!</v>
      </c>
      <c r="AK80" t="e">
        <f>AND(#REF!,"AAAAAHPdwiQ=")</f>
        <v>#REF!</v>
      </c>
      <c r="AL80" t="e">
        <f>AND(#REF!,"AAAAAHPdwiU=")</f>
        <v>#REF!</v>
      </c>
      <c r="AM80" t="e">
        <f>AND(#REF!,"AAAAAHPdwiY=")</f>
        <v>#REF!</v>
      </c>
      <c r="AN80" t="e">
        <f>AND(#REF!,"AAAAAHPdwic=")</f>
        <v>#REF!</v>
      </c>
      <c r="AO80" t="e">
        <f>AND(#REF!,"AAAAAHPdwig=")</f>
        <v>#REF!</v>
      </c>
      <c r="AP80" t="e">
        <f>AND(#REF!,"AAAAAHPdwik=")</f>
        <v>#REF!</v>
      </c>
      <c r="AQ80" t="e">
        <f>AND(#REF!,"AAAAAHPdwio=")</f>
        <v>#REF!</v>
      </c>
      <c r="AR80" t="e">
        <f>AND(#REF!,"AAAAAHPdwis=")</f>
        <v>#REF!</v>
      </c>
      <c r="AS80" t="e">
        <f>IF(#REF!,"AAAAAHPdwiw=",0)</f>
        <v>#REF!</v>
      </c>
      <c r="AT80" t="e">
        <f>AND(#REF!,"AAAAAHPdwi0=")</f>
        <v>#REF!</v>
      </c>
      <c r="AU80" t="e">
        <f>AND(#REF!,"AAAAAHPdwi4=")</f>
        <v>#REF!</v>
      </c>
      <c r="AV80" t="e">
        <f>AND(#REF!,"AAAAAHPdwi8=")</f>
        <v>#REF!</v>
      </c>
      <c r="AW80" t="e">
        <f>AND(#REF!,"AAAAAHPdwjA=")</f>
        <v>#REF!</v>
      </c>
      <c r="AX80" t="e">
        <f>AND(#REF!,"AAAAAHPdwjE=")</f>
        <v>#REF!</v>
      </c>
      <c r="AY80" t="e">
        <f>AND(#REF!,"AAAAAHPdwjI=")</f>
        <v>#REF!</v>
      </c>
      <c r="AZ80" t="e">
        <f>AND(#REF!,"AAAAAHPdwjM=")</f>
        <v>#REF!</v>
      </c>
      <c r="BA80" t="e">
        <f>AND(#REF!,"AAAAAHPdwjQ=")</f>
        <v>#REF!</v>
      </c>
      <c r="BB80" t="e">
        <f>IF(#REF!,"AAAAAHPdwjU=",0)</f>
        <v>#REF!</v>
      </c>
      <c r="BC80" t="e">
        <f>AND(#REF!,"AAAAAHPdwjY=")</f>
        <v>#REF!</v>
      </c>
      <c r="BD80" t="e">
        <f>AND(#REF!,"AAAAAHPdwjc=")</f>
        <v>#REF!</v>
      </c>
      <c r="BE80" t="e">
        <f>AND(#REF!,"AAAAAHPdwjg=")</f>
        <v>#REF!</v>
      </c>
      <c r="BF80" t="e">
        <f>AND(#REF!,"AAAAAHPdwjk=")</f>
        <v>#REF!</v>
      </c>
      <c r="BG80" t="e">
        <f>AND(#REF!,"AAAAAHPdwjo=")</f>
        <v>#REF!</v>
      </c>
      <c r="BH80" t="e">
        <f>AND(#REF!,"AAAAAHPdwjs=")</f>
        <v>#REF!</v>
      </c>
      <c r="BI80" t="e">
        <f>AND(#REF!,"AAAAAHPdwjw=")</f>
        <v>#REF!</v>
      </c>
      <c r="BJ80" t="e">
        <f>AND(#REF!,"AAAAAHPdwj0=")</f>
        <v>#REF!</v>
      </c>
      <c r="BK80" t="e">
        <f>IF(#REF!,"AAAAAHPdwj4=",0)</f>
        <v>#REF!</v>
      </c>
      <c r="BL80" t="e">
        <f>AND(#REF!,"AAAAAHPdwj8=")</f>
        <v>#REF!</v>
      </c>
      <c r="BM80" t="e">
        <f>AND(#REF!,"AAAAAHPdwkA=")</f>
        <v>#REF!</v>
      </c>
      <c r="BN80" t="e">
        <f>AND(#REF!,"AAAAAHPdwkE=")</f>
        <v>#REF!</v>
      </c>
      <c r="BO80" t="e">
        <f>AND(#REF!,"AAAAAHPdwkI=")</f>
        <v>#REF!</v>
      </c>
      <c r="BP80" t="e">
        <f>AND(#REF!,"AAAAAHPdwkM=")</f>
        <v>#REF!</v>
      </c>
      <c r="BQ80" t="e">
        <f>AND(#REF!,"AAAAAHPdwkQ=")</f>
        <v>#REF!</v>
      </c>
      <c r="BR80" t="e">
        <f>AND(#REF!,"AAAAAHPdwkU=")</f>
        <v>#REF!</v>
      </c>
      <c r="BS80" t="e">
        <f>AND(#REF!,"AAAAAHPdwkY=")</f>
        <v>#REF!</v>
      </c>
      <c r="BT80" t="e">
        <f>IF(#REF!,"AAAAAHPdwkc=",0)</f>
        <v>#REF!</v>
      </c>
      <c r="BU80" t="e">
        <f>AND(#REF!,"AAAAAHPdwkg=")</f>
        <v>#REF!</v>
      </c>
      <c r="BV80" t="e">
        <f>AND(#REF!,"AAAAAHPdwkk=")</f>
        <v>#REF!</v>
      </c>
      <c r="BW80" t="e">
        <f>AND(#REF!,"AAAAAHPdwko=")</f>
        <v>#REF!</v>
      </c>
      <c r="BX80" t="e">
        <f>AND(#REF!,"AAAAAHPdwks=")</f>
        <v>#REF!</v>
      </c>
      <c r="BY80" t="e">
        <f>AND(#REF!,"AAAAAHPdwkw=")</f>
        <v>#REF!</v>
      </c>
      <c r="BZ80" t="e">
        <f>AND(#REF!,"AAAAAHPdwk0=")</f>
        <v>#REF!</v>
      </c>
      <c r="CA80" t="e">
        <f>AND(#REF!,"AAAAAHPdwk4=")</f>
        <v>#REF!</v>
      </c>
      <c r="CB80" t="e">
        <f>AND(#REF!,"AAAAAHPdwk8=")</f>
        <v>#REF!</v>
      </c>
      <c r="CC80" t="e">
        <f>IF(#REF!,"AAAAAHPdwlA=",0)</f>
        <v>#REF!</v>
      </c>
      <c r="CD80" t="e">
        <f>AND(#REF!,"AAAAAHPdwlE=")</f>
        <v>#REF!</v>
      </c>
      <c r="CE80" t="e">
        <f>AND(#REF!,"AAAAAHPdwlI=")</f>
        <v>#REF!</v>
      </c>
      <c r="CF80" t="e">
        <f>AND(#REF!,"AAAAAHPdwlM=")</f>
        <v>#REF!</v>
      </c>
      <c r="CG80" t="e">
        <f>AND(#REF!,"AAAAAHPdwlQ=")</f>
        <v>#REF!</v>
      </c>
      <c r="CH80" t="e">
        <f>AND(#REF!,"AAAAAHPdwlU=")</f>
        <v>#REF!</v>
      </c>
      <c r="CI80" t="e">
        <f>AND(#REF!,"AAAAAHPdwlY=")</f>
        <v>#REF!</v>
      </c>
      <c r="CJ80" t="e">
        <f>AND(#REF!,"AAAAAHPdwlc=")</f>
        <v>#REF!</v>
      </c>
      <c r="CK80" t="e">
        <f>AND(#REF!,"AAAAAHPdwlg=")</f>
        <v>#REF!</v>
      </c>
      <c r="CL80" t="e">
        <f>IF(#REF!,"AAAAAHPdwlk=",0)</f>
        <v>#REF!</v>
      </c>
      <c r="CM80" t="e">
        <f>AND(#REF!,"AAAAAHPdwlo=")</f>
        <v>#REF!</v>
      </c>
      <c r="CN80" t="e">
        <f>AND(#REF!,"AAAAAHPdwls=")</f>
        <v>#REF!</v>
      </c>
      <c r="CO80" t="e">
        <f>AND(#REF!,"AAAAAHPdwlw=")</f>
        <v>#REF!</v>
      </c>
      <c r="CP80" t="e">
        <f>AND(#REF!,"AAAAAHPdwl0=")</f>
        <v>#REF!</v>
      </c>
      <c r="CQ80" t="e">
        <f>AND(#REF!,"AAAAAHPdwl4=")</f>
        <v>#REF!</v>
      </c>
      <c r="CR80" t="e">
        <f>AND(#REF!,"AAAAAHPdwl8=")</f>
        <v>#REF!</v>
      </c>
      <c r="CS80" t="e">
        <f>AND(#REF!,"AAAAAHPdwmA=")</f>
        <v>#REF!</v>
      </c>
      <c r="CT80" t="e">
        <f>AND(#REF!,"AAAAAHPdwmE=")</f>
        <v>#REF!</v>
      </c>
      <c r="CU80" t="e">
        <f>IF(#REF!,"AAAAAHPdwmI=",0)</f>
        <v>#REF!</v>
      </c>
      <c r="CV80" t="e">
        <f>AND(#REF!,"AAAAAHPdwmM=")</f>
        <v>#REF!</v>
      </c>
      <c r="CW80" t="e">
        <f>AND(#REF!,"AAAAAHPdwmQ=")</f>
        <v>#REF!</v>
      </c>
      <c r="CX80" t="e">
        <f>AND(#REF!,"AAAAAHPdwmU=")</f>
        <v>#REF!</v>
      </c>
      <c r="CY80" t="e">
        <f>AND(#REF!,"AAAAAHPdwmY=")</f>
        <v>#REF!</v>
      </c>
      <c r="CZ80" t="e">
        <f>AND(#REF!,"AAAAAHPdwmc=")</f>
        <v>#REF!</v>
      </c>
      <c r="DA80" t="e">
        <f>AND(#REF!,"AAAAAHPdwmg=")</f>
        <v>#REF!</v>
      </c>
      <c r="DB80" t="e">
        <f>AND(#REF!,"AAAAAHPdwmk=")</f>
        <v>#REF!</v>
      </c>
      <c r="DC80" t="e">
        <f>AND(#REF!,"AAAAAHPdwmo=")</f>
        <v>#REF!</v>
      </c>
      <c r="DD80" t="e">
        <f>IF(#REF!,"AAAAAHPdwms=",0)</f>
        <v>#REF!</v>
      </c>
      <c r="DE80" t="e">
        <f>AND(#REF!,"AAAAAHPdwmw=")</f>
        <v>#REF!</v>
      </c>
      <c r="DF80" t="e">
        <f>AND(#REF!,"AAAAAHPdwm0=")</f>
        <v>#REF!</v>
      </c>
      <c r="DG80" t="e">
        <f>AND(#REF!,"AAAAAHPdwm4=")</f>
        <v>#REF!</v>
      </c>
      <c r="DH80" t="e">
        <f>AND(#REF!,"AAAAAHPdwm8=")</f>
        <v>#REF!</v>
      </c>
      <c r="DI80" t="e">
        <f>AND(#REF!,"AAAAAHPdwnA=")</f>
        <v>#REF!</v>
      </c>
      <c r="DJ80" t="e">
        <f>AND(#REF!,"AAAAAHPdwnE=")</f>
        <v>#REF!</v>
      </c>
      <c r="DK80" t="e">
        <f>AND(#REF!,"AAAAAHPdwnI=")</f>
        <v>#REF!</v>
      </c>
      <c r="DL80" t="e">
        <f>AND(#REF!,"AAAAAHPdwnM=")</f>
        <v>#REF!</v>
      </c>
      <c r="DM80" t="e">
        <f>IF(#REF!,"AAAAAHPdwnQ=",0)</f>
        <v>#REF!</v>
      </c>
      <c r="DN80" t="e">
        <f>AND(#REF!,"AAAAAHPdwnU=")</f>
        <v>#REF!</v>
      </c>
      <c r="DO80" t="e">
        <f>AND(#REF!,"AAAAAHPdwnY=")</f>
        <v>#REF!</v>
      </c>
      <c r="DP80" t="e">
        <f>AND(#REF!,"AAAAAHPdwnc=")</f>
        <v>#REF!</v>
      </c>
      <c r="DQ80" t="e">
        <f>AND(#REF!,"AAAAAHPdwng=")</f>
        <v>#REF!</v>
      </c>
      <c r="DR80" t="e">
        <f>AND(#REF!,"AAAAAHPdwnk=")</f>
        <v>#REF!</v>
      </c>
      <c r="DS80" t="e">
        <f>AND(#REF!,"AAAAAHPdwno=")</f>
        <v>#REF!</v>
      </c>
      <c r="DT80" t="e">
        <f>AND(#REF!,"AAAAAHPdwns=")</f>
        <v>#REF!</v>
      </c>
      <c r="DU80" t="e">
        <f>AND(#REF!,"AAAAAHPdwnw=")</f>
        <v>#REF!</v>
      </c>
      <c r="DV80" t="e">
        <f>IF(#REF!,"AAAAAHPdwn0=",0)</f>
        <v>#REF!</v>
      </c>
      <c r="DW80" t="e">
        <f>AND(#REF!,"AAAAAHPdwn4=")</f>
        <v>#REF!</v>
      </c>
      <c r="DX80" t="e">
        <f>AND(#REF!,"AAAAAHPdwn8=")</f>
        <v>#REF!</v>
      </c>
      <c r="DY80" t="e">
        <f>AND(#REF!,"AAAAAHPdwoA=")</f>
        <v>#REF!</v>
      </c>
      <c r="DZ80" t="e">
        <f>AND(#REF!,"AAAAAHPdwoE=")</f>
        <v>#REF!</v>
      </c>
      <c r="EA80" t="e">
        <f>AND(#REF!,"AAAAAHPdwoI=")</f>
        <v>#REF!</v>
      </c>
      <c r="EB80" t="e">
        <f>AND(#REF!,"AAAAAHPdwoM=")</f>
        <v>#REF!</v>
      </c>
      <c r="EC80" t="e">
        <f>AND(#REF!,"AAAAAHPdwoQ=")</f>
        <v>#REF!</v>
      </c>
      <c r="ED80" t="e">
        <f>AND(#REF!,"AAAAAHPdwoU=")</f>
        <v>#REF!</v>
      </c>
      <c r="EE80" t="e">
        <f>IF(#REF!,"AAAAAHPdwoY=",0)</f>
        <v>#REF!</v>
      </c>
      <c r="EF80" t="e">
        <f>AND(#REF!,"AAAAAHPdwoc=")</f>
        <v>#REF!</v>
      </c>
      <c r="EG80" t="e">
        <f>AND(#REF!,"AAAAAHPdwog=")</f>
        <v>#REF!</v>
      </c>
      <c r="EH80" t="e">
        <f>AND(#REF!,"AAAAAHPdwok=")</f>
        <v>#REF!</v>
      </c>
      <c r="EI80" t="e">
        <f>AND(#REF!,"AAAAAHPdwoo=")</f>
        <v>#REF!</v>
      </c>
      <c r="EJ80" t="e">
        <f>AND(#REF!,"AAAAAHPdwos=")</f>
        <v>#REF!</v>
      </c>
      <c r="EK80" t="e">
        <f>AND(#REF!,"AAAAAHPdwow=")</f>
        <v>#REF!</v>
      </c>
      <c r="EL80" t="e">
        <f>AND(#REF!,"AAAAAHPdwo0=")</f>
        <v>#REF!</v>
      </c>
      <c r="EM80" t="e">
        <f>AND(#REF!,"AAAAAHPdwo4=")</f>
        <v>#REF!</v>
      </c>
      <c r="EN80" t="e">
        <f>IF(#REF!,"AAAAAHPdwo8=",0)</f>
        <v>#REF!</v>
      </c>
      <c r="EO80" t="e">
        <f>AND(#REF!,"AAAAAHPdwpA=")</f>
        <v>#REF!</v>
      </c>
      <c r="EP80" t="e">
        <f>AND(#REF!,"AAAAAHPdwpE=")</f>
        <v>#REF!</v>
      </c>
      <c r="EQ80" t="e">
        <f>AND(#REF!,"AAAAAHPdwpI=")</f>
        <v>#REF!</v>
      </c>
      <c r="ER80" t="e">
        <f>AND(#REF!,"AAAAAHPdwpM=")</f>
        <v>#REF!</v>
      </c>
      <c r="ES80" t="e">
        <f>AND(#REF!,"AAAAAHPdwpQ=")</f>
        <v>#REF!</v>
      </c>
      <c r="ET80" t="e">
        <f>AND(#REF!,"AAAAAHPdwpU=")</f>
        <v>#REF!</v>
      </c>
      <c r="EU80" t="e">
        <f>AND(#REF!,"AAAAAHPdwpY=")</f>
        <v>#REF!</v>
      </c>
      <c r="EV80" t="e">
        <f>AND(#REF!,"AAAAAHPdwpc=")</f>
        <v>#REF!</v>
      </c>
      <c r="EW80" t="e">
        <f>IF(#REF!,"AAAAAHPdwpg=",0)</f>
        <v>#REF!</v>
      </c>
      <c r="EX80" t="e">
        <f>AND(#REF!,"AAAAAHPdwpk=")</f>
        <v>#REF!</v>
      </c>
      <c r="EY80" t="e">
        <f>AND(#REF!,"AAAAAHPdwpo=")</f>
        <v>#REF!</v>
      </c>
      <c r="EZ80" t="e">
        <f>AND(#REF!,"AAAAAHPdwps=")</f>
        <v>#REF!</v>
      </c>
      <c r="FA80" t="e">
        <f>AND(#REF!,"AAAAAHPdwpw=")</f>
        <v>#REF!</v>
      </c>
      <c r="FB80" t="e">
        <f>AND(#REF!,"AAAAAHPdwp0=")</f>
        <v>#REF!</v>
      </c>
      <c r="FC80" t="e">
        <f>AND(#REF!,"AAAAAHPdwp4=")</f>
        <v>#REF!</v>
      </c>
      <c r="FD80" t="e">
        <f>AND(#REF!,"AAAAAHPdwp8=")</f>
        <v>#REF!</v>
      </c>
      <c r="FE80" t="e">
        <f>AND(#REF!,"AAAAAHPdwqA=")</f>
        <v>#REF!</v>
      </c>
      <c r="FF80" t="e">
        <f>IF(#REF!,"AAAAAHPdwqE=",0)</f>
        <v>#REF!</v>
      </c>
      <c r="FG80" t="e">
        <f>AND(#REF!,"AAAAAHPdwqI=")</f>
        <v>#REF!</v>
      </c>
      <c r="FH80" t="e">
        <f>AND(#REF!,"AAAAAHPdwqM=")</f>
        <v>#REF!</v>
      </c>
      <c r="FI80" t="e">
        <f>AND(#REF!,"AAAAAHPdwqQ=")</f>
        <v>#REF!</v>
      </c>
      <c r="FJ80" t="e">
        <f>AND(#REF!,"AAAAAHPdwqU=")</f>
        <v>#REF!</v>
      </c>
      <c r="FK80" t="e">
        <f>AND(#REF!,"AAAAAHPdwqY=")</f>
        <v>#REF!</v>
      </c>
      <c r="FL80" t="e">
        <f>AND(#REF!,"AAAAAHPdwqc=")</f>
        <v>#REF!</v>
      </c>
      <c r="FM80" t="e">
        <f>AND(#REF!,"AAAAAHPdwqg=")</f>
        <v>#REF!</v>
      </c>
      <c r="FN80" t="e">
        <f>AND(#REF!,"AAAAAHPdwqk=")</f>
        <v>#REF!</v>
      </c>
      <c r="FO80" t="e">
        <f>IF(#REF!,"AAAAAHPdwqo=",0)</f>
        <v>#REF!</v>
      </c>
      <c r="FP80" t="e">
        <f>AND(#REF!,"AAAAAHPdwqs=")</f>
        <v>#REF!</v>
      </c>
      <c r="FQ80" t="e">
        <f>AND(#REF!,"AAAAAHPdwqw=")</f>
        <v>#REF!</v>
      </c>
      <c r="FR80" t="e">
        <f>AND(#REF!,"AAAAAHPdwq0=")</f>
        <v>#REF!</v>
      </c>
      <c r="FS80" t="e">
        <f>AND(#REF!,"AAAAAHPdwq4=")</f>
        <v>#REF!</v>
      </c>
      <c r="FT80" t="e">
        <f>AND(#REF!,"AAAAAHPdwq8=")</f>
        <v>#REF!</v>
      </c>
      <c r="FU80" t="e">
        <f>AND(#REF!,"AAAAAHPdwrA=")</f>
        <v>#REF!</v>
      </c>
      <c r="FV80" t="e">
        <f>AND(#REF!,"AAAAAHPdwrE=")</f>
        <v>#REF!</v>
      </c>
      <c r="FW80" t="e">
        <f>AND(#REF!,"AAAAAHPdwrI=")</f>
        <v>#REF!</v>
      </c>
      <c r="FX80" t="e">
        <f>IF(#REF!,"AAAAAHPdwrM=",0)</f>
        <v>#REF!</v>
      </c>
      <c r="FY80" t="e">
        <f>AND(#REF!,"AAAAAHPdwrQ=")</f>
        <v>#REF!</v>
      </c>
      <c r="FZ80" t="e">
        <f>AND(#REF!,"AAAAAHPdwrU=")</f>
        <v>#REF!</v>
      </c>
      <c r="GA80" t="e">
        <f>AND(#REF!,"AAAAAHPdwrY=")</f>
        <v>#REF!</v>
      </c>
      <c r="GB80" t="e">
        <f>AND(#REF!,"AAAAAHPdwrc=")</f>
        <v>#REF!</v>
      </c>
      <c r="GC80" t="e">
        <f>AND(#REF!,"AAAAAHPdwrg=")</f>
        <v>#REF!</v>
      </c>
      <c r="GD80" t="e">
        <f>AND(#REF!,"AAAAAHPdwrk=")</f>
        <v>#REF!</v>
      </c>
      <c r="GE80" t="e">
        <f>AND(#REF!,"AAAAAHPdwro=")</f>
        <v>#REF!</v>
      </c>
      <c r="GF80" t="e">
        <f>AND(#REF!,"AAAAAHPdwrs=")</f>
        <v>#REF!</v>
      </c>
      <c r="GG80" t="e">
        <f>IF(#REF!,"AAAAAHPdwrw=",0)</f>
        <v>#REF!</v>
      </c>
      <c r="GH80" t="e">
        <f>AND(#REF!,"AAAAAHPdwr0=")</f>
        <v>#REF!</v>
      </c>
      <c r="GI80" t="e">
        <f>AND(#REF!,"AAAAAHPdwr4=")</f>
        <v>#REF!</v>
      </c>
      <c r="GJ80" t="e">
        <f>AND(#REF!,"AAAAAHPdwr8=")</f>
        <v>#REF!</v>
      </c>
      <c r="GK80" t="e">
        <f>AND(#REF!,"AAAAAHPdwsA=")</f>
        <v>#REF!</v>
      </c>
      <c r="GL80" t="e">
        <f>AND(#REF!,"AAAAAHPdwsE=")</f>
        <v>#REF!</v>
      </c>
      <c r="GM80" t="e">
        <f>AND(#REF!,"AAAAAHPdwsI=")</f>
        <v>#REF!</v>
      </c>
      <c r="GN80" t="e">
        <f>AND(#REF!,"AAAAAHPdwsM=")</f>
        <v>#REF!</v>
      </c>
      <c r="GO80" t="e">
        <f>AND(#REF!,"AAAAAHPdwsQ=")</f>
        <v>#REF!</v>
      </c>
      <c r="GP80" t="e">
        <f>IF(#REF!,"AAAAAHPdwsU=",0)</f>
        <v>#REF!</v>
      </c>
      <c r="GQ80" t="e">
        <f>AND(#REF!,"AAAAAHPdwsY=")</f>
        <v>#REF!</v>
      </c>
      <c r="GR80" t="e">
        <f>AND(#REF!,"AAAAAHPdwsc=")</f>
        <v>#REF!</v>
      </c>
      <c r="GS80" t="e">
        <f>AND(#REF!,"AAAAAHPdwsg=")</f>
        <v>#REF!</v>
      </c>
      <c r="GT80" t="e">
        <f>AND(#REF!,"AAAAAHPdwsk=")</f>
        <v>#REF!</v>
      </c>
      <c r="GU80" t="e">
        <f>AND(#REF!,"AAAAAHPdwso=")</f>
        <v>#REF!</v>
      </c>
      <c r="GV80" t="e">
        <f>AND(#REF!,"AAAAAHPdwss=")</f>
        <v>#REF!</v>
      </c>
      <c r="GW80" t="e">
        <f>AND(#REF!,"AAAAAHPdwsw=")</f>
        <v>#REF!</v>
      </c>
      <c r="GX80" t="e">
        <f>AND(#REF!,"AAAAAHPdws0=")</f>
        <v>#REF!</v>
      </c>
      <c r="GY80" t="e">
        <f>IF(#REF!,"AAAAAHPdws4=",0)</f>
        <v>#REF!</v>
      </c>
      <c r="GZ80" t="e">
        <f>AND(#REF!,"AAAAAHPdws8=")</f>
        <v>#REF!</v>
      </c>
      <c r="HA80" t="e">
        <f>AND(#REF!,"AAAAAHPdwtA=")</f>
        <v>#REF!</v>
      </c>
      <c r="HB80" t="e">
        <f>AND(#REF!,"AAAAAHPdwtE=")</f>
        <v>#REF!</v>
      </c>
      <c r="HC80" t="e">
        <f>AND(#REF!,"AAAAAHPdwtI=")</f>
        <v>#REF!</v>
      </c>
      <c r="HD80" t="e">
        <f>AND(#REF!,"AAAAAHPdwtM=")</f>
        <v>#REF!</v>
      </c>
      <c r="HE80" t="e">
        <f>AND(#REF!,"AAAAAHPdwtQ=")</f>
        <v>#REF!</v>
      </c>
      <c r="HF80" t="e">
        <f>AND(#REF!,"AAAAAHPdwtU=")</f>
        <v>#REF!</v>
      </c>
      <c r="HG80" t="e">
        <f>AND(#REF!,"AAAAAHPdwtY=")</f>
        <v>#REF!</v>
      </c>
      <c r="HH80" t="e">
        <f>IF(#REF!,"AAAAAHPdwtc=",0)</f>
        <v>#REF!</v>
      </c>
      <c r="HI80" t="e">
        <f>AND(#REF!,"AAAAAHPdwtg=")</f>
        <v>#REF!</v>
      </c>
      <c r="HJ80" t="e">
        <f>AND(#REF!,"AAAAAHPdwtk=")</f>
        <v>#REF!</v>
      </c>
      <c r="HK80" t="e">
        <f>AND(#REF!,"AAAAAHPdwto=")</f>
        <v>#REF!</v>
      </c>
      <c r="HL80" t="e">
        <f>AND(#REF!,"AAAAAHPdwts=")</f>
        <v>#REF!</v>
      </c>
      <c r="HM80" t="e">
        <f>AND(#REF!,"AAAAAHPdwtw=")</f>
        <v>#REF!</v>
      </c>
      <c r="HN80" t="e">
        <f>AND(#REF!,"AAAAAHPdwt0=")</f>
        <v>#REF!</v>
      </c>
      <c r="HO80" t="e">
        <f>AND(#REF!,"AAAAAHPdwt4=")</f>
        <v>#REF!</v>
      </c>
      <c r="HP80" t="e">
        <f>AND(#REF!,"AAAAAHPdwt8=")</f>
        <v>#REF!</v>
      </c>
      <c r="HQ80" t="e">
        <f>IF(#REF!,"AAAAAHPdwuA=",0)</f>
        <v>#REF!</v>
      </c>
      <c r="HR80" t="e">
        <f>AND(#REF!,"AAAAAHPdwuE=")</f>
        <v>#REF!</v>
      </c>
      <c r="HS80" t="e">
        <f>AND(#REF!,"AAAAAHPdwuI=")</f>
        <v>#REF!</v>
      </c>
      <c r="HT80" t="e">
        <f>AND(#REF!,"AAAAAHPdwuM=")</f>
        <v>#REF!</v>
      </c>
      <c r="HU80" t="e">
        <f>AND(#REF!,"AAAAAHPdwuQ=")</f>
        <v>#REF!</v>
      </c>
      <c r="HV80" t="e">
        <f>AND(#REF!,"AAAAAHPdwuU=")</f>
        <v>#REF!</v>
      </c>
      <c r="HW80" t="e">
        <f>AND(#REF!,"AAAAAHPdwuY=")</f>
        <v>#REF!</v>
      </c>
      <c r="HX80" t="e">
        <f>AND(#REF!,"AAAAAHPdwuc=")</f>
        <v>#REF!</v>
      </c>
      <c r="HY80" t="e">
        <f>AND(#REF!,"AAAAAHPdwug=")</f>
        <v>#REF!</v>
      </c>
      <c r="HZ80" t="e">
        <f>IF(#REF!,"AAAAAHPdwuk=",0)</f>
        <v>#REF!</v>
      </c>
      <c r="IA80" t="e">
        <f>AND(#REF!,"AAAAAHPdwuo=")</f>
        <v>#REF!</v>
      </c>
      <c r="IB80" t="e">
        <f>AND(#REF!,"AAAAAHPdwus=")</f>
        <v>#REF!</v>
      </c>
      <c r="IC80" t="e">
        <f>AND(#REF!,"AAAAAHPdwuw=")</f>
        <v>#REF!</v>
      </c>
      <c r="ID80" t="e">
        <f>AND(#REF!,"AAAAAHPdwu0=")</f>
        <v>#REF!</v>
      </c>
      <c r="IE80" t="e">
        <f>AND(#REF!,"AAAAAHPdwu4=")</f>
        <v>#REF!</v>
      </c>
      <c r="IF80" t="e">
        <f>AND(#REF!,"AAAAAHPdwu8=")</f>
        <v>#REF!</v>
      </c>
      <c r="IG80" t="e">
        <f>AND(#REF!,"AAAAAHPdwvA=")</f>
        <v>#REF!</v>
      </c>
      <c r="IH80" t="e">
        <f>AND(#REF!,"AAAAAHPdwvE=")</f>
        <v>#REF!</v>
      </c>
      <c r="II80" t="e">
        <f>IF(#REF!,"AAAAAHPdwvI=",0)</f>
        <v>#REF!</v>
      </c>
      <c r="IJ80" t="e">
        <f>AND(#REF!,"AAAAAHPdwvM=")</f>
        <v>#REF!</v>
      </c>
      <c r="IK80" t="e">
        <f>AND(#REF!,"AAAAAHPdwvQ=")</f>
        <v>#REF!</v>
      </c>
      <c r="IL80" t="e">
        <f>AND(#REF!,"AAAAAHPdwvU=")</f>
        <v>#REF!</v>
      </c>
      <c r="IM80" t="e">
        <f>AND(#REF!,"AAAAAHPdwvY=")</f>
        <v>#REF!</v>
      </c>
      <c r="IN80" t="e">
        <f>AND(#REF!,"AAAAAHPdwvc=")</f>
        <v>#REF!</v>
      </c>
      <c r="IO80" t="e">
        <f>AND(#REF!,"AAAAAHPdwvg=")</f>
        <v>#REF!</v>
      </c>
      <c r="IP80" t="e">
        <f>AND(#REF!,"AAAAAHPdwvk=")</f>
        <v>#REF!</v>
      </c>
      <c r="IQ80" t="e">
        <f>AND(#REF!,"AAAAAHPdwvo=")</f>
        <v>#REF!</v>
      </c>
      <c r="IR80" t="e">
        <f>IF(#REF!,"AAAAAHPdwvs=",0)</f>
        <v>#REF!</v>
      </c>
      <c r="IS80" t="e">
        <f>AND(#REF!,"AAAAAHPdwvw=")</f>
        <v>#REF!</v>
      </c>
      <c r="IT80" t="e">
        <f>AND(#REF!,"AAAAAHPdwv0=")</f>
        <v>#REF!</v>
      </c>
      <c r="IU80" t="e">
        <f>AND(#REF!,"AAAAAHPdwv4=")</f>
        <v>#REF!</v>
      </c>
      <c r="IV80" t="e">
        <f>AND(#REF!,"AAAAAHPdwv8=")</f>
        <v>#REF!</v>
      </c>
    </row>
    <row r="81" spans="1:256" x14ac:dyDescent="0.25">
      <c r="A81" t="e">
        <f>AND(#REF!,"AAAAAHf/dwA=")</f>
        <v>#REF!</v>
      </c>
      <c r="B81" t="e">
        <f>AND(#REF!,"AAAAAHf/dwE=")</f>
        <v>#REF!</v>
      </c>
      <c r="C81" t="e">
        <f>AND(#REF!,"AAAAAHf/dwI=")</f>
        <v>#REF!</v>
      </c>
      <c r="D81" t="e">
        <f>AND(#REF!,"AAAAAHf/dwM=")</f>
        <v>#REF!</v>
      </c>
      <c r="E81" t="e">
        <f>IF(#REF!,"AAAAAHf/dwQ=",0)</f>
        <v>#REF!</v>
      </c>
      <c r="F81" t="e">
        <f>AND(#REF!,"AAAAAHf/dwU=")</f>
        <v>#REF!</v>
      </c>
      <c r="G81" t="e">
        <f>AND(#REF!,"AAAAAHf/dwY=")</f>
        <v>#REF!</v>
      </c>
      <c r="H81" t="e">
        <f>AND(#REF!,"AAAAAHf/dwc=")</f>
        <v>#REF!</v>
      </c>
      <c r="I81" t="e">
        <f>AND(#REF!,"AAAAAHf/dwg=")</f>
        <v>#REF!</v>
      </c>
      <c r="J81" t="e">
        <f>AND(#REF!,"AAAAAHf/dwk=")</f>
        <v>#REF!</v>
      </c>
      <c r="K81" t="e">
        <f>AND(#REF!,"AAAAAHf/dwo=")</f>
        <v>#REF!</v>
      </c>
      <c r="L81" t="e">
        <f>AND(#REF!,"AAAAAHf/dws=")</f>
        <v>#REF!</v>
      </c>
      <c r="M81" t="e">
        <f>AND(#REF!,"AAAAAHf/dww=")</f>
        <v>#REF!</v>
      </c>
      <c r="N81" t="e">
        <f>IF(#REF!,"AAAAAHf/dw0=",0)</f>
        <v>#REF!</v>
      </c>
      <c r="O81" t="e">
        <f>AND(#REF!,"AAAAAHf/dw4=")</f>
        <v>#REF!</v>
      </c>
      <c r="P81" t="e">
        <f>AND(#REF!,"AAAAAHf/dw8=")</f>
        <v>#REF!</v>
      </c>
      <c r="Q81" t="e">
        <f>AND(#REF!,"AAAAAHf/dxA=")</f>
        <v>#REF!</v>
      </c>
      <c r="R81" t="e">
        <f>AND(#REF!,"AAAAAHf/dxE=")</f>
        <v>#REF!</v>
      </c>
      <c r="S81" t="e">
        <f>AND(#REF!,"AAAAAHf/dxI=")</f>
        <v>#REF!</v>
      </c>
      <c r="T81" t="e">
        <f>AND(#REF!,"AAAAAHf/dxM=")</f>
        <v>#REF!</v>
      </c>
      <c r="U81" t="e">
        <f>AND(#REF!,"AAAAAHf/dxQ=")</f>
        <v>#REF!</v>
      </c>
      <c r="V81" t="e">
        <f>AND(#REF!,"AAAAAHf/dxU=")</f>
        <v>#REF!</v>
      </c>
      <c r="W81" t="e">
        <f>IF(#REF!,"AAAAAHf/dxY=",0)</f>
        <v>#REF!</v>
      </c>
      <c r="X81" t="e">
        <f>AND(#REF!,"AAAAAHf/dxc=")</f>
        <v>#REF!</v>
      </c>
      <c r="Y81" t="e">
        <f>AND(#REF!,"AAAAAHf/dxg=")</f>
        <v>#REF!</v>
      </c>
      <c r="Z81" t="e">
        <f>AND(#REF!,"AAAAAHf/dxk=")</f>
        <v>#REF!</v>
      </c>
      <c r="AA81" t="e">
        <f>AND(#REF!,"AAAAAHf/dxo=")</f>
        <v>#REF!</v>
      </c>
      <c r="AB81" t="e">
        <f>AND(#REF!,"AAAAAHf/dxs=")</f>
        <v>#REF!</v>
      </c>
      <c r="AC81" t="e">
        <f>AND(#REF!,"AAAAAHf/dxw=")</f>
        <v>#REF!</v>
      </c>
      <c r="AD81" t="e">
        <f>AND(#REF!,"AAAAAHf/dx0=")</f>
        <v>#REF!</v>
      </c>
      <c r="AE81" t="e">
        <f>AND(#REF!,"AAAAAHf/dx4=")</f>
        <v>#REF!</v>
      </c>
      <c r="AF81" t="e">
        <f>IF(#REF!,"AAAAAHf/dx8=",0)</f>
        <v>#REF!</v>
      </c>
      <c r="AG81" t="e">
        <f>AND(#REF!,"AAAAAHf/dyA=")</f>
        <v>#REF!</v>
      </c>
      <c r="AH81" t="e">
        <f>AND(#REF!,"AAAAAHf/dyE=")</f>
        <v>#REF!</v>
      </c>
      <c r="AI81" t="e">
        <f>AND(#REF!,"AAAAAHf/dyI=")</f>
        <v>#REF!</v>
      </c>
      <c r="AJ81" t="e">
        <f>AND(#REF!,"AAAAAHf/dyM=")</f>
        <v>#REF!</v>
      </c>
      <c r="AK81" t="e">
        <f>AND(#REF!,"AAAAAHf/dyQ=")</f>
        <v>#REF!</v>
      </c>
      <c r="AL81" t="e">
        <f>AND(#REF!,"AAAAAHf/dyU=")</f>
        <v>#REF!</v>
      </c>
      <c r="AM81" t="e">
        <f>AND(#REF!,"AAAAAHf/dyY=")</f>
        <v>#REF!</v>
      </c>
      <c r="AN81" t="e">
        <f>AND(#REF!,"AAAAAHf/dyc=")</f>
        <v>#REF!</v>
      </c>
      <c r="AO81" t="e">
        <f>IF(#REF!,"AAAAAHf/dyg=",0)</f>
        <v>#REF!</v>
      </c>
      <c r="AP81" t="e">
        <f>AND(#REF!,"AAAAAHf/dyk=")</f>
        <v>#REF!</v>
      </c>
      <c r="AQ81" t="e">
        <f>AND(#REF!,"AAAAAHf/dyo=")</f>
        <v>#REF!</v>
      </c>
      <c r="AR81" t="e">
        <f>AND(#REF!,"AAAAAHf/dys=")</f>
        <v>#REF!</v>
      </c>
      <c r="AS81" t="e">
        <f>AND(#REF!,"AAAAAHf/dyw=")</f>
        <v>#REF!</v>
      </c>
      <c r="AT81" t="e">
        <f>AND(#REF!,"AAAAAHf/dy0=")</f>
        <v>#REF!</v>
      </c>
      <c r="AU81" t="e">
        <f>AND(#REF!,"AAAAAHf/dy4=")</f>
        <v>#REF!</v>
      </c>
      <c r="AV81" t="e">
        <f>AND(#REF!,"AAAAAHf/dy8=")</f>
        <v>#REF!</v>
      </c>
      <c r="AW81" t="e">
        <f>AND(#REF!,"AAAAAHf/dzA=")</f>
        <v>#REF!</v>
      </c>
      <c r="AX81" t="e">
        <f>IF(#REF!,"AAAAAHf/dzE=",0)</f>
        <v>#REF!</v>
      </c>
      <c r="AY81" t="e">
        <f>AND(#REF!,"AAAAAHf/dzI=")</f>
        <v>#REF!</v>
      </c>
      <c r="AZ81" t="e">
        <f>AND(#REF!,"AAAAAHf/dzM=")</f>
        <v>#REF!</v>
      </c>
      <c r="BA81" t="e">
        <f>AND(#REF!,"AAAAAHf/dzQ=")</f>
        <v>#REF!</v>
      </c>
      <c r="BB81" t="e">
        <f>AND(#REF!,"AAAAAHf/dzU=")</f>
        <v>#REF!</v>
      </c>
      <c r="BC81" t="e">
        <f>AND(#REF!,"AAAAAHf/dzY=")</f>
        <v>#REF!</v>
      </c>
      <c r="BD81" t="e">
        <f>AND(#REF!,"AAAAAHf/dzc=")</f>
        <v>#REF!</v>
      </c>
      <c r="BE81" t="e">
        <f>AND(#REF!,"AAAAAHf/dzg=")</f>
        <v>#REF!</v>
      </c>
      <c r="BF81" t="e">
        <f>AND(#REF!,"AAAAAHf/dzk=")</f>
        <v>#REF!</v>
      </c>
      <c r="BG81" t="e">
        <f>IF(#REF!,"AAAAAHf/dzo=",0)</f>
        <v>#REF!</v>
      </c>
      <c r="BH81" t="e">
        <f>AND(#REF!,"AAAAAHf/dzs=")</f>
        <v>#REF!</v>
      </c>
      <c r="BI81" t="e">
        <f>AND(#REF!,"AAAAAHf/dzw=")</f>
        <v>#REF!</v>
      </c>
      <c r="BJ81" t="e">
        <f>AND(#REF!,"AAAAAHf/dz0=")</f>
        <v>#REF!</v>
      </c>
      <c r="BK81" t="e">
        <f>AND(#REF!,"AAAAAHf/dz4=")</f>
        <v>#REF!</v>
      </c>
      <c r="BL81" t="e">
        <f>AND(#REF!,"AAAAAHf/dz8=")</f>
        <v>#REF!</v>
      </c>
      <c r="BM81" t="e">
        <f>AND(#REF!,"AAAAAHf/d0A=")</f>
        <v>#REF!</v>
      </c>
      <c r="BN81" t="e">
        <f>AND(#REF!,"AAAAAHf/d0E=")</f>
        <v>#REF!</v>
      </c>
      <c r="BO81" t="e">
        <f>AND(#REF!,"AAAAAHf/d0I=")</f>
        <v>#REF!</v>
      </c>
      <c r="BP81" t="e">
        <f>IF(#REF!,"AAAAAHf/d0M=",0)</f>
        <v>#REF!</v>
      </c>
      <c r="BQ81" t="e">
        <f>AND(#REF!,"AAAAAHf/d0Q=")</f>
        <v>#REF!</v>
      </c>
      <c r="BR81" t="e">
        <f>AND(#REF!,"AAAAAHf/d0U=")</f>
        <v>#REF!</v>
      </c>
      <c r="BS81" t="e">
        <f>AND(#REF!,"AAAAAHf/d0Y=")</f>
        <v>#REF!</v>
      </c>
      <c r="BT81" t="e">
        <f>AND(#REF!,"AAAAAHf/d0c=")</f>
        <v>#REF!</v>
      </c>
      <c r="BU81" t="e">
        <f>AND(#REF!,"AAAAAHf/d0g=")</f>
        <v>#REF!</v>
      </c>
      <c r="BV81" t="e">
        <f>AND(#REF!,"AAAAAHf/d0k=")</f>
        <v>#REF!</v>
      </c>
      <c r="BW81" t="e">
        <f>AND(#REF!,"AAAAAHf/d0o=")</f>
        <v>#REF!</v>
      </c>
      <c r="BX81" t="e">
        <f>AND(#REF!,"AAAAAHf/d0s=")</f>
        <v>#REF!</v>
      </c>
      <c r="BY81" t="e">
        <f>IF(#REF!,"AAAAAHf/d0w=",0)</f>
        <v>#REF!</v>
      </c>
      <c r="BZ81" t="e">
        <f>AND(#REF!,"AAAAAHf/d00=")</f>
        <v>#REF!</v>
      </c>
      <c r="CA81" t="e">
        <f>AND(#REF!,"AAAAAHf/d04=")</f>
        <v>#REF!</v>
      </c>
      <c r="CB81" t="e">
        <f>AND(#REF!,"AAAAAHf/d08=")</f>
        <v>#REF!</v>
      </c>
      <c r="CC81" t="e">
        <f>AND(#REF!,"AAAAAHf/d1A=")</f>
        <v>#REF!</v>
      </c>
      <c r="CD81" t="e">
        <f>AND(#REF!,"AAAAAHf/d1E=")</f>
        <v>#REF!</v>
      </c>
      <c r="CE81" t="e">
        <f>AND(#REF!,"AAAAAHf/d1I=")</f>
        <v>#REF!</v>
      </c>
      <c r="CF81" t="e">
        <f>AND(#REF!,"AAAAAHf/d1M=")</f>
        <v>#REF!</v>
      </c>
      <c r="CG81" t="e">
        <f>AND(#REF!,"AAAAAHf/d1Q=")</f>
        <v>#REF!</v>
      </c>
      <c r="CH81" t="e">
        <f>IF(#REF!,"AAAAAHf/d1U=",0)</f>
        <v>#REF!</v>
      </c>
      <c r="CI81" t="e">
        <f>AND(#REF!,"AAAAAHf/d1Y=")</f>
        <v>#REF!</v>
      </c>
      <c r="CJ81" t="e">
        <f>AND(#REF!,"AAAAAHf/d1c=")</f>
        <v>#REF!</v>
      </c>
      <c r="CK81" t="e">
        <f>AND(#REF!,"AAAAAHf/d1g=")</f>
        <v>#REF!</v>
      </c>
      <c r="CL81" t="e">
        <f>AND(#REF!,"AAAAAHf/d1k=")</f>
        <v>#REF!</v>
      </c>
      <c r="CM81" t="e">
        <f>AND(#REF!,"AAAAAHf/d1o=")</f>
        <v>#REF!</v>
      </c>
      <c r="CN81" t="e">
        <f>AND(#REF!,"AAAAAHf/d1s=")</f>
        <v>#REF!</v>
      </c>
      <c r="CO81" t="e">
        <f>AND(#REF!,"AAAAAHf/d1w=")</f>
        <v>#REF!</v>
      </c>
      <c r="CP81" t="e">
        <f>AND(#REF!,"AAAAAHf/d10=")</f>
        <v>#REF!</v>
      </c>
      <c r="CQ81" t="e">
        <f>IF(#REF!,"AAAAAHf/d14=",0)</f>
        <v>#REF!</v>
      </c>
      <c r="CR81" t="e">
        <f>AND(#REF!,"AAAAAHf/d18=")</f>
        <v>#REF!</v>
      </c>
      <c r="CS81" t="e">
        <f>AND(#REF!,"AAAAAHf/d2A=")</f>
        <v>#REF!</v>
      </c>
      <c r="CT81" t="e">
        <f>AND(#REF!,"AAAAAHf/d2E=")</f>
        <v>#REF!</v>
      </c>
      <c r="CU81" t="e">
        <f>AND(#REF!,"AAAAAHf/d2I=")</f>
        <v>#REF!</v>
      </c>
      <c r="CV81" t="e">
        <f>AND(#REF!,"AAAAAHf/d2M=")</f>
        <v>#REF!</v>
      </c>
      <c r="CW81" t="e">
        <f>AND(#REF!,"AAAAAHf/d2Q=")</f>
        <v>#REF!</v>
      </c>
      <c r="CX81" t="e">
        <f>AND(#REF!,"AAAAAHf/d2U=")</f>
        <v>#REF!</v>
      </c>
      <c r="CY81" t="e">
        <f>AND(#REF!,"AAAAAHf/d2Y=")</f>
        <v>#REF!</v>
      </c>
      <c r="CZ81" t="e">
        <f>IF(#REF!,"AAAAAHf/d2c=",0)</f>
        <v>#REF!</v>
      </c>
      <c r="DA81" t="e">
        <f>AND(#REF!,"AAAAAHf/d2g=")</f>
        <v>#REF!</v>
      </c>
      <c r="DB81" t="e">
        <f>AND(#REF!,"AAAAAHf/d2k=")</f>
        <v>#REF!</v>
      </c>
      <c r="DC81" t="e">
        <f>AND(#REF!,"AAAAAHf/d2o=")</f>
        <v>#REF!</v>
      </c>
      <c r="DD81" t="e">
        <f>AND(#REF!,"AAAAAHf/d2s=")</f>
        <v>#REF!</v>
      </c>
      <c r="DE81" t="e">
        <f>AND(#REF!,"AAAAAHf/d2w=")</f>
        <v>#REF!</v>
      </c>
      <c r="DF81" t="e">
        <f>AND(#REF!,"AAAAAHf/d20=")</f>
        <v>#REF!</v>
      </c>
      <c r="DG81" t="e">
        <f>AND(#REF!,"AAAAAHf/d24=")</f>
        <v>#REF!</v>
      </c>
      <c r="DH81" t="e">
        <f>AND(#REF!,"AAAAAHf/d28=")</f>
        <v>#REF!</v>
      </c>
      <c r="DI81" t="e">
        <f>IF(#REF!,"AAAAAHf/d3A=",0)</f>
        <v>#REF!</v>
      </c>
      <c r="DJ81" t="e">
        <f>AND(#REF!,"AAAAAHf/d3E=")</f>
        <v>#REF!</v>
      </c>
      <c r="DK81" t="e">
        <f>AND(#REF!,"AAAAAHf/d3I=")</f>
        <v>#REF!</v>
      </c>
      <c r="DL81" t="e">
        <f>AND(#REF!,"AAAAAHf/d3M=")</f>
        <v>#REF!</v>
      </c>
      <c r="DM81" t="e">
        <f>AND(#REF!,"AAAAAHf/d3Q=")</f>
        <v>#REF!</v>
      </c>
      <c r="DN81" t="e">
        <f>AND(#REF!,"AAAAAHf/d3U=")</f>
        <v>#REF!</v>
      </c>
      <c r="DO81" t="e">
        <f>AND(#REF!,"AAAAAHf/d3Y=")</f>
        <v>#REF!</v>
      </c>
      <c r="DP81" t="e">
        <f>AND(#REF!,"AAAAAHf/d3c=")</f>
        <v>#REF!</v>
      </c>
      <c r="DQ81" t="e">
        <f>AND(#REF!,"AAAAAHf/d3g=")</f>
        <v>#REF!</v>
      </c>
      <c r="DR81" t="e">
        <f>IF(#REF!,"AAAAAHf/d3k=",0)</f>
        <v>#REF!</v>
      </c>
      <c r="DS81" t="e">
        <f>AND(#REF!,"AAAAAHf/d3o=")</f>
        <v>#REF!</v>
      </c>
      <c r="DT81" t="e">
        <f>AND(#REF!,"AAAAAHf/d3s=")</f>
        <v>#REF!</v>
      </c>
      <c r="DU81" t="e">
        <f>AND(#REF!,"AAAAAHf/d3w=")</f>
        <v>#REF!</v>
      </c>
      <c r="DV81" t="e">
        <f>AND(#REF!,"AAAAAHf/d30=")</f>
        <v>#REF!</v>
      </c>
      <c r="DW81" t="e">
        <f>AND(#REF!,"AAAAAHf/d34=")</f>
        <v>#REF!</v>
      </c>
      <c r="DX81" t="e">
        <f>AND(#REF!,"AAAAAHf/d38=")</f>
        <v>#REF!</v>
      </c>
      <c r="DY81" t="e">
        <f>AND(#REF!,"AAAAAHf/d4A=")</f>
        <v>#REF!</v>
      </c>
      <c r="DZ81" t="e">
        <f>AND(#REF!,"AAAAAHf/d4E=")</f>
        <v>#REF!</v>
      </c>
      <c r="EA81" t="e">
        <f>IF(#REF!,"AAAAAHf/d4I=",0)</f>
        <v>#REF!</v>
      </c>
      <c r="EB81" t="e">
        <f>AND(#REF!,"AAAAAHf/d4M=")</f>
        <v>#REF!</v>
      </c>
      <c r="EC81" t="e">
        <f>AND(#REF!,"AAAAAHf/d4Q=")</f>
        <v>#REF!</v>
      </c>
      <c r="ED81" t="e">
        <f>AND(#REF!,"AAAAAHf/d4U=")</f>
        <v>#REF!</v>
      </c>
      <c r="EE81" t="e">
        <f>AND(#REF!,"AAAAAHf/d4Y=")</f>
        <v>#REF!</v>
      </c>
      <c r="EF81" t="e">
        <f>AND(#REF!,"AAAAAHf/d4c=")</f>
        <v>#REF!</v>
      </c>
      <c r="EG81" t="e">
        <f>AND(#REF!,"AAAAAHf/d4g=")</f>
        <v>#REF!</v>
      </c>
      <c r="EH81" t="e">
        <f>AND(#REF!,"AAAAAHf/d4k=")</f>
        <v>#REF!</v>
      </c>
      <c r="EI81" t="e">
        <f>AND(#REF!,"AAAAAHf/d4o=")</f>
        <v>#REF!</v>
      </c>
      <c r="EJ81" t="e">
        <f>IF(#REF!,"AAAAAHf/d4s=",0)</f>
        <v>#REF!</v>
      </c>
      <c r="EK81" t="e">
        <f>AND(#REF!,"AAAAAHf/d4w=")</f>
        <v>#REF!</v>
      </c>
      <c r="EL81" t="e">
        <f>AND(#REF!,"AAAAAHf/d40=")</f>
        <v>#REF!</v>
      </c>
      <c r="EM81" t="e">
        <f>AND(#REF!,"AAAAAHf/d44=")</f>
        <v>#REF!</v>
      </c>
      <c r="EN81" t="e">
        <f>AND(#REF!,"AAAAAHf/d48=")</f>
        <v>#REF!</v>
      </c>
      <c r="EO81" t="e">
        <f>AND(#REF!,"AAAAAHf/d5A=")</f>
        <v>#REF!</v>
      </c>
      <c r="EP81" t="e">
        <f>AND(#REF!,"AAAAAHf/d5E=")</f>
        <v>#REF!</v>
      </c>
      <c r="EQ81" t="e">
        <f>AND(#REF!,"AAAAAHf/d5I=")</f>
        <v>#REF!</v>
      </c>
      <c r="ER81" t="e">
        <f>AND(#REF!,"AAAAAHf/d5M=")</f>
        <v>#REF!</v>
      </c>
      <c r="ES81" t="e">
        <f>IF(#REF!,"AAAAAHf/d5Q=",0)</f>
        <v>#REF!</v>
      </c>
      <c r="ET81" t="e">
        <f>AND(#REF!,"AAAAAHf/d5U=")</f>
        <v>#REF!</v>
      </c>
      <c r="EU81" t="e">
        <f>AND(#REF!,"AAAAAHf/d5Y=")</f>
        <v>#REF!</v>
      </c>
      <c r="EV81" t="e">
        <f>AND(#REF!,"AAAAAHf/d5c=")</f>
        <v>#REF!</v>
      </c>
      <c r="EW81" t="e">
        <f>AND(#REF!,"AAAAAHf/d5g=")</f>
        <v>#REF!</v>
      </c>
      <c r="EX81" t="e">
        <f>AND(#REF!,"AAAAAHf/d5k=")</f>
        <v>#REF!</v>
      </c>
      <c r="EY81" t="e">
        <f>AND(#REF!,"AAAAAHf/d5o=")</f>
        <v>#REF!</v>
      </c>
      <c r="EZ81" t="e">
        <f>AND(#REF!,"AAAAAHf/d5s=")</f>
        <v>#REF!</v>
      </c>
      <c r="FA81" t="e">
        <f>AND(#REF!,"AAAAAHf/d5w=")</f>
        <v>#REF!</v>
      </c>
      <c r="FB81" t="e">
        <f>IF(#REF!,"AAAAAHf/d50=",0)</f>
        <v>#REF!</v>
      </c>
      <c r="FC81" t="e">
        <f>AND(#REF!,"AAAAAHf/d54=")</f>
        <v>#REF!</v>
      </c>
      <c r="FD81" t="e">
        <f>AND(#REF!,"AAAAAHf/d58=")</f>
        <v>#REF!</v>
      </c>
      <c r="FE81" t="e">
        <f>AND(#REF!,"AAAAAHf/d6A=")</f>
        <v>#REF!</v>
      </c>
      <c r="FF81" t="e">
        <f>AND(#REF!,"AAAAAHf/d6E=")</f>
        <v>#REF!</v>
      </c>
      <c r="FG81" t="e">
        <f>AND(#REF!,"AAAAAHf/d6I=")</f>
        <v>#REF!</v>
      </c>
      <c r="FH81" t="e">
        <f>AND(#REF!,"AAAAAHf/d6M=")</f>
        <v>#REF!</v>
      </c>
      <c r="FI81" t="e">
        <f>AND(#REF!,"AAAAAHf/d6Q=")</f>
        <v>#REF!</v>
      </c>
      <c r="FJ81" t="e">
        <f>AND(#REF!,"AAAAAHf/d6U=")</f>
        <v>#REF!</v>
      </c>
      <c r="FK81" t="e">
        <f>IF(#REF!,"AAAAAHf/d6Y=",0)</f>
        <v>#REF!</v>
      </c>
      <c r="FL81" t="e">
        <f>AND(#REF!,"AAAAAHf/d6c=")</f>
        <v>#REF!</v>
      </c>
      <c r="FM81" t="e">
        <f>AND(#REF!,"AAAAAHf/d6g=")</f>
        <v>#REF!</v>
      </c>
      <c r="FN81" t="e">
        <f>AND(#REF!,"AAAAAHf/d6k=")</f>
        <v>#REF!</v>
      </c>
      <c r="FO81" t="e">
        <f>AND(#REF!,"AAAAAHf/d6o=")</f>
        <v>#REF!</v>
      </c>
      <c r="FP81" t="e">
        <f>AND(#REF!,"AAAAAHf/d6s=")</f>
        <v>#REF!</v>
      </c>
      <c r="FQ81" t="e">
        <f>AND(#REF!,"AAAAAHf/d6w=")</f>
        <v>#REF!</v>
      </c>
      <c r="FR81" t="e">
        <f>AND(#REF!,"AAAAAHf/d60=")</f>
        <v>#REF!</v>
      </c>
      <c r="FS81" t="e">
        <f>AND(#REF!,"AAAAAHf/d64=")</f>
        <v>#REF!</v>
      </c>
      <c r="FT81" t="e">
        <f>IF(#REF!,"AAAAAHf/d68=",0)</f>
        <v>#REF!</v>
      </c>
      <c r="FU81" t="e">
        <f>AND(#REF!,"AAAAAHf/d7A=")</f>
        <v>#REF!</v>
      </c>
      <c r="FV81" t="e">
        <f>AND(#REF!,"AAAAAHf/d7E=")</f>
        <v>#REF!</v>
      </c>
      <c r="FW81" t="e">
        <f>AND(#REF!,"AAAAAHf/d7I=")</f>
        <v>#REF!</v>
      </c>
      <c r="FX81" t="e">
        <f>AND(#REF!,"AAAAAHf/d7M=")</f>
        <v>#REF!</v>
      </c>
      <c r="FY81" t="e">
        <f>AND(#REF!,"AAAAAHf/d7Q=")</f>
        <v>#REF!</v>
      </c>
      <c r="FZ81" t="e">
        <f>AND(#REF!,"AAAAAHf/d7U=")</f>
        <v>#REF!</v>
      </c>
      <c r="GA81" t="e">
        <f>AND(#REF!,"AAAAAHf/d7Y=")</f>
        <v>#REF!</v>
      </c>
      <c r="GB81" t="e">
        <f>AND(#REF!,"AAAAAHf/d7c=")</f>
        <v>#REF!</v>
      </c>
      <c r="GC81" t="e">
        <f>IF(#REF!,"AAAAAHf/d7g=",0)</f>
        <v>#REF!</v>
      </c>
      <c r="GD81" t="e">
        <f>AND(#REF!,"AAAAAHf/d7k=")</f>
        <v>#REF!</v>
      </c>
      <c r="GE81" t="e">
        <f>AND(#REF!,"AAAAAHf/d7o=")</f>
        <v>#REF!</v>
      </c>
      <c r="GF81" t="e">
        <f>AND(#REF!,"AAAAAHf/d7s=")</f>
        <v>#REF!</v>
      </c>
      <c r="GG81" t="e">
        <f>AND(#REF!,"AAAAAHf/d7w=")</f>
        <v>#REF!</v>
      </c>
      <c r="GH81" t="e">
        <f>AND(#REF!,"AAAAAHf/d70=")</f>
        <v>#REF!</v>
      </c>
      <c r="GI81" t="e">
        <f>AND(#REF!,"AAAAAHf/d74=")</f>
        <v>#REF!</v>
      </c>
      <c r="GJ81" t="e">
        <f>AND(#REF!,"AAAAAHf/d78=")</f>
        <v>#REF!</v>
      </c>
      <c r="GK81" t="e">
        <f>AND(#REF!,"AAAAAHf/d8A=")</f>
        <v>#REF!</v>
      </c>
      <c r="GL81" t="e">
        <f>IF(#REF!,"AAAAAHf/d8E=",0)</f>
        <v>#REF!</v>
      </c>
      <c r="GM81" t="e">
        <f>AND(#REF!,"AAAAAHf/d8I=")</f>
        <v>#REF!</v>
      </c>
      <c r="GN81" t="e">
        <f>AND(#REF!,"AAAAAHf/d8M=")</f>
        <v>#REF!</v>
      </c>
      <c r="GO81" t="e">
        <f>AND(#REF!,"AAAAAHf/d8Q=")</f>
        <v>#REF!</v>
      </c>
      <c r="GP81" t="e">
        <f>AND(#REF!,"AAAAAHf/d8U=")</f>
        <v>#REF!</v>
      </c>
      <c r="GQ81" t="e">
        <f>AND(#REF!,"AAAAAHf/d8Y=")</f>
        <v>#REF!</v>
      </c>
      <c r="GR81" t="e">
        <f>AND(#REF!,"AAAAAHf/d8c=")</f>
        <v>#REF!</v>
      </c>
      <c r="GS81" t="e">
        <f>AND(#REF!,"AAAAAHf/d8g=")</f>
        <v>#REF!</v>
      </c>
      <c r="GT81" t="e">
        <f>AND(#REF!,"AAAAAHf/d8k=")</f>
        <v>#REF!</v>
      </c>
      <c r="GU81" t="e">
        <f>IF(#REF!,"AAAAAHf/d8o=",0)</f>
        <v>#REF!</v>
      </c>
      <c r="GV81" t="e">
        <f>AND(#REF!,"AAAAAHf/d8s=")</f>
        <v>#REF!</v>
      </c>
      <c r="GW81" t="e">
        <f>AND(#REF!,"AAAAAHf/d8w=")</f>
        <v>#REF!</v>
      </c>
      <c r="GX81" t="e">
        <f>AND(#REF!,"AAAAAHf/d80=")</f>
        <v>#REF!</v>
      </c>
      <c r="GY81" t="e">
        <f>AND(#REF!,"AAAAAHf/d84=")</f>
        <v>#REF!</v>
      </c>
      <c r="GZ81" t="e">
        <f>AND(#REF!,"AAAAAHf/d88=")</f>
        <v>#REF!</v>
      </c>
      <c r="HA81" t="e">
        <f>AND(#REF!,"AAAAAHf/d9A=")</f>
        <v>#REF!</v>
      </c>
      <c r="HB81" t="e">
        <f>AND(#REF!,"AAAAAHf/d9E=")</f>
        <v>#REF!</v>
      </c>
      <c r="HC81" t="e">
        <f>AND(#REF!,"AAAAAHf/d9I=")</f>
        <v>#REF!</v>
      </c>
      <c r="HD81" t="e">
        <f>IF(#REF!,"AAAAAHf/d9M=",0)</f>
        <v>#REF!</v>
      </c>
      <c r="HE81" t="e">
        <f>AND(#REF!,"AAAAAHf/d9Q=")</f>
        <v>#REF!</v>
      </c>
      <c r="HF81" t="e">
        <f>AND(#REF!,"AAAAAHf/d9U=")</f>
        <v>#REF!</v>
      </c>
      <c r="HG81" t="e">
        <f>AND(#REF!,"AAAAAHf/d9Y=")</f>
        <v>#REF!</v>
      </c>
      <c r="HH81" t="e">
        <f>AND(#REF!,"AAAAAHf/d9c=")</f>
        <v>#REF!</v>
      </c>
      <c r="HI81" t="e">
        <f>AND(#REF!,"AAAAAHf/d9g=")</f>
        <v>#REF!</v>
      </c>
      <c r="HJ81" t="e">
        <f>AND(#REF!,"AAAAAHf/d9k=")</f>
        <v>#REF!</v>
      </c>
      <c r="HK81" t="e">
        <f>AND(#REF!,"AAAAAHf/d9o=")</f>
        <v>#REF!</v>
      </c>
      <c r="HL81" t="e">
        <f>AND(#REF!,"AAAAAHf/d9s=")</f>
        <v>#REF!</v>
      </c>
      <c r="HM81" t="e">
        <f>IF(#REF!,"AAAAAHf/d9w=",0)</f>
        <v>#REF!</v>
      </c>
      <c r="HN81" t="e">
        <f>AND(#REF!,"AAAAAHf/d90=")</f>
        <v>#REF!</v>
      </c>
      <c r="HO81" t="e">
        <f>AND(#REF!,"AAAAAHf/d94=")</f>
        <v>#REF!</v>
      </c>
      <c r="HP81" t="e">
        <f>AND(#REF!,"AAAAAHf/d98=")</f>
        <v>#REF!</v>
      </c>
      <c r="HQ81" t="e">
        <f>AND(#REF!,"AAAAAHf/d+A=")</f>
        <v>#REF!</v>
      </c>
      <c r="HR81" t="e">
        <f>AND(#REF!,"AAAAAHf/d+E=")</f>
        <v>#REF!</v>
      </c>
      <c r="HS81" t="e">
        <f>AND(#REF!,"AAAAAHf/d+I=")</f>
        <v>#REF!</v>
      </c>
      <c r="HT81" t="e">
        <f>AND(#REF!,"AAAAAHf/d+M=")</f>
        <v>#REF!</v>
      </c>
      <c r="HU81" t="e">
        <f>AND(#REF!,"AAAAAHf/d+Q=")</f>
        <v>#REF!</v>
      </c>
      <c r="HV81" t="e">
        <f>IF(#REF!,"AAAAAHf/d+U=",0)</f>
        <v>#REF!</v>
      </c>
      <c r="HW81" t="e">
        <f>AND(#REF!,"AAAAAHf/d+Y=")</f>
        <v>#REF!</v>
      </c>
      <c r="HX81" t="e">
        <f>AND(#REF!,"AAAAAHf/d+c=")</f>
        <v>#REF!</v>
      </c>
      <c r="HY81" t="e">
        <f>AND(#REF!,"AAAAAHf/d+g=")</f>
        <v>#REF!</v>
      </c>
      <c r="HZ81" t="e">
        <f>AND(#REF!,"AAAAAHf/d+k=")</f>
        <v>#REF!</v>
      </c>
      <c r="IA81" t="e">
        <f>AND(#REF!,"AAAAAHf/d+o=")</f>
        <v>#REF!</v>
      </c>
      <c r="IB81" t="e">
        <f>AND(#REF!,"AAAAAHf/d+s=")</f>
        <v>#REF!</v>
      </c>
      <c r="IC81" t="e">
        <f>AND(#REF!,"AAAAAHf/d+w=")</f>
        <v>#REF!</v>
      </c>
      <c r="ID81" t="e">
        <f>AND(#REF!,"AAAAAHf/d+0=")</f>
        <v>#REF!</v>
      </c>
      <c r="IE81" t="e">
        <f>IF(#REF!,"AAAAAHf/d+4=",0)</f>
        <v>#REF!</v>
      </c>
      <c r="IF81" t="e">
        <f>AND(#REF!,"AAAAAHf/d+8=")</f>
        <v>#REF!</v>
      </c>
      <c r="IG81" t="e">
        <f>AND(#REF!,"AAAAAHf/d/A=")</f>
        <v>#REF!</v>
      </c>
      <c r="IH81" t="e">
        <f>AND(#REF!,"AAAAAHf/d/E=")</f>
        <v>#REF!</v>
      </c>
      <c r="II81" t="e">
        <f>AND(#REF!,"AAAAAHf/d/I=")</f>
        <v>#REF!</v>
      </c>
      <c r="IJ81" t="e">
        <f>AND(#REF!,"AAAAAHf/d/M=")</f>
        <v>#REF!</v>
      </c>
      <c r="IK81" t="e">
        <f>AND(#REF!,"AAAAAHf/d/Q=")</f>
        <v>#REF!</v>
      </c>
      <c r="IL81" t="e">
        <f>AND(#REF!,"AAAAAHf/d/U=")</f>
        <v>#REF!</v>
      </c>
      <c r="IM81" t="e">
        <f>AND(#REF!,"AAAAAHf/d/Y=")</f>
        <v>#REF!</v>
      </c>
      <c r="IN81" t="e">
        <f>IF(#REF!,"AAAAAHf/d/c=",0)</f>
        <v>#REF!</v>
      </c>
      <c r="IO81" t="e">
        <f>AND(#REF!,"AAAAAHf/d/g=")</f>
        <v>#REF!</v>
      </c>
      <c r="IP81" t="e">
        <f>AND(#REF!,"AAAAAHf/d/k=")</f>
        <v>#REF!</v>
      </c>
      <c r="IQ81" t="e">
        <f>AND(#REF!,"AAAAAHf/d/o=")</f>
        <v>#REF!</v>
      </c>
      <c r="IR81" t="e">
        <f>AND(#REF!,"AAAAAHf/d/s=")</f>
        <v>#REF!</v>
      </c>
      <c r="IS81" t="e">
        <f>AND(#REF!,"AAAAAHf/d/w=")</f>
        <v>#REF!</v>
      </c>
      <c r="IT81" t="e">
        <f>AND(#REF!,"AAAAAHf/d/0=")</f>
        <v>#REF!</v>
      </c>
      <c r="IU81" t="e">
        <f>AND(#REF!,"AAAAAHf/d/4=")</f>
        <v>#REF!</v>
      </c>
      <c r="IV81" t="e">
        <f>AND(#REF!,"AAAAAHf/d/8=")</f>
        <v>#REF!</v>
      </c>
    </row>
    <row r="82" spans="1:256" x14ac:dyDescent="0.25">
      <c r="A82" t="e">
        <f>IF(#REF!,"AAAAAH9/uwA=",0)</f>
        <v>#REF!</v>
      </c>
      <c r="B82" t="e">
        <f>AND(#REF!,"AAAAAH9/uwE=")</f>
        <v>#REF!</v>
      </c>
      <c r="C82" t="e">
        <f>AND(#REF!,"AAAAAH9/uwI=")</f>
        <v>#REF!</v>
      </c>
      <c r="D82" t="e">
        <f>AND(#REF!,"AAAAAH9/uwM=")</f>
        <v>#REF!</v>
      </c>
      <c r="E82" t="e">
        <f>AND(#REF!,"AAAAAH9/uwQ=")</f>
        <v>#REF!</v>
      </c>
      <c r="F82" t="e">
        <f>AND(#REF!,"AAAAAH9/uwU=")</f>
        <v>#REF!</v>
      </c>
      <c r="G82" t="e">
        <f>AND(#REF!,"AAAAAH9/uwY=")</f>
        <v>#REF!</v>
      </c>
      <c r="H82" t="e">
        <f>AND(#REF!,"AAAAAH9/uwc=")</f>
        <v>#REF!</v>
      </c>
      <c r="I82" t="e">
        <f>AND(#REF!,"AAAAAH9/uwg=")</f>
        <v>#REF!</v>
      </c>
      <c r="J82" t="e">
        <f>IF(#REF!,"AAAAAH9/uwk=",0)</f>
        <v>#REF!</v>
      </c>
      <c r="K82" t="e">
        <f>AND(#REF!,"AAAAAH9/uwo=")</f>
        <v>#REF!</v>
      </c>
      <c r="L82" t="e">
        <f>AND(#REF!,"AAAAAH9/uws=")</f>
        <v>#REF!</v>
      </c>
      <c r="M82" t="e">
        <f>AND(#REF!,"AAAAAH9/uww=")</f>
        <v>#REF!</v>
      </c>
      <c r="N82" t="e">
        <f>AND(#REF!,"AAAAAH9/uw0=")</f>
        <v>#REF!</v>
      </c>
      <c r="O82" t="e">
        <f>AND(#REF!,"AAAAAH9/uw4=")</f>
        <v>#REF!</v>
      </c>
      <c r="P82" t="e">
        <f>AND(#REF!,"AAAAAH9/uw8=")</f>
        <v>#REF!</v>
      </c>
      <c r="Q82" t="e">
        <f>AND(#REF!,"AAAAAH9/uxA=")</f>
        <v>#REF!</v>
      </c>
      <c r="R82" t="e">
        <f>AND(#REF!,"AAAAAH9/uxE=")</f>
        <v>#REF!</v>
      </c>
      <c r="S82" t="e">
        <f>IF(#REF!,"AAAAAH9/uxI=",0)</f>
        <v>#REF!</v>
      </c>
      <c r="T82" t="e">
        <f>AND(#REF!,"AAAAAH9/uxM=")</f>
        <v>#REF!</v>
      </c>
      <c r="U82" t="e">
        <f>AND(#REF!,"AAAAAH9/uxQ=")</f>
        <v>#REF!</v>
      </c>
      <c r="V82" t="e">
        <f>AND(#REF!,"AAAAAH9/uxU=")</f>
        <v>#REF!</v>
      </c>
      <c r="W82" t="e">
        <f>AND(#REF!,"AAAAAH9/uxY=")</f>
        <v>#REF!</v>
      </c>
      <c r="X82" t="e">
        <f>AND(#REF!,"AAAAAH9/uxc=")</f>
        <v>#REF!</v>
      </c>
      <c r="Y82" t="e">
        <f>AND(#REF!,"AAAAAH9/uxg=")</f>
        <v>#REF!</v>
      </c>
      <c r="Z82" t="e">
        <f>AND(#REF!,"AAAAAH9/uxk=")</f>
        <v>#REF!</v>
      </c>
      <c r="AA82" t="e">
        <f>AND(#REF!,"AAAAAH9/uxo=")</f>
        <v>#REF!</v>
      </c>
      <c r="AB82" t="e">
        <f>IF(#REF!,"AAAAAH9/uxs=",0)</f>
        <v>#REF!</v>
      </c>
      <c r="AC82" t="e">
        <f>AND(#REF!,"AAAAAH9/uxw=")</f>
        <v>#REF!</v>
      </c>
      <c r="AD82" t="e">
        <f>AND(#REF!,"AAAAAH9/ux0=")</f>
        <v>#REF!</v>
      </c>
      <c r="AE82" t="e">
        <f>AND(#REF!,"AAAAAH9/ux4=")</f>
        <v>#REF!</v>
      </c>
      <c r="AF82" t="e">
        <f>AND(#REF!,"AAAAAH9/ux8=")</f>
        <v>#REF!</v>
      </c>
      <c r="AG82" t="e">
        <f>AND(#REF!,"AAAAAH9/uyA=")</f>
        <v>#REF!</v>
      </c>
      <c r="AH82" t="e">
        <f>AND(#REF!,"AAAAAH9/uyE=")</f>
        <v>#REF!</v>
      </c>
      <c r="AI82" t="e">
        <f>AND(#REF!,"AAAAAH9/uyI=")</f>
        <v>#REF!</v>
      </c>
      <c r="AJ82" t="e">
        <f>AND(#REF!,"AAAAAH9/uyM=")</f>
        <v>#REF!</v>
      </c>
      <c r="AK82" t="e">
        <f>IF(#REF!,"AAAAAH9/uyQ=",0)</f>
        <v>#REF!</v>
      </c>
      <c r="AL82" t="e">
        <f>AND(#REF!,"AAAAAH9/uyU=")</f>
        <v>#REF!</v>
      </c>
      <c r="AM82" t="e">
        <f>AND(#REF!,"AAAAAH9/uyY=")</f>
        <v>#REF!</v>
      </c>
      <c r="AN82" t="e">
        <f>AND(#REF!,"AAAAAH9/uyc=")</f>
        <v>#REF!</v>
      </c>
      <c r="AO82" t="e">
        <f>AND(#REF!,"AAAAAH9/uyg=")</f>
        <v>#REF!</v>
      </c>
      <c r="AP82" t="e">
        <f>AND(#REF!,"AAAAAH9/uyk=")</f>
        <v>#REF!</v>
      </c>
      <c r="AQ82" t="e">
        <f>AND(#REF!,"AAAAAH9/uyo=")</f>
        <v>#REF!</v>
      </c>
      <c r="AR82" t="e">
        <f>AND(#REF!,"AAAAAH9/uys=")</f>
        <v>#REF!</v>
      </c>
      <c r="AS82" t="e">
        <f>AND(#REF!,"AAAAAH9/uyw=")</f>
        <v>#REF!</v>
      </c>
      <c r="AT82" t="e">
        <f>IF(#REF!,"AAAAAH9/uy0=",0)</f>
        <v>#REF!</v>
      </c>
      <c r="AU82" t="e">
        <f>AND(#REF!,"AAAAAH9/uy4=")</f>
        <v>#REF!</v>
      </c>
      <c r="AV82" t="e">
        <f>AND(#REF!,"AAAAAH9/uy8=")</f>
        <v>#REF!</v>
      </c>
      <c r="AW82" t="e">
        <f>AND(#REF!,"AAAAAH9/uzA=")</f>
        <v>#REF!</v>
      </c>
      <c r="AX82" t="e">
        <f>AND(#REF!,"AAAAAH9/uzE=")</f>
        <v>#REF!</v>
      </c>
      <c r="AY82" t="e">
        <f>AND(#REF!,"AAAAAH9/uzI=")</f>
        <v>#REF!</v>
      </c>
      <c r="AZ82" t="e">
        <f>AND(#REF!,"AAAAAH9/uzM=")</f>
        <v>#REF!</v>
      </c>
      <c r="BA82" t="e">
        <f>AND(#REF!,"AAAAAH9/uzQ=")</f>
        <v>#REF!</v>
      </c>
      <c r="BB82" t="e">
        <f>AND(#REF!,"AAAAAH9/uzU=")</f>
        <v>#REF!</v>
      </c>
      <c r="BC82" t="e">
        <f>IF(#REF!,"AAAAAH9/uzY=",0)</f>
        <v>#REF!</v>
      </c>
      <c r="BD82" t="e">
        <f>AND(#REF!,"AAAAAH9/uzc=")</f>
        <v>#REF!</v>
      </c>
      <c r="BE82" t="e">
        <f>AND(#REF!,"AAAAAH9/uzg=")</f>
        <v>#REF!</v>
      </c>
      <c r="BF82" t="e">
        <f>AND(#REF!,"AAAAAH9/uzk=")</f>
        <v>#REF!</v>
      </c>
      <c r="BG82" t="e">
        <f>AND(#REF!,"AAAAAH9/uzo=")</f>
        <v>#REF!</v>
      </c>
      <c r="BH82" t="e">
        <f>AND(#REF!,"AAAAAH9/uzs=")</f>
        <v>#REF!</v>
      </c>
      <c r="BI82" t="e">
        <f>AND(#REF!,"AAAAAH9/uzw=")</f>
        <v>#REF!</v>
      </c>
      <c r="BJ82" t="e">
        <f>AND(#REF!,"AAAAAH9/uz0=")</f>
        <v>#REF!</v>
      </c>
      <c r="BK82" t="e">
        <f>AND(#REF!,"AAAAAH9/uz4=")</f>
        <v>#REF!</v>
      </c>
      <c r="BL82" t="e">
        <f>IF(#REF!,"AAAAAH9/uz8=",0)</f>
        <v>#REF!</v>
      </c>
      <c r="BM82" t="e">
        <f>AND(#REF!,"AAAAAH9/u0A=")</f>
        <v>#REF!</v>
      </c>
      <c r="BN82" t="e">
        <f>AND(#REF!,"AAAAAH9/u0E=")</f>
        <v>#REF!</v>
      </c>
      <c r="BO82" t="e">
        <f>AND(#REF!,"AAAAAH9/u0I=")</f>
        <v>#REF!</v>
      </c>
      <c r="BP82" t="e">
        <f>AND(#REF!,"AAAAAH9/u0M=")</f>
        <v>#REF!</v>
      </c>
      <c r="BQ82" t="e">
        <f>AND(#REF!,"AAAAAH9/u0Q=")</f>
        <v>#REF!</v>
      </c>
      <c r="BR82" t="e">
        <f>AND(#REF!,"AAAAAH9/u0U=")</f>
        <v>#REF!</v>
      </c>
      <c r="BS82" t="e">
        <f>AND(#REF!,"AAAAAH9/u0Y=")</f>
        <v>#REF!</v>
      </c>
      <c r="BT82" t="e">
        <f>AND(#REF!,"AAAAAH9/u0c=")</f>
        <v>#REF!</v>
      </c>
      <c r="BU82" t="e">
        <f>IF(#REF!,"AAAAAH9/u0g=",0)</f>
        <v>#REF!</v>
      </c>
      <c r="BV82" t="e">
        <f>AND(#REF!,"AAAAAH9/u0k=")</f>
        <v>#REF!</v>
      </c>
      <c r="BW82" t="e">
        <f>AND(#REF!,"AAAAAH9/u0o=")</f>
        <v>#REF!</v>
      </c>
      <c r="BX82" t="e">
        <f>AND(#REF!,"AAAAAH9/u0s=")</f>
        <v>#REF!</v>
      </c>
      <c r="BY82" t="e">
        <f>AND(#REF!,"AAAAAH9/u0w=")</f>
        <v>#REF!</v>
      </c>
      <c r="BZ82" t="e">
        <f>AND(#REF!,"AAAAAH9/u00=")</f>
        <v>#REF!</v>
      </c>
      <c r="CA82" t="e">
        <f>AND(#REF!,"AAAAAH9/u04=")</f>
        <v>#REF!</v>
      </c>
      <c r="CB82" t="e">
        <f>AND(#REF!,"AAAAAH9/u08=")</f>
        <v>#REF!</v>
      </c>
      <c r="CC82" t="e">
        <f>AND(#REF!,"AAAAAH9/u1A=")</f>
        <v>#REF!</v>
      </c>
      <c r="CD82" t="e">
        <f>IF(#REF!,"AAAAAH9/u1E=",0)</f>
        <v>#REF!</v>
      </c>
      <c r="CE82" t="e">
        <f>AND(#REF!,"AAAAAH9/u1I=")</f>
        <v>#REF!</v>
      </c>
      <c r="CF82" t="e">
        <f>AND(#REF!,"AAAAAH9/u1M=")</f>
        <v>#REF!</v>
      </c>
      <c r="CG82" t="e">
        <f>AND(#REF!,"AAAAAH9/u1Q=")</f>
        <v>#REF!</v>
      </c>
      <c r="CH82" t="e">
        <f>AND(#REF!,"AAAAAH9/u1U=")</f>
        <v>#REF!</v>
      </c>
      <c r="CI82" t="e">
        <f>AND(#REF!,"AAAAAH9/u1Y=")</f>
        <v>#REF!</v>
      </c>
      <c r="CJ82" t="e">
        <f>AND(#REF!,"AAAAAH9/u1c=")</f>
        <v>#REF!</v>
      </c>
      <c r="CK82" t="e">
        <f>AND(#REF!,"AAAAAH9/u1g=")</f>
        <v>#REF!</v>
      </c>
      <c r="CL82" t="e">
        <f>AND(#REF!,"AAAAAH9/u1k=")</f>
        <v>#REF!</v>
      </c>
      <c r="CM82" t="e">
        <f>IF(#REF!,"AAAAAH9/u1o=",0)</f>
        <v>#REF!</v>
      </c>
      <c r="CN82" t="e">
        <f>AND(#REF!,"AAAAAH9/u1s=")</f>
        <v>#REF!</v>
      </c>
      <c r="CO82" t="e">
        <f>AND(#REF!,"AAAAAH9/u1w=")</f>
        <v>#REF!</v>
      </c>
      <c r="CP82" t="e">
        <f>AND(#REF!,"AAAAAH9/u10=")</f>
        <v>#REF!</v>
      </c>
      <c r="CQ82" t="e">
        <f>AND(#REF!,"AAAAAH9/u14=")</f>
        <v>#REF!</v>
      </c>
      <c r="CR82" t="e">
        <f>AND(#REF!,"AAAAAH9/u18=")</f>
        <v>#REF!</v>
      </c>
      <c r="CS82" t="e">
        <f>AND(#REF!,"AAAAAH9/u2A=")</f>
        <v>#REF!</v>
      </c>
      <c r="CT82" t="e">
        <f>AND(#REF!,"AAAAAH9/u2E=")</f>
        <v>#REF!</v>
      </c>
      <c r="CU82" t="e">
        <f>AND(#REF!,"AAAAAH9/u2I=")</f>
        <v>#REF!</v>
      </c>
      <c r="CV82" t="e">
        <f>IF(#REF!,"AAAAAH9/u2M=",0)</f>
        <v>#REF!</v>
      </c>
      <c r="CW82" t="e">
        <f>AND(#REF!,"AAAAAH9/u2Q=")</f>
        <v>#REF!</v>
      </c>
      <c r="CX82" t="e">
        <f>AND(#REF!,"AAAAAH9/u2U=")</f>
        <v>#REF!</v>
      </c>
      <c r="CY82" t="e">
        <f>AND(#REF!,"AAAAAH9/u2Y=")</f>
        <v>#REF!</v>
      </c>
      <c r="CZ82" t="e">
        <f>AND(#REF!,"AAAAAH9/u2c=")</f>
        <v>#REF!</v>
      </c>
      <c r="DA82" t="e">
        <f>AND(#REF!,"AAAAAH9/u2g=")</f>
        <v>#REF!</v>
      </c>
      <c r="DB82" t="e">
        <f>AND(#REF!,"AAAAAH9/u2k=")</f>
        <v>#REF!</v>
      </c>
      <c r="DC82" t="e">
        <f>AND(#REF!,"AAAAAH9/u2o=")</f>
        <v>#REF!</v>
      </c>
      <c r="DD82" t="e">
        <f>AND(#REF!,"AAAAAH9/u2s=")</f>
        <v>#REF!</v>
      </c>
      <c r="DE82" t="e">
        <f>IF(#REF!,"AAAAAH9/u2w=",0)</f>
        <v>#REF!</v>
      </c>
      <c r="DF82" t="e">
        <f>AND(#REF!,"AAAAAH9/u20=")</f>
        <v>#REF!</v>
      </c>
      <c r="DG82" t="e">
        <f>AND(#REF!,"AAAAAH9/u24=")</f>
        <v>#REF!</v>
      </c>
      <c r="DH82" t="e">
        <f>AND(#REF!,"AAAAAH9/u28=")</f>
        <v>#REF!</v>
      </c>
      <c r="DI82" t="e">
        <f>AND(#REF!,"AAAAAH9/u3A=")</f>
        <v>#REF!</v>
      </c>
      <c r="DJ82" t="e">
        <f>AND(#REF!,"AAAAAH9/u3E=")</f>
        <v>#REF!</v>
      </c>
      <c r="DK82" t="e">
        <f>AND(#REF!,"AAAAAH9/u3I=")</f>
        <v>#REF!</v>
      </c>
      <c r="DL82" t="e">
        <f>AND(#REF!,"AAAAAH9/u3M=")</f>
        <v>#REF!</v>
      </c>
      <c r="DM82" t="e">
        <f>AND(#REF!,"AAAAAH9/u3Q=")</f>
        <v>#REF!</v>
      </c>
      <c r="DN82" t="e">
        <f>IF(#REF!,"AAAAAH9/u3U=",0)</f>
        <v>#REF!</v>
      </c>
      <c r="DO82" t="e">
        <f>AND(#REF!,"AAAAAH9/u3Y=")</f>
        <v>#REF!</v>
      </c>
      <c r="DP82" t="e">
        <f>AND(#REF!,"AAAAAH9/u3c=")</f>
        <v>#REF!</v>
      </c>
      <c r="DQ82" t="e">
        <f>AND(#REF!,"AAAAAH9/u3g=")</f>
        <v>#REF!</v>
      </c>
      <c r="DR82" t="e">
        <f>AND(#REF!,"AAAAAH9/u3k=")</f>
        <v>#REF!</v>
      </c>
      <c r="DS82" t="e">
        <f>AND(#REF!,"AAAAAH9/u3o=")</f>
        <v>#REF!</v>
      </c>
      <c r="DT82" t="e">
        <f>AND(#REF!,"AAAAAH9/u3s=")</f>
        <v>#REF!</v>
      </c>
      <c r="DU82" t="e">
        <f>AND(#REF!,"AAAAAH9/u3w=")</f>
        <v>#REF!</v>
      </c>
      <c r="DV82" t="e">
        <f>AND(#REF!,"AAAAAH9/u30=")</f>
        <v>#REF!</v>
      </c>
      <c r="DW82" t="e">
        <f>IF(#REF!,"AAAAAH9/u34=",0)</f>
        <v>#REF!</v>
      </c>
      <c r="DX82" t="e">
        <f>AND(#REF!,"AAAAAH9/u38=")</f>
        <v>#REF!</v>
      </c>
      <c r="DY82" t="e">
        <f>AND(#REF!,"AAAAAH9/u4A=")</f>
        <v>#REF!</v>
      </c>
      <c r="DZ82" t="e">
        <f>AND(#REF!,"AAAAAH9/u4E=")</f>
        <v>#REF!</v>
      </c>
      <c r="EA82" t="e">
        <f>AND(#REF!,"AAAAAH9/u4I=")</f>
        <v>#REF!</v>
      </c>
      <c r="EB82" t="e">
        <f>AND(#REF!,"AAAAAH9/u4M=")</f>
        <v>#REF!</v>
      </c>
      <c r="EC82" t="e">
        <f>AND(#REF!,"AAAAAH9/u4Q=")</f>
        <v>#REF!</v>
      </c>
      <c r="ED82" t="e">
        <f>AND(#REF!,"AAAAAH9/u4U=")</f>
        <v>#REF!</v>
      </c>
      <c r="EE82" t="e">
        <f>AND(#REF!,"AAAAAH9/u4Y=")</f>
        <v>#REF!</v>
      </c>
      <c r="EF82" t="e">
        <f>IF(#REF!,"AAAAAH9/u4c=",0)</f>
        <v>#REF!</v>
      </c>
      <c r="EG82" t="e">
        <f>AND(#REF!,"AAAAAH9/u4g=")</f>
        <v>#REF!</v>
      </c>
      <c r="EH82" t="e">
        <f>AND(#REF!,"AAAAAH9/u4k=")</f>
        <v>#REF!</v>
      </c>
      <c r="EI82" t="e">
        <f>AND(#REF!,"AAAAAH9/u4o=")</f>
        <v>#REF!</v>
      </c>
      <c r="EJ82" t="e">
        <f>AND(#REF!,"AAAAAH9/u4s=")</f>
        <v>#REF!</v>
      </c>
      <c r="EK82" t="e">
        <f>AND(#REF!,"AAAAAH9/u4w=")</f>
        <v>#REF!</v>
      </c>
      <c r="EL82" t="e">
        <f>AND(#REF!,"AAAAAH9/u40=")</f>
        <v>#REF!</v>
      </c>
      <c r="EM82" t="e">
        <f>AND(#REF!,"AAAAAH9/u44=")</f>
        <v>#REF!</v>
      </c>
      <c r="EN82" t="e">
        <f>AND(#REF!,"AAAAAH9/u48=")</f>
        <v>#REF!</v>
      </c>
      <c r="EO82" t="e">
        <f>IF(#REF!,"AAAAAH9/u5A=",0)</f>
        <v>#REF!</v>
      </c>
      <c r="EP82" t="e">
        <f>AND(#REF!,"AAAAAH9/u5E=")</f>
        <v>#REF!</v>
      </c>
      <c r="EQ82" t="e">
        <f>AND(#REF!,"AAAAAH9/u5I=")</f>
        <v>#REF!</v>
      </c>
      <c r="ER82" t="e">
        <f>AND(#REF!,"AAAAAH9/u5M=")</f>
        <v>#REF!</v>
      </c>
      <c r="ES82" t="e">
        <f>AND(#REF!,"AAAAAH9/u5Q=")</f>
        <v>#REF!</v>
      </c>
      <c r="ET82" t="e">
        <f>AND(#REF!,"AAAAAH9/u5U=")</f>
        <v>#REF!</v>
      </c>
      <c r="EU82" t="e">
        <f>AND(#REF!,"AAAAAH9/u5Y=")</f>
        <v>#REF!</v>
      </c>
      <c r="EV82" t="e">
        <f>AND(#REF!,"AAAAAH9/u5c=")</f>
        <v>#REF!</v>
      </c>
      <c r="EW82" t="e">
        <f>AND(#REF!,"AAAAAH9/u5g=")</f>
        <v>#REF!</v>
      </c>
      <c r="EX82" t="e">
        <f>IF(#REF!,"AAAAAH9/u5k=",0)</f>
        <v>#REF!</v>
      </c>
      <c r="EY82" t="e">
        <f>AND(#REF!,"AAAAAH9/u5o=")</f>
        <v>#REF!</v>
      </c>
      <c r="EZ82" t="e">
        <f>AND(#REF!,"AAAAAH9/u5s=")</f>
        <v>#REF!</v>
      </c>
      <c r="FA82" t="e">
        <f>AND(#REF!,"AAAAAH9/u5w=")</f>
        <v>#REF!</v>
      </c>
      <c r="FB82" t="e">
        <f>AND(#REF!,"AAAAAH9/u50=")</f>
        <v>#REF!</v>
      </c>
      <c r="FC82" t="e">
        <f>AND(#REF!,"AAAAAH9/u54=")</f>
        <v>#REF!</v>
      </c>
      <c r="FD82" t="e">
        <f>AND(#REF!,"AAAAAH9/u58=")</f>
        <v>#REF!</v>
      </c>
      <c r="FE82" t="e">
        <f>AND(#REF!,"AAAAAH9/u6A=")</f>
        <v>#REF!</v>
      </c>
      <c r="FF82" t="e">
        <f>AND(#REF!,"AAAAAH9/u6E=")</f>
        <v>#REF!</v>
      </c>
      <c r="FG82" t="e">
        <f>IF(#REF!,"AAAAAH9/u6I=",0)</f>
        <v>#REF!</v>
      </c>
      <c r="FH82" t="e">
        <f>AND(#REF!,"AAAAAH9/u6M=")</f>
        <v>#REF!</v>
      </c>
      <c r="FI82" t="e">
        <f>AND(#REF!,"AAAAAH9/u6Q=")</f>
        <v>#REF!</v>
      </c>
      <c r="FJ82" t="e">
        <f>AND(#REF!,"AAAAAH9/u6U=")</f>
        <v>#REF!</v>
      </c>
      <c r="FK82" t="e">
        <f>AND(#REF!,"AAAAAH9/u6Y=")</f>
        <v>#REF!</v>
      </c>
      <c r="FL82" t="e">
        <f>AND(#REF!,"AAAAAH9/u6c=")</f>
        <v>#REF!</v>
      </c>
      <c r="FM82" t="e">
        <f>AND(#REF!,"AAAAAH9/u6g=")</f>
        <v>#REF!</v>
      </c>
      <c r="FN82" t="e">
        <f>AND(#REF!,"AAAAAH9/u6k=")</f>
        <v>#REF!</v>
      </c>
      <c r="FO82" t="e">
        <f>AND(#REF!,"AAAAAH9/u6o=")</f>
        <v>#REF!</v>
      </c>
      <c r="FP82" t="e">
        <f>IF(#REF!,"AAAAAH9/u6s=",0)</f>
        <v>#REF!</v>
      </c>
      <c r="FQ82" t="e">
        <f>AND(#REF!,"AAAAAH9/u6w=")</f>
        <v>#REF!</v>
      </c>
      <c r="FR82" t="e">
        <f>AND(#REF!,"AAAAAH9/u60=")</f>
        <v>#REF!</v>
      </c>
      <c r="FS82" t="e">
        <f>AND(#REF!,"AAAAAH9/u64=")</f>
        <v>#REF!</v>
      </c>
      <c r="FT82" t="e">
        <f>AND(#REF!,"AAAAAH9/u68=")</f>
        <v>#REF!</v>
      </c>
      <c r="FU82" t="e">
        <f>AND(#REF!,"AAAAAH9/u7A=")</f>
        <v>#REF!</v>
      </c>
      <c r="FV82" t="e">
        <f>AND(#REF!,"AAAAAH9/u7E=")</f>
        <v>#REF!</v>
      </c>
      <c r="FW82" t="e">
        <f>AND(#REF!,"AAAAAH9/u7I=")</f>
        <v>#REF!</v>
      </c>
      <c r="FX82" t="e">
        <f>AND(#REF!,"AAAAAH9/u7M=")</f>
        <v>#REF!</v>
      </c>
      <c r="FY82" t="e">
        <f>IF(#REF!,"AAAAAH9/u7Q=",0)</f>
        <v>#REF!</v>
      </c>
      <c r="FZ82" t="e">
        <f>AND(#REF!,"AAAAAH9/u7U=")</f>
        <v>#REF!</v>
      </c>
      <c r="GA82" t="e">
        <f>AND(#REF!,"AAAAAH9/u7Y=")</f>
        <v>#REF!</v>
      </c>
      <c r="GB82" t="e">
        <f>AND(#REF!,"AAAAAH9/u7c=")</f>
        <v>#REF!</v>
      </c>
      <c r="GC82" t="e">
        <f>AND(#REF!,"AAAAAH9/u7g=")</f>
        <v>#REF!</v>
      </c>
      <c r="GD82" t="e">
        <f>AND(#REF!,"AAAAAH9/u7k=")</f>
        <v>#REF!</v>
      </c>
      <c r="GE82" t="e">
        <f>AND(#REF!,"AAAAAH9/u7o=")</f>
        <v>#REF!</v>
      </c>
      <c r="GF82" t="e">
        <f>AND(#REF!,"AAAAAH9/u7s=")</f>
        <v>#REF!</v>
      </c>
      <c r="GG82" t="e">
        <f>AND(#REF!,"AAAAAH9/u7w=")</f>
        <v>#REF!</v>
      </c>
      <c r="GH82" t="e">
        <f>IF(#REF!,"AAAAAH9/u70=",0)</f>
        <v>#REF!</v>
      </c>
      <c r="GI82" t="e">
        <f>AND(#REF!,"AAAAAH9/u74=")</f>
        <v>#REF!</v>
      </c>
      <c r="GJ82" t="e">
        <f>AND(#REF!,"AAAAAH9/u78=")</f>
        <v>#REF!</v>
      </c>
      <c r="GK82" t="e">
        <f>AND(#REF!,"AAAAAH9/u8A=")</f>
        <v>#REF!</v>
      </c>
      <c r="GL82" t="e">
        <f>AND(#REF!,"AAAAAH9/u8E=")</f>
        <v>#REF!</v>
      </c>
      <c r="GM82" t="e">
        <f>AND(#REF!,"AAAAAH9/u8I=")</f>
        <v>#REF!</v>
      </c>
      <c r="GN82" t="e">
        <f>AND(#REF!,"AAAAAH9/u8M=")</f>
        <v>#REF!</v>
      </c>
      <c r="GO82" t="e">
        <f>AND(#REF!,"AAAAAH9/u8Q=")</f>
        <v>#REF!</v>
      </c>
      <c r="GP82" t="e">
        <f>AND(#REF!,"AAAAAH9/u8U=")</f>
        <v>#REF!</v>
      </c>
      <c r="GQ82" t="e">
        <f>IF(#REF!,"AAAAAH9/u8Y=",0)</f>
        <v>#REF!</v>
      </c>
      <c r="GR82" t="e">
        <f>AND(#REF!,"AAAAAH9/u8c=")</f>
        <v>#REF!</v>
      </c>
      <c r="GS82" t="e">
        <f>AND(#REF!,"AAAAAH9/u8g=")</f>
        <v>#REF!</v>
      </c>
      <c r="GT82" t="e">
        <f>AND(#REF!,"AAAAAH9/u8k=")</f>
        <v>#REF!</v>
      </c>
      <c r="GU82" t="e">
        <f>AND(#REF!,"AAAAAH9/u8o=")</f>
        <v>#REF!</v>
      </c>
      <c r="GV82" t="e">
        <f>AND(#REF!,"AAAAAH9/u8s=")</f>
        <v>#REF!</v>
      </c>
      <c r="GW82" t="e">
        <f>AND(#REF!,"AAAAAH9/u8w=")</f>
        <v>#REF!</v>
      </c>
      <c r="GX82" t="e">
        <f>AND(#REF!,"AAAAAH9/u80=")</f>
        <v>#REF!</v>
      </c>
      <c r="GY82" t="e">
        <f>AND(#REF!,"AAAAAH9/u84=")</f>
        <v>#REF!</v>
      </c>
      <c r="GZ82" t="e">
        <f>IF(#REF!,"AAAAAH9/u88=",0)</f>
        <v>#REF!</v>
      </c>
      <c r="HA82" t="e">
        <f>AND(#REF!,"AAAAAH9/u9A=")</f>
        <v>#REF!</v>
      </c>
      <c r="HB82" t="e">
        <f>AND(#REF!,"AAAAAH9/u9E=")</f>
        <v>#REF!</v>
      </c>
      <c r="HC82" t="e">
        <f>AND(#REF!,"AAAAAH9/u9I=")</f>
        <v>#REF!</v>
      </c>
      <c r="HD82" t="e">
        <f>AND(#REF!,"AAAAAH9/u9M=")</f>
        <v>#REF!</v>
      </c>
      <c r="HE82" t="e">
        <f>AND(#REF!,"AAAAAH9/u9Q=")</f>
        <v>#REF!</v>
      </c>
      <c r="HF82" t="e">
        <f>AND(#REF!,"AAAAAH9/u9U=")</f>
        <v>#REF!</v>
      </c>
      <c r="HG82" t="e">
        <f>AND(#REF!,"AAAAAH9/u9Y=")</f>
        <v>#REF!</v>
      </c>
      <c r="HH82" t="e">
        <f>AND(#REF!,"AAAAAH9/u9c=")</f>
        <v>#REF!</v>
      </c>
      <c r="HI82" t="e">
        <f>IF(#REF!,"AAAAAH9/u9g=",0)</f>
        <v>#REF!</v>
      </c>
      <c r="HJ82" t="e">
        <f>AND(#REF!,"AAAAAH9/u9k=")</f>
        <v>#REF!</v>
      </c>
      <c r="HK82" t="e">
        <f>AND(#REF!,"AAAAAH9/u9o=")</f>
        <v>#REF!</v>
      </c>
      <c r="HL82" t="e">
        <f>AND(#REF!,"AAAAAH9/u9s=")</f>
        <v>#REF!</v>
      </c>
      <c r="HM82" t="e">
        <f>AND(#REF!,"AAAAAH9/u9w=")</f>
        <v>#REF!</v>
      </c>
      <c r="HN82" t="e">
        <f>AND(#REF!,"AAAAAH9/u90=")</f>
        <v>#REF!</v>
      </c>
      <c r="HO82" t="e">
        <f>AND(#REF!,"AAAAAH9/u94=")</f>
        <v>#REF!</v>
      </c>
      <c r="HP82" t="e">
        <f>AND(#REF!,"AAAAAH9/u98=")</f>
        <v>#REF!</v>
      </c>
      <c r="HQ82" t="e">
        <f>AND(#REF!,"AAAAAH9/u+A=")</f>
        <v>#REF!</v>
      </c>
      <c r="HR82" t="e">
        <f>IF(#REF!,"AAAAAH9/u+E=",0)</f>
        <v>#REF!</v>
      </c>
      <c r="HS82" t="e">
        <f>AND(#REF!,"AAAAAH9/u+I=")</f>
        <v>#REF!</v>
      </c>
      <c r="HT82" t="e">
        <f>AND(#REF!,"AAAAAH9/u+M=")</f>
        <v>#REF!</v>
      </c>
      <c r="HU82" t="e">
        <f>AND(#REF!,"AAAAAH9/u+Q=")</f>
        <v>#REF!</v>
      </c>
      <c r="HV82" t="e">
        <f>AND(#REF!,"AAAAAH9/u+U=")</f>
        <v>#REF!</v>
      </c>
      <c r="HW82" t="e">
        <f>AND(#REF!,"AAAAAH9/u+Y=")</f>
        <v>#REF!</v>
      </c>
      <c r="HX82" t="e">
        <f>AND(#REF!,"AAAAAH9/u+c=")</f>
        <v>#REF!</v>
      </c>
      <c r="HY82" t="e">
        <f>AND(#REF!,"AAAAAH9/u+g=")</f>
        <v>#REF!</v>
      </c>
      <c r="HZ82" t="e">
        <f>AND(#REF!,"AAAAAH9/u+k=")</f>
        <v>#REF!</v>
      </c>
      <c r="IA82" t="e">
        <f>IF(#REF!,"AAAAAH9/u+o=",0)</f>
        <v>#REF!</v>
      </c>
      <c r="IB82" t="e">
        <f>AND(#REF!,"AAAAAH9/u+s=")</f>
        <v>#REF!</v>
      </c>
      <c r="IC82" t="e">
        <f>AND(#REF!,"AAAAAH9/u+w=")</f>
        <v>#REF!</v>
      </c>
      <c r="ID82" t="e">
        <f>AND(#REF!,"AAAAAH9/u+0=")</f>
        <v>#REF!</v>
      </c>
      <c r="IE82" t="e">
        <f>AND(#REF!,"AAAAAH9/u+4=")</f>
        <v>#REF!</v>
      </c>
      <c r="IF82" t="e">
        <f>AND(#REF!,"AAAAAH9/u+8=")</f>
        <v>#REF!</v>
      </c>
      <c r="IG82" t="e">
        <f>AND(#REF!,"AAAAAH9/u/A=")</f>
        <v>#REF!</v>
      </c>
      <c r="IH82" t="e">
        <f>AND(#REF!,"AAAAAH9/u/E=")</f>
        <v>#REF!</v>
      </c>
      <c r="II82" t="e">
        <f>AND(#REF!,"AAAAAH9/u/I=")</f>
        <v>#REF!</v>
      </c>
      <c r="IJ82" t="e">
        <f>IF(#REF!,"AAAAAH9/u/M=",0)</f>
        <v>#REF!</v>
      </c>
      <c r="IK82" t="e">
        <f>AND(#REF!,"AAAAAH9/u/Q=")</f>
        <v>#REF!</v>
      </c>
      <c r="IL82" t="e">
        <f>AND(#REF!,"AAAAAH9/u/U=")</f>
        <v>#REF!</v>
      </c>
      <c r="IM82" t="e">
        <f>AND(#REF!,"AAAAAH9/u/Y=")</f>
        <v>#REF!</v>
      </c>
      <c r="IN82" t="e">
        <f>AND(#REF!,"AAAAAH9/u/c=")</f>
        <v>#REF!</v>
      </c>
      <c r="IO82" t="e">
        <f>AND(#REF!,"AAAAAH9/u/g=")</f>
        <v>#REF!</v>
      </c>
      <c r="IP82" t="e">
        <f>AND(#REF!,"AAAAAH9/u/k=")</f>
        <v>#REF!</v>
      </c>
      <c r="IQ82" t="e">
        <f>AND(#REF!,"AAAAAH9/u/o=")</f>
        <v>#REF!</v>
      </c>
      <c r="IR82" t="e">
        <f>AND(#REF!,"AAAAAH9/u/s=")</f>
        <v>#REF!</v>
      </c>
      <c r="IS82" t="e">
        <f>IF(#REF!,"AAAAAH9/u/w=",0)</f>
        <v>#REF!</v>
      </c>
      <c r="IT82" t="e">
        <f>AND(#REF!,"AAAAAH9/u/0=")</f>
        <v>#REF!</v>
      </c>
      <c r="IU82" t="e">
        <f>AND(#REF!,"AAAAAH9/u/4=")</f>
        <v>#REF!</v>
      </c>
      <c r="IV82" t="e">
        <f>AND(#REF!,"AAAAAH9/u/8=")</f>
        <v>#REF!</v>
      </c>
    </row>
    <row r="83" spans="1:256" x14ac:dyDescent="0.25">
      <c r="A83" t="e">
        <f>AND(#REF!,"AAAAAH133wA=")</f>
        <v>#REF!</v>
      </c>
      <c r="B83" t="e">
        <f>AND(#REF!,"AAAAAH133wE=")</f>
        <v>#REF!</v>
      </c>
      <c r="C83" t="e">
        <f>AND(#REF!,"AAAAAH133wI=")</f>
        <v>#REF!</v>
      </c>
      <c r="D83" t="e">
        <f>AND(#REF!,"AAAAAH133wM=")</f>
        <v>#REF!</v>
      </c>
      <c r="E83" t="e">
        <f>AND(#REF!,"AAAAAH133wQ=")</f>
        <v>#REF!</v>
      </c>
      <c r="F83" t="e">
        <f>IF(#REF!,"AAAAAH133wU=",0)</f>
        <v>#REF!</v>
      </c>
      <c r="G83" t="e">
        <f>AND(#REF!,"AAAAAH133wY=")</f>
        <v>#REF!</v>
      </c>
      <c r="H83" t="e">
        <f>AND(#REF!,"AAAAAH133wc=")</f>
        <v>#REF!</v>
      </c>
      <c r="I83" t="e">
        <f>AND(#REF!,"AAAAAH133wg=")</f>
        <v>#REF!</v>
      </c>
      <c r="J83" t="e">
        <f>AND(#REF!,"AAAAAH133wk=")</f>
        <v>#REF!</v>
      </c>
      <c r="K83" t="e">
        <f>AND(#REF!,"AAAAAH133wo=")</f>
        <v>#REF!</v>
      </c>
      <c r="L83" t="e">
        <f>AND(#REF!,"AAAAAH133ws=")</f>
        <v>#REF!</v>
      </c>
      <c r="M83" t="e">
        <f>AND(#REF!,"AAAAAH133ww=")</f>
        <v>#REF!</v>
      </c>
      <c r="N83" t="e">
        <f>AND(#REF!,"AAAAAH133w0=")</f>
        <v>#REF!</v>
      </c>
      <c r="O83" t="e">
        <f>IF(#REF!,"AAAAAH133w4=",0)</f>
        <v>#REF!</v>
      </c>
      <c r="P83" t="e">
        <f>AND(#REF!,"AAAAAH133w8=")</f>
        <v>#REF!</v>
      </c>
      <c r="Q83" t="e">
        <f>AND(#REF!,"AAAAAH133xA=")</f>
        <v>#REF!</v>
      </c>
      <c r="R83" t="e">
        <f>AND(#REF!,"AAAAAH133xE=")</f>
        <v>#REF!</v>
      </c>
      <c r="S83" t="e">
        <f>AND(#REF!,"AAAAAH133xI=")</f>
        <v>#REF!</v>
      </c>
      <c r="T83" t="e">
        <f>AND(#REF!,"AAAAAH133xM=")</f>
        <v>#REF!</v>
      </c>
      <c r="U83" t="e">
        <f>AND(#REF!,"AAAAAH133xQ=")</f>
        <v>#REF!</v>
      </c>
      <c r="V83" t="e">
        <f>AND(#REF!,"AAAAAH133xU=")</f>
        <v>#REF!</v>
      </c>
      <c r="W83" t="e">
        <f>AND(#REF!,"AAAAAH133xY=")</f>
        <v>#REF!</v>
      </c>
      <c r="X83" t="e">
        <f>IF(#REF!,"AAAAAH133xc=",0)</f>
        <v>#REF!</v>
      </c>
      <c r="Y83" t="e">
        <f>AND(#REF!,"AAAAAH133xg=")</f>
        <v>#REF!</v>
      </c>
      <c r="Z83" t="e">
        <f>AND(#REF!,"AAAAAH133xk=")</f>
        <v>#REF!</v>
      </c>
      <c r="AA83" t="e">
        <f>AND(#REF!,"AAAAAH133xo=")</f>
        <v>#REF!</v>
      </c>
      <c r="AB83" t="e">
        <f>AND(#REF!,"AAAAAH133xs=")</f>
        <v>#REF!</v>
      </c>
      <c r="AC83" t="e">
        <f>AND(#REF!,"AAAAAH133xw=")</f>
        <v>#REF!</v>
      </c>
      <c r="AD83" t="e">
        <f>AND(#REF!,"AAAAAH133x0=")</f>
        <v>#REF!</v>
      </c>
      <c r="AE83" t="e">
        <f>AND(#REF!,"AAAAAH133x4=")</f>
        <v>#REF!</v>
      </c>
      <c r="AF83" t="e">
        <f>AND(#REF!,"AAAAAH133x8=")</f>
        <v>#REF!</v>
      </c>
      <c r="AG83" t="e">
        <f>IF(#REF!,"AAAAAH133yA=",0)</f>
        <v>#REF!</v>
      </c>
      <c r="AH83" t="e">
        <f>AND(#REF!,"AAAAAH133yE=")</f>
        <v>#REF!</v>
      </c>
      <c r="AI83" t="e">
        <f>AND(#REF!,"AAAAAH133yI=")</f>
        <v>#REF!</v>
      </c>
      <c r="AJ83" t="e">
        <f>AND(#REF!,"AAAAAH133yM=")</f>
        <v>#REF!</v>
      </c>
      <c r="AK83" t="e">
        <f>AND(#REF!,"AAAAAH133yQ=")</f>
        <v>#REF!</v>
      </c>
      <c r="AL83" t="e">
        <f>AND(#REF!,"AAAAAH133yU=")</f>
        <v>#REF!</v>
      </c>
      <c r="AM83" t="e">
        <f>AND(#REF!,"AAAAAH133yY=")</f>
        <v>#REF!</v>
      </c>
      <c r="AN83" t="e">
        <f>AND(#REF!,"AAAAAH133yc=")</f>
        <v>#REF!</v>
      </c>
      <c r="AO83" t="e">
        <f>AND(#REF!,"AAAAAH133yg=")</f>
        <v>#REF!</v>
      </c>
      <c r="AP83" t="e">
        <f>IF(#REF!,"AAAAAH133yk=",0)</f>
        <v>#REF!</v>
      </c>
      <c r="AQ83" t="e">
        <f>AND(#REF!,"AAAAAH133yo=")</f>
        <v>#REF!</v>
      </c>
      <c r="AR83" t="e">
        <f>AND(#REF!,"AAAAAH133ys=")</f>
        <v>#REF!</v>
      </c>
      <c r="AS83" t="e">
        <f>AND(#REF!,"AAAAAH133yw=")</f>
        <v>#REF!</v>
      </c>
      <c r="AT83" t="e">
        <f>AND(#REF!,"AAAAAH133y0=")</f>
        <v>#REF!</v>
      </c>
      <c r="AU83" t="e">
        <f>AND(#REF!,"AAAAAH133y4=")</f>
        <v>#REF!</v>
      </c>
      <c r="AV83" t="e">
        <f>AND(#REF!,"AAAAAH133y8=")</f>
        <v>#REF!</v>
      </c>
      <c r="AW83" t="e">
        <f>AND(#REF!,"AAAAAH133zA=")</f>
        <v>#REF!</v>
      </c>
      <c r="AX83" t="e">
        <f>AND(#REF!,"AAAAAH133zE=")</f>
        <v>#REF!</v>
      </c>
      <c r="AY83" t="e">
        <f>IF(#REF!,"AAAAAH133zI=",0)</f>
        <v>#REF!</v>
      </c>
      <c r="AZ83" t="e">
        <f>AND(#REF!,"AAAAAH133zM=")</f>
        <v>#REF!</v>
      </c>
      <c r="BA83" t="e">
        <f>AND(#REF!,"AAAAAH133zQ=")</f>
        <v>#REF!</v>
      </c>
      <c r="BB83" t="e">
        <f>AND(#REF!,"AAAAAH133zU=")</f>
        <v>#REF!</v>
      </c>
      <c r="BC83" t="e">
        <f>AND(#REF!,"AAAAAH133zY=")</f>
        <v>#REF!</v>
      </c>
      <c r="BD83" t="e">
        <f>AND(#REF!,"AAAAAH133zc=")</f>
        <v>#REF!</v>
      </c>
      <c r="BE83" t="e">
        <f>AND(#REF!,"AAAAAH133zg=")</f>
        <v>#REF!</v>
      </c>
      <c r="BF83" t="e">
        <f>AND(#REF!,"AAAAAH133zk=")</f>
        <v>#REF!</v>
      </c>
      <c r="BG83" t="e">
        <f>AND(#REF!,"AAAAAH133zo=")</f>
        <v>#REF!</v>
      </c>
      <c r="BH83" t="e">
        <f>IF(#REF!,"AAAAAH133zs=",0)</f>
        <v>#REF!</v>
      </c>
      <c r="BI83" t="e">
        <f>AND(#REF!,"AAAAAH133zw=")</f>
        <v>#REF!</v>
      </c>
      <c r="BJ83" t="e">
        <f>AND(#REF!,"AAAAAH133z0=")</f>
        <v>#REF!</v>
      </c>
      <c r="BK83" t="e">
        <f>AND(#REF!,"AAAAAH133z4=")</f>
        <v>#REF!</v>
      </c>
      <c r="BL83" t="e">
        <f>AND(#REF!,"AAAAAH133z8=")</f>
        <v>#REF!</v>
      </c>
      <c r="BM83" t="e">
        <f>AND(#REF!,"AAAAAH1330A=")</f>
        <v>#REF!</v>
      </c>
      <c r="BN83" t="e">
        <f>AND(#REF!,"AAAAAH1330E=")</f>
        <v>#REF!</v>
      </c>
      <c r="BO83" t="e">
        <f>AND(#REF!,"AAAAAH1330I=")</f>
        <v>#REF!</v>
      </c>
      <c r="BP83" t="e">
        <f>AND(#REF!,"AAAAAH1330M=")</f>
        <v>#REF!</v>
      </c>
      <c r="BQ83" t="e">
        <f>IF(#REF!,"AAAAAH1330Q=",0)</f>
        <v>#REF!</v>
      </c>
      <c r="BR83" t="e">
        <f>AND(#REF!,"AAAAAH1330U=")</f>
        <v>#REF!</v>
      </c>
      <c r="BS83" t="e">
        <f>AND(#REF!,"AAAAAH1330Y=")</f>
        <v>#REF!</v>
      </c>
      <c r="BT83" t="e">
        <f>AND(#REF!,"AAAAAH1330c=")</f>
        <v>#REF!</v>
      </c>
      <c r="BU83" t="e">
        <f>AND(#REF!,"AAAAAH1330g=")</f>
        <v>#REF!</v>
      </c>
      <c r="BV83" t="e">
        <f>AND(#REF!,"AAAAAH1330k=")</f>
        <v>#REF!</v>
      </c>
      <c r="BW83" t="e">
        <f>AND(#REF!,"AAAAAH1330o=")</f>
        <v>#REF!</v>
      </c>
      <c r="BX83" t="e">
        <f>AND(#REF!,"AAAAAH1330s=")</f>
        <v>#REF!</v>
      </c>
      <c r="BY83" t="e">
        <f>AND(#REF!,"AAAAAH1330w=")</f>
        <v>#REF!</v>
      </c>
      <c r="BZ83" t="e">
        <f>IF(#REF!,"AAAAAH13300=",0)</f>
        <v>#REF!</v>
      </c>
      <c r="CA83" t="e">
        <f>AND(#REF!,"AAAAAH13304=")</f>
        <v>#REF!</v>
      </c>
      <c r="CB83" t="e">
        <f>AND(#REF!,"AAAAAH13308=")</f>
        <v>#REF!</v>
      </c>
      <c r="CC83" t="e">
        <f>AND(#REF!,"AAAAAH1331A=")</f>
        <v>#REF!</v>
      </c>
      <c r="CD83" t="e">
        <f>AND(#REF!,"AAAAAH1331E=")</f>
        <v>#REF!</v>
      </c>
      <c r="CE83" t="e">
        <f>AND(#REF!,"AAAAAH1331I=")</f>
        <v>#REF!</v>
      </c>
      <c r="CF83" t="e">
        <f>AND(#REF!,"AAAAAH1331M=")</f>
        <v>#REF!</v>
      </c>
      <c r="CG83" t="e">
        <f>AND(#REF!,"AAAAAH1331Q=")</f>
        <v>#REF!</v>
      </c>
      <c r="CH83" t="e">
        <f>AND(#REF!,"AAAAAH1331U=")</f>
        <v>#REF!</v>
      </c>
      <c r="CI83" t="e">
        <f>IF(#REF!,"AAAAAH1331Y=",0)</f>
        <v>#REF!</v>
      </c>
      <c r="CJ83" t="e">
        <f>AND(#REF!,"AAAAAH1331c=")</f>
        <v>#REF!</v>
      </c>
      <c r="CK83" t="e">
        <f>AND(#REF!,"AAAAAH1331g=")</f>
        <v>#REF!</v>
      </c>
      <c r="CL83" t="e">
        <f>AND(#REF!,"AAAAAH1331k=")</f>
        <v>#REF!</v>
      </c>
      <c r="CM83" t="e">
        <f>AND(#REF!,"AAAAAH1331o=")</f>
        <v>#REF!</v>
      </c>
      <c r="CN83" t="e">
        <f>AND(#REF!,"AAAAAH1331s=")</f>
        <v>#REF!</v>
      </c>
      <c r="CO83" t="e">
        <f>AND(#REF!,"AAAAAH1331w=")</f>
        <v>#REF!</v>
      </c>
      <c r="CP83" t="e">
        <f>AND(#REF!,"AAAAAH13310=")</f>
        <v>#REF!</v>
      </c>
      <c r="CQ83" t="e">
        <f>AND(#REF!,"AAAAAH13314=")</f>
        <v>#REF!</v>
      </c>
      <c r="CR83" t="e">
        <f>IF(#REF!,"AAAAAH13318=",0)</f>
        <v>#REF!</v>
      </c>
      <c r="CS83" t="e">
        <f>AND(#REF!,"AAAAAH1332A=")</f>
        <v>#REF!</v>
      </c>
      <c r="CT83" t="e">
        <f>AND(#REF!,"AAAAAH1332E=")</f>
        <v>#REF!</v>
      </c>
      <c r="CU83" t="e">
        <f>AND(#REF!,"AAAAAH1332I=")</f>
        <v>#REF!</v>
      </c>
      <c r="CV83" t="e">
        <f>AND(#REF!,"AAAAAH1332M=")</f>
        <v>#REF!</v>
      </c>
      <c r="CW83" t="e">
        <f>AND(#REF!,"AAAAAH1332Q=")</f>
        <v>#REF!</v>
      </c>
      <c r="CX83" t="e">
        <f>AND(#REF!,"AAAAAH1332U=")</f>
        <v>#REF!</v>
      </c>
      <c r="CY83" t="e">
        <f>AND(#REF!,"AAAAAH1332Y=")</f>
        <v>#REF!</v>
      </c>
      <c r="CZ83" t="e">
        <f>AND(#REF!,"AAAAAH1332c=")</f>
        <v>#REF!</v>
      </c>
      <c r="DA83" t="e">
        <f>IF(#REF!,"AAAAAH1332g=",0)</f>
        <v>#REF!</v>
      </c>
      <c r="DB83" t="e">
        <f>AND(#REF!,"AAAAAH1332k=")</f>
        <v>#REF!</v>
      </c>
      <c r="DC83" t="e">
        <f>AND(#REF!,"AAAAAH1332o=")</f>
        <v>#REF!</v>
      </c>
      <c r="DD83" t="e">
        <f>AND(#REF!,"AAAAAH1332s=")</f>
        <v>#REF!</v>
      </c>
      <c r="DE83" t="e">
        <f>AND(#REF!,"AAAAAH1332w=")</f>
        <v>#REF!</v>
      </c>
      <c r="DF83" t="e">
        <f>AND(#REF!,"AAAAAH13320=")</f>
        <v>#REF!</v>
      </c>
      <c r="DG83" t="e">
        <f>AND(#REF!,"AAAAAH13324=")</f>
        <v>#REF!</v>
      </c>
      <c r="DH83" t="e">
        <f>AND(#REF!,"AAAAAH13328=")</f>
        <v>#REF!</v>
      </c>
      <c r="DI83" t="e">
        <f>AND(#REF!,"AAAAAH1333A=")</f>
        <v>#REF!</v>
      </c>
      <c r="DJ83" t="e">
        <f>IF(#REF!,"AAAAAH1333E=",0)</f>
        <v>#REF!</v>
      </c>
      <c r="DK83" t="e">
        <f>AND(#REF!,"AAAAAH1333I=")</f>
        <v>#REF!</v>
      </c>
      <c r="DL83" t="e">
        <f>AND(#REF!,"AAAAAH1333M=")</f>
        <v>#REF!</v>
      </c>
      <c r="DM83" t="e">
        <f>AND(#REF!,"AAAAAH1333Q=")</f>
        <v>#REF!</v>
      </c>
      <c r="DN83" t="e">
        <f>AND(#REF!,"AAAAAH1333U=")</f>
        <v>#REF!</v>
      </c>
      <c r="DO83" t="e">
        <f>AND(#REF!,"AAAAAH1333Y=")</f>
        <v>#REF!</v>
      </c>
      <c r="DP83" t="e">
        <f>AND(#REF!,"AAAAAH1333c=")</f>
        <v>#REF!</v>
      </c>
      <c r="DQ83" t="e">
        <f>AND(#REF!,"AAAAAH1333g=")</f>
        <v>#REF!</v>
      </c>
      <c r="DR83" t="e">
        <f>AND(#REF!,"AAAAAH1333k=")</f>
        <v>#REF!</v>
      </c>
      <c r="DS83" t="e">
        <f>IF(#REF!,"AAAAAH1333o=",0)</f>
        <v>#REF!</v>
      </c>
      <c r="DT83" t="e">
        <f>AND(#REF!,"AAAAAH1333s=")</f>
        <v>#REF!</v>
      </c>
      <c r="DU83" t="e">
        <f>AND(#REF!,"AAAAAH1333w=")</f>
        <v>#REF!</v>
      </c>
      <c r="DV83" t="e">
        <f>AND(#REF!,"AAAAAH13330=")</f>
        <v>#REF!</v>
      </c>
      <c r="DW83" t="e">
        <f>AND(#REF!,"AAAAAH13334=")</f>
        <v>#REF!</v>
      </c>
      <c r="DX83" t="e">
        <f>AND(#REF!,"AAAAAH13338=")</f>
        <v>#REF!</v>
      </c>
      <c r="DY83" t="e">
        <f>AND(#REF!,"AAAAAH1334A=")</f>
        <v>#REF!</v>
      </c>
      <c r="DZ83" t="e">
        <f>AND(#REF!,"AAAAAH1334E=")</f>
        <v>#REF!</v>
      </c>
      <c r="EA83" t="e">
        <f>AND(#REF!,"AAAAAH1334I=")</f>
        <v>#REF!</v>
      </c>
      <c r="EB83" t="e">
        <f>IF(#REF!,"AAAAAH1334M=",0)</f>
        <v>#REF!</v>
      </c>
      <c r="EC83" t="e">
        <f>AND(#REF!,"AAAAAH1334Q=")</f>
        <v>#REF!</v>
      </c>
      <c r="ED83" t="e">
        <f>AND(#REF!,"AAAAAH1334U=")</f>
        <v>#REF!</v>
      </c>
      <c r="EE83" t="e">
        <f>AND(#REF!,"AAAAAH1334Y=")</f>
        <v>#REF!</v>
      </c>
      <c r="EF83" t="e">
        <f>AND(#REF!,"AAAAAH1334c=")</f>
        <v>#REF!</v>
      </c>
      <c r="EG83" t="e">
        <f>AND(#REF!,"AAAAAH1334g=")</f>
        <v>#REF!</v>
      </c>
      <c r="EH83" t="e">
        <f>AND(#REF!,"AAAAAH1334k=")</f>
        <v>#REF!</v>
      </c>
      <c r="EI83" t="e">
        <f>AND(#REF!,"AAAAAH1334o=")</f>
        <v>#REF!</v>
      </c>
      <c r="EJ83" t="e">
        <f>AND(#REF!,"AAAAAH1334s=")</f>
        <v>#REF!</v>
      </c>
      <c r="EK83" t="e">
        <f>IF(#REF!,"AAAAAH1334w=",0)</f>
        <v>#REF!</v>
      </c>
      <c r="EL83" t="e">
        <f>AND(#REF!,"AAAAAH13340=")</f>
        <v>#REF!</v>
      </c>
      <c r="EM83" t="e">
        <f>AND(#REF!,"AAAAAH13344=")</f>
        <v>#REF!</v>
      </c>
      <c r="EN83" t="e">
        <f>AND(#REF!,"AAAAAH13348=")</f>
        <v>#REF!</v>
      </c>
      <c r="EO83" t="e">
        <f>AND(#REF!,"AAAAAH1335A=")</f>
        <v>#REF!</v>
      </c>
      <c r="EP83" t="e">
        <f>AND(#REF!,"AAAAAH1335E=")</f>
        <v>#REF!</v>
      </c>
      <c r="EQ83" t="e">
        <f>AND(#REF!,"AAAAAH1335I=")</f>
        <v>#REF!</v>
      </c>
      <c r="ER83" t="e">
        <f>AND(#REF!,"AAAAAH1335M=")</f>
        <v>#REF!</v>
      </c>
      <c r="ES83" t="e">
        <f>AND(#REF!,"AAAAAH1335Q=")</f>
        <v>#REF!</v>
      </c>
      <c r="ET83" t="e">
        <f>IF(#REF!,"AAAAAH1335U=",0)</f>
        <v>#REF!</v>
      </c>
      <c r="EU83" t="e">
        <f>AND(#REF!,"AAAAAH1335Y=")</f>
        <v>#REF!</v>
      </c>
      <c r="EV83" t="e">
        <f>AND(#REF!,"AAAAAH1335c=")</f>
        <v>#REF!</v>
      </c>
      <c r="EW83" t="e">
        <f>AND(#REF!,"AAAAAH1335g=")</f>
        <v>#REF!</v>
      </c>
      <c r="EX83" t="e">
        <f>AND(#REF!,"AAAAAH1335k=")</f>
        <v>#REF!</v>
      </c>
      <c r="EY83" t="e">
        <f>AND(#REF!,"AAAAAH1335o=")</f>
        <v>#REF!</v>
      </c>
      <c r="EZ83" t="e">
        <f>AND(#REF!,"AAAAAH1335s=")</f>
        <v>#REF!</v>
      </c>
      <c r="FA83" t="e">
        <f>AND(#REF!,"AAAAAH1335w=")</f>
        <v>#REF!</v>
      </c>
      <c r="FB83" t="e">
        <f>AND(#REF!,"AAAAAH13350=")</f>
        <v>#REF!</v>
      </c>
      <c r="FC83" t="e">
        <f>IF(#REF!,"AAAAAH13354=",0)</f>
        <v>#REF!</v>
      </c>
      <c r="FD83" t="e">
        <f>AND(#REF!,"AAAAAH13358=")</f>
        <v>#REF!</v>
      </c>
      <c r="FE83" t="e">
        <f>AND(#REF!,"AAAAAH1336A=")</f>
        <v>#REF!</v>
      </c>
      <c r="FF83" t="e">
        <f>AND(#REF!,"AAAAAH1336E=")</f>
        <v>#REF!</v>
      </c>
      <c r="FG83" t="e">
        <f>AND(#REF!,"AAAAAH1336I=")</f>
        <v>#REF!</v>
      </c>
      <c r="FH83" t="e">
        <f>AND(#REF!,"AAAAAH1336M=")</f>
        <v>#REF!</v>
      </c>
      <c r="FI83" t="e">
        <f>AND(#REF!,"AAAAAH1336Q=")</f>
        <v>#REF!</v>
      </c>
      <c r="FJ83" t="e">
        <f>AND(#REF!,"AAAAAH1336U=")</f>
        <v>#REF!</v>
      </c>
      <c r="FK83" t="e">
        <f>AND(#REF!,"AAAAAH1336Y=")</f>
        <v>#REF!</v>
      </c>
      <c r="FL83" t="e">
        <f>IF(#REF!,"AAAAAH1336c=",0)</f>
        <v>#REF!</v>
      </c>
      <c r="FM83" t="e">
        <f>AND(#REF!,"AAAAAH1336g=")</f>
        <v>#REF!</v>
      </c>
      <c r="FN83" t="e">
        <f>AND(#REF!,"AAAAAH1336k=")</f>
        <v>#REF!</v>
      </c>
      <c r="FO83" t="e">
        <f>AND(#REF!,"AAAAAH1336o=")</f>
        <v>#REF!</v>
      </c>
      <c r="FP83" t="e">
        <f>AND(#REF!,"AAAAAH1336s=")</f>
        <v>#REF!</v>
      </c>
      <c r="FQ83" t="e">
        <f>AND(#REF!,"AAAAAH1336w=")</f>
        <v>#REF!</v>
      </c>
      <c r="FR83" t="e">
        <f>AND(#REF!,"AAAAAH13360=")</f>
        <v>#REF!</v>
      </c>
      <c r="FS83" t="e">
        <f>AND(#REF!,"AAAAAH13364=")</f>
        <v>#REF!</v>
      </c>
      <c r="FT83" t="e">
        <f>AND(#REF!,"AAAAAH13368=")</f>
        <v>#REF!</v>
      </c>
      <c r="FU83" t="e">
        <f>IF(#REF!,"AAAAAH1337A=",0)</f>
        <v>#REF!</v>
      </c>
      <c r="FV83" t="e">
        <f>AND(#REF!,"AAAAAH1337E=")</f>
        <v>#REF!</v>
      </c>
      <c r="FW83" t="e">
        <f>AND(#REF!,"AAAAAH1337I=")</f>
        <v>#REF!</v>
      </c>
      <c r="FX83" t="e">
        <f>AND(#REF!,"AAAAAH1337M=")</f>
        <v>#REF!</v>
      </c>
      <c r="FY83" t="e">
        <f>AND(#REF!,"AAAAAH1337Q=")</f>
        <v>#REF!</v>
      </c>
      <c r="FZ83" t="e">
        <f>AND(#REF!,"AAAAAH1337U=")</f>
        <v>#REF!</v>
      </c>
      <c r="GA83" t="e">
        <f>AND(#REF!,"AAAAAH1337Y=")</f>
        <v>#REF!</v>
      </c>
      <c r="GB83" t="e">
        <f>AND(#REF!,"AAAAAH1337c=")</f>
        <v>#REF!</v>
      </c>
      <c r="GC83" t="e">
        <f>AND(#REF!,"AAAAAH1337g=")</f>
        <v>#REF!</v>
      </c>
      <c r="GD83" t="e">
        <f>IF(#REF!,"AAAAAH1337k=",0)</f>
        <v>#REF!</v>
      </c>
      <c r="GE83" t="e">
        <f>AND(#REF!,"AAAAAH1337o=")</f>
        <v>#REF!</v>
      </c>
      <c r="GF83" t="e">
        <f>AND(#REF!,"AAAAAH1337s=")</f>
        <v>#REF!</v>
      </c>
      <c r="GG83" t="e">
        <f>AND(#REF!,"AAAAAH1337w=")</f>
        <v>#REF!</v>
      </c>
      <c r="GH83" t="e">
        <f>AND(#REF!,"AAAAAH13370=")</f>
        <v>#REF!</v>
      </c>
      <c r="GI83" t="e">
        <f>AND(#REF!,"AAAAAH13374=")</f>
        <v>#REF!</v>
      </c>
      <c r="GJ83" t="e">
        <f>AND(#REF!,"AAAAAH13378=")</f>
        <v>#REF!</v>
      </c>
      <c r="GK83" t="e">
        <f>AND(#REF!,"AAAAAH1338A=")</f>
        <v>#REF!</v>
      </c>
      <c r="GL83" t="e">
        <f>AND(#REF!,"AAAAAH1338E=")</f>
        <v>#REF!</v>
      </c>
      <c r="GM83" t="e">
        <f>IF(#REF!,"AAAAAH1338I=",0)</f>
        <v>#REF!</v>
      </c>
      <c r="GN83" t="e">
        <f>AND(#REF!,"AAAAAH1338M=")</f>
        <v>#REF!</v>
      </c>
      <c r="GO83" t="e">
        <f>AND(#REF!,"AAAAAH1338Q=")</f>
        <v>#REF!</v>
      </c>
      <c r="GP83" t="e">
        <f>AND(#REF!,"AAAAAH1338U=")</f>
        <v>#REF!</v>
      </c>
      <c r="GQ83" t="e">
        <f>AND(#REF!,"AAAAAH1338Y=")</f>
        <v>#REF!</v>
      </c>
      <c r="GR83" t="e">
        <f>AND(#REF!,"AAAAAH1338c=")</f>
        <v>#REF!</v>
      </c>
      <c r="GS83" t="e">
        <f>AND(#REF!,"AAAAAH1338g=")</f>
        <v>#REF!</v>
      </c>
      <c r="GT83" t="e">
        <f>AND(#REF!,"AAAAAH1338k=")</f>
        <v>#REF!</v>
      </c>
      <c r="GU83" t="e">
        <f>AND(#REF!,"AAAAAH1338o=")</f>
        <v>#REF!</v>
      </c>
      <c r="GV83" t="e">
        <f>IF(#REF!,"AAAAAH1338s=",0)</f>
        <v>#REF!</v>
      </c>
      <c r="GW83" t="e">
        <f>AND(#REF!,"AAAAAH1338w=")</f>
        <v>#REF!</v>
      </c>
      <c r="GX83" t="e">
        <f>AND(#REF!,"AAAAAH13380=")</f>
        <v>#REF!</v>
      </c>
      <c r="GY83" t="e">
        <f>AND(#REF!,"AAAAAH13384=")</f>
        <v>#REF!</v>
      </c>
      <c r="GZ83" t="e">
        <f>AND(#REF!,"AAAAAH13388=")</f>
        <v>#REF!</v>
      </c>
      <c r="HA83" t="e">
        <f>AND(#REF!,"AAAAAH1339A=")</f>
        <v>#REF!</v>
      </c>
      <c r="HB83" t="e">
        <f>AND(#REF!,"AAAAAH1339E=")</f>
        <v>#REF!</v>
      </c>
      <c r="HC83" t="e">
        <f>AND(#REF!,"AAAAAH1339I=")</f>
        <v>#REF!</v>
      </c>
      <c r="HD83" t="e">
        <f>AND(#REF!,"AAAAAH1339M=")</f>
        <v>#REF!</v>
      </c>
      <c r="HE83" t="e">
        <f>IF(#REF!,"AAAAAH1339Q=",0)</f>
        <v>#REF!</v>
      </c>
      <c r="HF83" t="e">
        <f>AND(#REF!,"AAAAAH1339U=")</f>
        <v>#REF!</v>
      </c>
      <c r="HG83" t="e">
        <f>AND(#REF!,"AAAAAH1339Y=")</f>
        <v>#REF!</v>
      </c>
      <c r="HH83" t="e">
        <f>AND(#REF!,"AAAAAH1339c=")</f>
        <v>#REF!</v>
      </c>
      <c r="HI83" t="e">
        <f>AND(#REF!,"AAAAAH1339g=")</f>
        <v>#REF!</v>
      </c>
      <c r="HJ83" t="e">
        <f>AND(#REF!,"AAAAAH1339k=")</f>
        <v>#REF!</v>
      </c>
      <c r="HK83" t="e">
        <f>AND(#REF!,"AAAAAH1339o=")</f>
        <v>#REF!</v>
      </c>
      <c r="HL83" t="e">
        <f>AND(#REF!,"AAAAAH1339s=")</f>
        <v>#REF!</v>
      </c>
      <c r="HM83" t="e">
        <f>AND(#REF!,"AAAAAH1339w=")</f>
        <v>#REF!</v>
      </c>
      <c r="HN83" t="e">
        <f>IF(#REF!,"AAAAAH13390=",0)</f>
        <v>#REF!</v>
      </c>
      <c r="HO83" t="e">
        <f>AND(#REF!,"AAAAAH13394=")</f>
        <v>#REF!</v>
      </c>
      <c r="HP83" t="e">
        <f>AND(#REF!,"AAAAAH13398=")</f>
        <v>#REF!</v>
      </c>
      <c r="HQ83" t="e">
        <f>AND(#REF!,"AAAAAH133+A=")</f>
        <v>#REF!</v>
      </c>
      <c r="HR83" t="e">
        <f>AND(#REF!,"AAAAAH133+E=")</f>
        <v>#REF!</v>
      </c>
      <c r="HS83" t="e">
        <f>AND(#REF!,"AAAAAH133+I=")</f>
        <v>#REF!</v>
      </c>
      <c r="HT83" t="e">
        <f>AND(#REF!,"AAAAAH133+M=")</f>
        <v>#REF!</v>
      </c>
      <c r="HU83" t="e">
        <f>AND(#REF!,"AAAAAH133+Q=")</f>
        <v>#REF!</v>
      </c>
      <c r="HV83" t="e">
        <f>AND(#REF!,"AAAAAH133+U=")</f>
        <v>#REF!</v>
      </c>
      <c r="HW83" t="e">
        <f>IF(#REF!,"AAAAAH133+Y=",0)</f>
        <v>#REF!</v>
      </c>
      <c r="HX83" t="e">
        <f>AND(#REF!,"AAAAAH133+c=")</f>
        <v>#REF!</v>
      </c>
      <c r="HY83" t="e">
        <f>AND(#REF!,"AAAAAH133+g=")</f>
        <v>#REF!</v>
      </c>
      <c r="HZ83" t="e">
        <f>AND(#REF!,"AAAAAH133+k=")</f>
        <v>#REF!</v>
      </c>
      <c r="IA83" t="e">
        <f>AND(#REF!,"AAAAAH133+o=")</f>
        <v>#REF!</v>
      </c>
      <c r="IB83" t="e">
        <f>AND(#REF!,"AAAAAH133+s=")</f>
        <v>#REF!</v>
      </c>
      <c r="IC83" t="e">
        <f>AND(#REF!,"AAAAAH133+w=")</f>
        <v>#REF!</v>
      </c>
      <c r="ID83" t="e">
        <f>AND(#REF!,"AAAAAH133+0=")</f>
        <v>#REF!</v>
      </c>
      <c r="IE83" t="e">
        <f>AND(#REF!,"AAAAAH133+4=")</f>
        <v>#REF!</v>
      </c>
      <c r="IF83" t="e">
        <f>IF(#REF!,"AAAAAH133+8=",0)</f>
        <v>#REF!</v>
      </c>
      <c r="IG83" t="e">
        <f>AND(#REF!,"AAAAAH133/A=")</f>
        <v>#REF!</v>
      </c>
      <c r="IH83" t="e">
        <f>AND(#REF!,"AAAAAH133/E=")</f>
        <v>#REF!</v>
      </c>
      <c r="II83" t="e">
        <f>AND(#REF!,"AAAAAH133/I=")</f>
        <v>#REF!</v>
      </c>
      <c r="IJ83" t="e">
        <f>AND(#REF!,"AAAAAH133/M=")</f>
        <v>#REF!</v>
      </c>
      <c r="IK83" t="e">
        <f>AND(#REF!,"AAAAAH133/Q=")</f>
        <v>#REF!</v>
      </c>
      <c r="IL83" t="e">
        <f>AND(#REF!,"AAAAAH133/U=")</f>
        <v>#REF!</v>
      </c>
      <c r="IM83" t="e">
        <f>AND(#REF!,"AAAAAH133/Y=")</f>
        <v>#REF!</v>
      </c>
      <c r="IN83" t="e">
        <f>AND(#REF!,"AAAAAH133/c=")</f>
        <v>#REF!</v>
      </c>
      <c r="IO83" t="e">
        <f>IF(#REF!,"AAAAAH133/g=",0)</f>
        <v>#REF!</v>
      </c>
      <c r="IP83" t="e">
        <f>AND(#REF!,"AAAAAH133/k=")</f>
        <v>#REF!</v>
      </c>
      <c r="IQ83" t="e">
        <f>AND(#REF!,"AAAAAH133/o=")</f>
        <v>#REF!</v>
      </c>
      <c r="IR83" t="e">
        <f>AND(#REF!,"AAAAAH133/s=")</f>
        <v>#REF!</v>
      </c>
      <c r="IS83" t="e">
        <f>AND(#REF!,"AAAAAH133/w=")</f>
        <v>#REF!</v>
      </c>
      <c r="IT83" t="e">
        <f>AND(#REF!,"AAAAAH133/0=")</f>
        <v>#REF!</v>
      </c>
      <c r="IU83" t="e">
        <f>AND(#REF!,"AAAAAH133/4=")</f>
        <v>#REF!</v>
      </c>
      <c r="IV83" t="e">
        <f>AND(#REF!,"AAAAAH133/8=")</f>
        <v>#REF!</v>
      </c>
    </row>
    <row r="84" spans="1:256" x14ac:dyDescent="0.25">
      <c r="A84" t="e">
        <f>AND(#REF!,"AAAAAG/fLwA=")</f>
        <v>#REF!</v>
      </c>
      <c r="B84" t="e">
        <f>IF(#REF!,"AAAAAG/fLwE=",0)</f>
        <v>#REF!</v>
      </c>
      <c r="C84" t="e">
        <f>AND(#REF!,"AAAAAG/fLwI=")</f>
        <v>#REF!</v>
      </c>
      <c r="D84" t="e">
        <f>AND(#REF!,"AAAAAG/fLwM=")</f>
        <v>#REF!</v>
      </c>
      <c r="E84" t="e">
        <f>AND(#REF!,"AAAAAG/fLwQ=")</f>
        <v>#REF!</v>
      </c>
      <c r="F84" t="e">
        <f>AND(#REF!,"AAAAAG/fLwU=")</f>
        <v>#REF!</v>
      </c>
      <c r="G84" t="e">
        <f>AND(#REF!,"AAAAAG/fLwY=")</f>
        <v>#REF!</v>
      </c>
      <c r="H84" t="e">
        <f>AND(#REF!,"AAAAAG/fLwc=")</f>
        <v>#REF!</v>
      </c>
      <c r="I84" t="e">
        <f>AND(#REF!,"AAAAAG/fLwg=")</f>
        <v>#REF!</v>
      </c>
      <c r="J84" t="e">
        <f>AND(#REF!,"AAAAAG/fLwk=")</f>
        <v>#REF!</v>
      </c>
      <c r="K84" t="e">
        <f>IF(#REF!,"AAAAAG/fLwo=",0)</f>
        <v>#REF!</v>
      </c>
      <c r="L84" t="e">
        <f>AND(#REF!,"AAAAAG/fLws=")</f>
        <v>#REF!</v>
      </c>
      <c r="M84" t="e">
        <f>AND(#REF!,"AAAAAG/fLww=")</f>
        <v>#REF!</v>
      </c>
      <c r="N84" t="e">
        <f>AND(#REF!,"AAAAAG/fLw0=")</f>
        <v>#REF!</v>
      </c>
      <c r="O84" t="e">
        <f>AND(#REF!,"AAAAAG/fLw4=")</f>
        <v>#REF!</v>
      </c>
      <c r="P84" t="e">
        <f>AND(#REF!,"AAAAAG/fLw8=")</f>
        <v>#REF!</v>
      </c>
      <c r="Q84" t="e">
        <f>AND(#REF!,"AAAAAG/fLxA=")</f>
        <v>#REF!</v>
      </c>
      <c r="R84" t="e">
        <f>AND(#REF!,"AAAAAG/fLxE=")</f>
        <v>#REF!</v>
      </c>
      <c r="S84" t="e">
        <f>AND(#REF!,"AAAAAG/fLxI=")</f>
        <v>#REF!</v>
      </c>
      <c r="T84" t="e">
        <f>IF(#REF!,"AAAAAG/fLxM=",0)</f>
        <v>#REF!</v>
      </c>
      <c r="U84" t="e">
        <f>AND(#REF!,"AAAAAG/fLxQ=")</f>
        <v>#REF!</v>
      </c>
      <c r="V84" t="e">
        <f>AND(#REF!,"AAAAAG/fLxU=")</f>
        <v>#REF!</v>
      </c>
      <c r="W84" t="e">
        <f>AND(#REF!,"AAAAAG/fLxY=")</f>
        <v>#REF!</v>
      </c>
      <c r="X84" t="e">
        <f>AND(#REF!,"AAAAAG/fLxc=")</f>
        <v>#REF!</v>
      </c>
      <c r="Y84" t="e">
        <f>AND(#REF!,"AAAAAG/fLxg=")</f>
        <v>#REF!</v>
      </c>
      <c r="Z84" t="e">
        <f>AND(#REF!,"AAAAAG/fLxk=")</f>
        <v>#REF!</v>
      </c>
      <c r="AA84" t="e">
        <f>AND(#REF!,"AAAAAG/fLxo=")</f>
        <v>#REF!</v>
      </c>
      <c r="AB84" t="e">
        <f>AND(#REF!,"AAAAAG/fLxs=")</f>
        <v>#REF!</v>
      </c>
      <c r="AC84" t="e">
        <f>IF(#REF!,"AAAAAG/fLxw=",0)</f>
        <v>#REF!</v>
      </c>
      <c r="AD84" t="e">
        <f>AND(#REF!,"AAAAAG/fLx0=")</f>
        <v>#REF!</v>
      </c>
      <c r="AE84" t="e">
        <f>AND(#REF!,"AAAAAG/fLx4=")</f>
        <v>#REF!</v>
      </c>
      <c r="AF84" t="e">
        <f>AND(#REF!,"AAAAAG/fLx8=")</f>
        <v>#REF!</v>
      </c>
      <c r="AG84" t="e">
        <f>AND(#REF!,"AAAAAG/fLyA=")</f>
        <v>#REF!</v>
      </c>
      <c r="AH84" t="e">
        <f>AND(#REF!,"AAAAAG/fLyE=")</f>
        <v>#REF!</v>
      </c>
      <c r="AI84" t="e">
        <f>AND(#REF!,"AAAAAG/fLyI=")</f>
        <v>#REF!</v>
      </c>
      <c r="AJ84" t="e">
        <f>AND(#REF!,"AAAAAG/fLyM=")</f>
        <v>#REF!</v>
      </c>
      <c r="AK84" t="e">
        <f>AND(#REF!,"AAAAAG/fLyQ=")</f>
        <v>#REF!</v>
      </c>
      <c r="AL84" t="e">
        <f>IF(#REF!,"AAAAAG/fLyU=",0)</f>
        <v>#REF!</v>
      </c>
      <c r="AM84" t="e">
        <f>AND(#REF!,"AAAAAG/fLyY=")</f>
        <v>#REF!</v>
      </c>
      <c r="AN84" t="e">
        <f>AND(#REF!,"AAAAAG/fLyc=")</f>
        <v>#REF!</v>
      </c>
      <c r="AO84" t="e">
        <f>AND(#REF!,"AAAAAG/fLyg=")</f>
        <v>#REF!</v>
      </c>
      <c r="AP84" t="e">
        <f>AND(#REF!,"AAAAAG/fLyk=")</f>
        <v>#REF!</v>
      </c>
      <c r="AQ84" t="e">
        <f>AND(#REF!,"AAAAAG/fLyo=")</f>
        <v>#REF!</v>
      </c>
      <c r="AR84" t="e">
        <f>AND(#REF!,"AAAAAG/fLys=")</f>
        <v>#REF!</v>
      </c>
      <c r="AS84" t="e">
        <f>AND(#REF!,"AAAAAG/fLyw=")</f>
        <v>#REF!</v>
      </c>
      <c r="AT84" t="e">
        <f>AND(#REF!,"AAAAAG/fLy0=")</f>
        <v>#REF!</v>
      </c>
      <c r="AU84" t="e">
        <f>IF(#REF!,"AAAAAG/fLy4=",0)</f>
        <v>#REF!</v>
      </c>
      <c r="AV84" t="e">
        <f>AND(#REF!,"AAAAAG/fLy8=")</f>
        <v>#REF!</v>
      </c>
      <c r="AW84" t="e">
        <f>AND(#REF!,"AAAAAG/fLzA=")</f>
        <v>#REF!</v>
      </c>
      <c r="AX84" t="e">
        <f>AND(#REF!,"AAAAAG/fLzE=")</f>
        <v>#REF!</v>
      </c>
      <c r="AY84" t="e">
        <f>AND(#REF!,"AAAAAG/fLzI=")</f>
        <v>#REF!</v>
      </c>
      <c r="AZ84" t="e">
        <f>AND(#REF!,"AAAAAG/fLzM=")</f>
        <v>#REF!</v>
      </c>
      <c r="BA84" t="e">
        <f>AND(#REF!,"AAAAAG/fLzQ=")</f>
        <v>#REF!</v>
      </c>
      <c r="BB84" t="e">
        <f>AND(#REF!,"AAAAAG/fLzU=")</f>
        <v>#REF!</v>
      </c>
      <c r="BC84" t="e">
        <f>AND(#REF!,"AAAAAG/fLzY=")</f>
        <v>#REF!</v>
      </c>
      <c r="BD84" t="e">
        <f>IF(#REF!,"AAAAAG/fLzc=",0)</f>
        <v>#REF!</v>
      </c>
      <c r="BE84" t="e">
        <f>AND(#REF!,"AAAAAG/fLzg=")</f>
        <v>#REF!</v>
      </c>
      <c r="BF84" t="e">
        <f>AND(#REF!,"AAAAAG/fLzk=")</f>
        <v>#REF!</v>
      </c>
      <c r="BG84" t="e">
        <f>AND(#REF!,"AAAAAG/fLzo=")</f>
        <v>#REF!</v>
      </c>
      <c r="BH84" t="e">
        <f>AND(#REF!,"AAAAAG/fLzs=")</f>
        <v>#REF!</v>
      </c>
      <c r="BI84" t="e">
        <f>AND(#REF!,"AAAAAG/fLzw=")</f>
        <v>#REF!</v>
      </c>
      <c r="BJ84" t="e">
        <f>AND(#REF!,"AAAAAG/fLz0=")</f>
        <v>#REF!</v>
      </c>
      <c r="BK84" t="e">
        <f>AND(#REF!,"AAAAAG/fLz4=")</f>
        <v>#REF!</v>
      </c>
      <c r="BL84" t="e">
        <f>AND(#REF!,"AAAAAG/fLz8=")</f>
        <v>#REF!</v>
      </c>
      <c r="BM84" t="e">
        <f>IF(#REF!,"AAAAAG/fL0A=",0)</f>
        <v>#REF!</v>
      </c>
      <c r="BN84" t="e">
        <f>AND(#REF!,"AAAAAG/fL0E=")</f>
        <v>#REF!</v>
      </c>
      <c r="BO84" t="e">
        <f>AND(#REF!,"AAAAAG/fL0I=")</f>
        <v>#REF!</v>
      </c>
      <c r="BP84" t="e">
        <f>AND(#REF!,"AAAAAG/fL0M=")</f>
        <v>#REF!</v>
      </c>
      <c r="BQ84" t="e">
        <f>AND(#REF!,"AAAAAG/fL0Q=")</f>
        <v>#REF!</v>
      </c>
      <c r="BR84" t="e">
        <f>AND(#REF!,"AAAAAG/fL0U=")</f>
        <v>#REF!</v>
      </c>
      <c r="BS84" t="e">
        <f>AND(#REF!,"AAAAAG/fL0Y=")</f>
        <v>#REF!</v>
      </c>
      <c r="BT84" t="e">
        <f>AND(#REF!,"AAAAAG/fL0c=")</f>
        <v>#REF!</v>
      </c>
      <c r="BU84" t="e">
        <f>AND(#REF!,"AAAAAG/fL0g=")</f>
        <v>#REF!</v>
      </c>
      <c r="BV84" t="e">
        <f>IF(#REF!,"AAAAAG/fL0k=",0)</f>
        <v>#REF!</v>
      </c>
      <c r="BW84" t="e">
        <f>AND(#REF!,"AAAAAG/fL0o=")</f>
        <v>#REF!</v>
      </c>
      <c r="BX84" t="e">
        <f>AND(#REF!,"AAAAAG/fL0s=")</f>
        <v>#REF!</v>
      </c>
      <c r="BY84" t="e">
        <f>AND(#REF!,"AAAAAG/fL0w=")</f>
        <v>#REF!</v>
      </c>
      <c r="BZ84" t="e">
        <f>AND(#REF!,"AAAAAG/fL00=")</f>
        <v>#REF!</v>
      </c>
      <c r="CA84" t="e">
        <f>AND(#REF!,"AAAAAG/fL04=")</f>
        <v>#REF!</v>
      </c>
      <c r="CB84" t="e">
        <f>AND(#REF!,"AAAAAG/fL08=")</f>
        <v>#REF!</v>
      </c>
      <c r="CC84" t="e">
        <f>AND(#REF!,"AAAAAG/fL1A=")</f>
        <v>#REF!</v>
      </c>
      <c r="CD84" t="e">
        <f>AND(#REF!,"AAAAAG/fL1E=")</f>
        <v>#REF!</v>
      </c>
      <c r="CE84" t="e">
        <f>IF(#REF!,"AAAAAG/fL1I=",0)</f>
        <v>#REF!</v>
      </c>
      <c r="CF84" t="e">
        <f>AND(#REF!,"AAAAAG/fL1M=")</f>
        <v>#REF!</v>
      </c>
      <c r="CG84" t="e">
        <f>AND(#REF!,"AAAAAG/fL1Q=")</f>
        <v>#REF!</v>
      </c>
      <c r="CH84" t="e">
        <f>AND(#REF!,"AAAAAG/fL1U=")</f>
        <v>#REF!</v>
      </c>
      <c r="CI84" t="e">
        <f>AND(#REF!,"AAAAAG/fL1Y=")</f>
        <v>#REF!</v>
      </c>
      <c r="CJ84" t="e">
        <f>AND(#REF!,"AAAAAG/fL1c=")</f>
        <v>#REF!</v>
      </c>
      <c r="CK84" t="e">
        <f>AND(#REF!,"AAAAAG/fL1g=")</f>
        <v>#REF!</v>
      </c>
      <c r="CL84" t="e">
        <f>AND(#REF!,"AAAAAG/fL1k=")</f>
        <v>#REF!</v>
      </c>
      <c r="CM84" t="e">
        <f>AND(#REF!,"AAAAAG/fL1o=")</f>
        <v>#REF!</v>
      </c>
      <c r="CN84" t="e">
        <f>IF(#REF!,"AAAAAG/fL1s=",0)</f>
        <v>#REF!</v>
      </c>
      <c r="CO84" t="e">
        <f>AND(#REF!,"AAAAAG/fL1w=")</f>
        <v>#REF!</v>
      </c>
      <c r="CP84" t="e">
        <f>AND(#REF!,"AAAAAG/fL10=")</f>
        <v>#REF!</v>
      </c>
      <c r="CQ84" t="e">
        <f>AND(#REF!,"AAAAAG/fL14=")</f>
        <v>#REF!</v>
      </c>
      <c r="CR84" t="e">
        <f>AND(#REF!,"AAAAAG/fL18=")</f>
        <v>#REF!</v>
      </c>
      <c r="CS84" t="e">
        <f>AND(#REF!,"AAAAAG/fL2A=")</f>
        <v>#REF!</v>
      </c>
      <c r="CT84" t="e">
        <f>AND(#REF!,"AAAAAG/fL2E=")</f>
        <v>#REF!</v>
      </c>
      <c r="CU84" t="e">
        <f>AND(#REF!,"AAAAAG/fL2I=")</f>
        <v>#REF!</v>
      </c>
      <c r="CV84" t="e">
        <f>AND(#REF!,"AAAAAG/fL2M=")</f>
        <v>#REF!</v>
      </c>
      <c r="CW84" t="e">
        <f>IF(#REF!,"AAAAAG/fL2Q=",0)</f>
        <v>#REF!</v>
      </c>
      <c r="CX84" t="e">
        <f>AND(#REF!,"AAAAAG/fL2U=")</f>
        <v>#REF!</v>
      </c>
      <c r="CY84" t="e">
        <f>AND(#REF!,"AAAAAG/fL2Y=")</f>
        <v>#REF!</v>
      </c>
      <c r="CZ84" t="e">
        <f>AND(#REF!,"AAAAAG/fL2c=")</f>
        <v>#REF!</v>
      </c>
      <c r="DA84" t="e">
        <f>AND(#REF!,"AAAAAG/fL2g=")</f>
        <v>#REF!</v>
      </c>
      <c r="DB84" t="e">
        <f>AND(#REF!,"AAAAAG/fL2k=")</f>
        <v>#REF!</v>
      </c>
      <c r="DC84" t="e">
        <f>AND(#REF!,"AAAAAG/fL2o=")</f>
        <v>#REF!</v>
      </c>
      <c r="DD84" t="e">
        <f>AND(#REF!,"AAAAAG/fL2s=")</f>
        <v>#REF!</v>
      </c>
      <c r="DE84" t="e">
        <f>AND(#REF!,"AAAAAG/fL2w=")</f>
        <v>#REF!</v>
      </c>
      <c r="DF84" t="e">
        <f>IF(#REF!,"AAAAAG/fL20=",0)</f>
        <v>#REF!</v>
      </c>
      <c r="DG84" t="e">
        <f>AND(#REF!,"AAAAAG/fL24=")</f>
        <v>#REF!</v>
      </c>
      <c r="DH84" t="e">
        <f>AND(#REF!,"AAAAAG/fL28=")</f>
        <v>#REF!</v>
      </c>
      <c r="DI84" t="e">
        <f>AND(#REF!,"AAAAAG/fL3A=")</f>
        <v>#REF!</v>
      </c>
      <c r="DJ84" t="e">
        <f>AND(#REF!,"AAAAAG/fL3E=")</f>
        <v>#REF!</v>
      </c>
      <c r="DK84" t="e">
        <f>AND(#REF!,"AAAAAG/fL3I=")</f>
        <v>#REF!</v>
      </c>
      <c r="DL84" t="e">
        <f>AND(#REF!,"AAAAAG/fL3M=")</f>
        <v>#REF!</v>
      </c>
      <c r="DM84" t="e">
        <f>AND(#REF!,"AAAAAG/fL3Q=")</f>
        <v>#REF!</v>
      </c>
      <c r="DN84" t="e">
        <f>AND(#REF!,"AAAAAG/fL3U=")</f>
        <v>#REF!</v>
      </c>
      <c r="DO84" t="e">
        <f>IF(#REF!,"AAAAAG/fL3Y=",0)</f>
        <v>#REF!</v>
      </c>
      <c r="DP84" t="e">
        <f>AND(#REF!,"AAAAAG/fL3c=")</f>
        <v>#REF!</v>
      </c>
      <c r="DQ84" t="e">
        <f>AND(#REF!,"AAAAAG/fL3g=")</f>
        <v>#REF!</v>
      </c>
      <c r="DR84" t="e">
        <f>AND(#REF!,"AAAAAG/fL3k=")</f>
        <v>#REF!</v>
      </c>
      <c r="DS84" t="e">
        <f>AND(#REF!,"AAAAAG/fL3o=")</f>
        <v>#REF!</v>
      </c>
      <c r="DT84" t="e">
        <f>AND(#REF!,"AAAAAG/fL3s=")</f>
        <v>#REF!</v>
      </c>
      <c r="DU84" t="e">
        <f>AND(#REF!,"AAAAAG/fL3w=")</f>
        <v>#REF!</v>
      </c>
      <c r="DV84" t="e">
        <f>AND(#REF!,"AAAAAG/fL30=")</f>
        <v>#REF!</v>
      </c>
      <c r="DW84" t="e">
        <f>AND(#REF!,"AAAAAG/fL34=")</f>
        <v>#REF!</v>
      </c>
      <c r="DX84" t="e">
        <f>IF(#REF!,"AAAAAG/fL38=",0)</f>
        <v>#REF!</v>
      </c>
      <c r="DY84" t="e">
        <f>AND(#REF!,"AAAAAG/fL4A=")</f>
        <v>#REF!</v>
      </c>
      <c r="DZ84" t="e">
        <f>AND(#REF!,"AAAAAG/fL4E=")</f>
        <v>#REF!</v>
      </c>
      <c r="EA84" t="e">
        <f>AND(#REF!,"AAAAAG/fL4I=")</f>
        <v>#REF!</v>
      </c>
      <c r="EB84" t="e">
        <f>AND(#REF!,"AAAAAG/fL4M=")</f>
        <v>#REF!</v>
      </c>
      <c r="EC84" t="e">
        <f>AND(#REF!,"AAAAAG/fL4Q=")</f>
        <v>#REF!</v>
      </c>
      <c r="ED84" t="e">
        <f>AND(#REF!,"AAAAAG/fL4U=")</f>
        <v>#REF!</v>
      </c>
      <c r="EE84" t="e">
        <f>AND(#REF!,"AAAAAG/fL4Y=")</f>
        <v>#REF!</v>
      </c>
      <c r="EF84" t="e">
        <f>AND(#REF!,"AAAAAG/fL4c=")</f>
        <v>#REF!</v>
      </c>
      <c r="EG84" t="e">
        <f>IF(#REF!,"AAAAAG/fL4g=",0)</f>
        <v>#REF!</v>
      </c>
      <c r="EH84" t="e">
        <f>AND(#REF!,"AAAAAG/fL4k=")</f>
        <v>#REF!</v>
      </c>
      <c r="EI84" t="e">
        <f>AND(#REF!,"AAAAAG/fL4o=")</f>
        <v>#REF!</v>
      </c>
      <c r="EJ84" t="e">
        <f>AND(#REF!,"AAAAAG/fL4s=")</f>
        <v>#REF!</v>
      </c>
      <c r="EK84" t="e">
        <f>AND(#REF!,"AAAAAG/fL4w=")</f>
        <v>#REF!</v>
      </c>
      <c r="EL84" t="e">
        <f>AND(#REF!,"AAAAAG/fL40=")</f>
        <v>#REF!</v>
      </c>
      <c r="EM84" t="e">
        <f>AND(#REF!,"AAAAAG/fL44=")</f>
        <v>#REF!</v>
      </c>
      <c r="EN84" t="e">
        <f>AND(#REF!,"AAAAAG/fL48=")</f>
        <v>#REF!</v>
      </c>
      <c r="EO84" t="e">
        <f>AND(#REF!,"AAAAAG/fL5A=")</f>
        <v>#REF!</v>
      </c>
      <c r="EP84" t="e">
        <f>IF(#REF!,"AAAAAG/fL5E=",0)</f>
        <v>#REF!</v>
      </c>
      <c r="EQ84" t="e">
        <f>AND(#REF!,"AAAAAG/fL5I=")</f>
        <v>#REF!</v>
      </c>
      <c r="ER84" t="e">
        <f>AND(#REF!,"AAAAAG/fL5M=")</f>
        <v>#REF!</v>
      </c>
      <c r="ES84" t="e">
        <f>AND(#REF!,"AAAAAG/fL5Q=")</f>
        <v>#REF!</v>
      </c>
      <c r="ET84" t="e">
        <f>AND(#REF!,"AAAAAG/fL5U=")</f>
        <v>#REF!</v>
      </c>
      <c r="EU84" t="e">
        <f>AND(#REF!,"AAAAAG/fL5Y=")</f>
        <v>#REF!</v>
      </c>
      <c r="EV84" t="e">
        <f>AND(#REF!,"AAAAAG/fL5c=")</f>
        <v>#REF!</v>
      </c>
      <c r="EW84" t="e">
        <f>AND(#REF!,"AAAAAG/fL5g=")</f>
        <v>#REF!</v>
      </c>
      <c r="EX84" t="e">
        <f>AND(#REF!,"AAAAAG/fL5k=")</f>
        <v>#REF!</v>
      </c>
      <c r="EY84" t="e">
        <f>IF(#REF!,"AAAAAG/fL5o=",0)</f>
        <v>#REF!</v>
      </c>
      <c r="EZ84" t="e">
        <f>AND(#REF!,"AAAAAG/fL5s=")</f>
        <v>#REF!</v>
      </c>
      <c r="FA84" t="e">
        <f>AND(#REF!,"AAAAAG/fL5w=")</f>
        <v>#REF!</v>
      </c>
      <c r="FB84" t="e">
        <f>AND(#REF!,"AAAAAG/fL50=")</f>
        <v>#REF!</v>
      </c>
      <c r="FC84" t="e">
        <f>AND(#REF!,"AAAAAG/fL54=")</f>
        <v>#REF!</v>
      </c>
      <c r="FD84" t="e">
        <f>AND(#REF!,"AAAAAG/fL58=")</f>
        <v>#REF!</v>
      </c>
      <c r="FE84" t="e">
        <f>AND(#REF!,"AAAAAG/fL6A=")</f>
        <v>#REF!</v>
      </c>
      <c r="FF84" t="e">
        <f>AND(#REF!,"AAAAAG/fL6E=")</f>
        <v>#REF!</v>
      </c>
      <c r="FG84" t="e">
        <f>AND(#REF!,"AAAAAG/fL6I=")</f>
        <v>#REF!</v>
      </c>
      <c r="FH84" t="e">
        <f>IF(#REF!,"AAAAAG/fL6M=",0)</f>
        <v>#REF!</v>
      </c>
      <c r="FI84" t="e">
        <f>AND(#REF!,"AAAAAG/fL6Q=")</f>
        <v>#REF!</v>
      </c>
      <c r="FJ84" t="e">
        <f>AND(#REF!,"AAAAAG/fL6U=")</f>
        <v>#REF!</v>
      </c>
      <c r="FK84" t="e">
        <f>AND(#REF!,"AAAAAG/fL6Y=")</f>
        <v>#REF!</v>
      </c>
      <c r="FL84" t="e">
        <f>AND(#REF!,"AAAAAG/fL6c=")</f>
        <v>#REF!</v>
      </c>
      <c r="FM84" t="e">
        <f>AND(#REF!,"AAAAAG/fL6g=")</f>
        <v>#REF!</v>
      </c>
      <c r="FN84" t="e">
        <f>AND(#REF!,"AAAAAG/fL6k=")</f>
        <v>#REF!</v>
      </c>
      <c r="FO84" t="e">
        <f>AND(#REF!,"AAAAAG/fL6o=")</f>
        <v>#REF!</v>
      </c>
      <c r="FP84" t="e">
        <f>AND(#REF!,"AAAAAG/fL6s=")</f>
        <v>#REF!</v>
      </c>
      <c r="FQ84" t="e">
        <f>IF(#REF!,"AAAAAG/fL6w=",0)</f>
        <v>#REF!</v>
      </c>
      <c r="FR84" t="e">
        <f>AND(#REF!,"AAAAAG/fL60=")</f>
        <v>#REF!</v>
      </c>
      <c r="FS84" t="e">
        <f>AND(#REF!,"AAAAAG/fL64=")</f>
        <v>#REF!</v>
      </c>
      <c r="FT84" t="e">
        <f>AND(#REF!,"AAAAAG/fL68=")</f>
        <v>#REF!</v>
      </c>
      <c r="FU84" t="e">
        <f>AND(#REF!,"AAAAAG/fL7A=")</f>
        <v>#REF!</v>
      </c>
      <c r="FV84" t="e">
        <f>AND(#REF!,"AAAAAG/fL7E=")</f>
        <v>#REF!</v>
      </c>
      <c r="FW84" t="e">
        <f>AND(#REF!,"AAAAAG/fL7I=")</f>
        <v>#REF!</v>
      </c>
      <c r="FX84" t="e">
        <f>AND(#REF!,"AAAAAG/fL7M=")</f>
        <v>#REF!</v>
      </c>
      <c r="FY84" t="e">
        <f>AND(#REF!,"AAAAAG/fL7Q=")</f>
        <v>#REF!</v>
      </c>
      <c r="FZ84" t="e">
        <f>IF(#REF!,"AAAAAG/fL7U=",0)</f>
        <v>#REF!</v>
      </c>
      <c r="GA84" t="e">
        <f>AND(#REF!,"AAAAAG/fL7Y=")</f>
        <v>#REF!</v>
      </c>
      <c r="GB84" t="e">
        <f>AND(#REF!,"AAAAAG/fL7c=")</f>
        <v>#REF!</v>
      </c>
      <c r="GC84" t="e">
        <f>AND(#REF!,"AAAAAG/fL7g=")</f>
        <v>#REF!</v>
      </c>
      <c r="GD84" t="e">
        <f>AND(#REF!,"AAAAAG/fL7k=")</f>
        <v>#REF!</v>
      </c>
      <c r="GE84" t="e">
        <f>AND(#REF!,"AAAAAG/fL7o=")</f>
        <v>#REF!</v>
      </c>
      <c r="GF84" t="e">
        <f>AND(#REF!,"AAAAAG/fL7s=")</f>
        <v>#REF!</v>
      </c>
      <c r="GG84" t="e">
        <f>AND(#REF!,"AAAAAG/fL7w=")</f>
        <v>#REF!</v>
      </c>
      <c r="GH84" t="e">
        <f>AND(#REF!,"AAAAAG/fL70=")</f>
        <v>#REF!</v>
      </c>
      <c r="GI84" t="e">
        <f>IF(#REF!,"AAAAAG/fL74=",0)</f>
        <v>#REF!</v>
      </c>
      <c r="GJ84" t="e">
        <f>AND(#REF!,"AAAAAG/fL78=")</f>
        <v>#REF!</v>
      </c>
      <c r="GK84" t="e">
        <f>AND(#REF!,"AAAAAG/fL8A=")</f>
        <v>#REF!</v>
      </c>
      <c r="GL84" t="e">
        <f>AND(#REF!,"AAAAAG/fL8E=")</f>
        <v>#REF!</v>
      </c>
      <c r="GM84" t="e">
        <f>AND(#REF!,"AAAAAG/fL8I=")</f>
        <v>#REF!</v>
      </c>
      <c r="GN84" t="e">
        <f>AND(#REF!,"AAAAAG/fL8M=")</f>
        <v>#REF!</v>
      </c>
      <c r="GO84" t="e">
        <f>AND(#REF!,"AAAAAG/fL8Q=")</f>
        <v>#REF!</v>
      </c>
      <c r="GP84" t="e">
        <f>AND(#REF!,"AAAAAG/fL8U=")</f>
        <v>#REF!</v>
      </c>
      <c r="GQ84" t="e">
        <f>AND(#REF!,"AAAAAG/fL8Y=")</f>
        <v>#REF!</v>
      </c>
      <c r="GR84" t="e">
        <f>IF(#REF!,"AAAAAG/fL8c=",0)</f>
        <v>#REF!</v>
      </c>
      <c r="GS84" t="e">
        <f>AND(#REF!,"AAAAAG/fL8g=")</f>
        <v>#REF!</v>
      </c>
      <c r="GT84" t="e">
        <f>AND(#REF!,"AAAAAG/fL8k=")</f>
        <v>#REF!</v>
      </c>
      <c r="GU84" t="e">
        <f>AND(#REF!,"AAAAAG/fL8o=")</f>
        <v>#REF!</v>
      </c>
      <c r="GV84" t="e">
        <f>AND(#REF!,"AAAAAG/fL8s=")</f>
        <v>#REF!</v>
      </c>
      <c r="GW84" t="e">
        <f>AND(#REF!,"AAAAAG/fL8w=")</f>
        <v>#REF!</v>
      </c>
      <c r="GX84" t="e">
        <f>AND(#REF!,"AAAAAG/fL80=")</f>
        <v>#REF!</v>
      </c>
      <c r="GY84" t="e">
        <f>AND(#REF!,"AAAAAG/fL84=")</f>
        <v>#REF!</v>
      </c>
      <c r="GZ84" t="e">
        <f>AND(#REF!,"AAAAAG/fL88=")</f>
        <v>#REF!</v>
      </c>
      <c r="HA84" t="e">
        <f>IF(#REF!,"AAAAAG/fL9A=",0)</f>
        <v>#REF!</v>
      </c>
      <c r="HB84" t="e">
        <f>AND(#REF!,"AAAAAG/fL9E=")</f>
        <v>#REF!</v>
      </c>
      <c r="HC84" t="e">
        <f>AND(#REF!,"AAAAAG/fL9I=")</f>
        <v>#REF!</v>
      </c>
      <c r="HD84" t="e">
        <f>AND(#REF!,"AAAAAG/fL9M=")</f>
        <v>#REF!</v>
      </c>
      <c r="HE84" t="e">
        <f>AND(#REF!,"AAAAAG/fL9Q=")</f>
        <v>#REF!</v>
      </c>
      <c r="HF84" t="e">
        <f>AND(#REF!,"AAAAAG/fL9U=")</f>
        <v>#REF!</v>
      </c>
      <c r="HG84" t="e">
        <f>AND(#REF!,"AAAAAG/fL9Y=")</f>
        <v>#REF!</v>
      </c>
      <c r="HH84" t="e">
        <f>AND(#REF!,"AAAAAG/fL9c=")</f>
        <v>#REF!</v>
      </c>
      <c r="HI84" t="e">
        <f>AND(#REF!,"AAAAAG/fL9g=")</f>
        <v>#REF!</v>
      </c>
      <c r="HJ84" t="e">
        <f>IF(#REF!,"AAAAAG/fL9k=",0)</f>
        <v>#REF!</v>
      </c>
      <c r="HK84" t="e">
        <f>AND(#REF!,"AAAAAG/fL9o=")</f>
        <v>#REF!</v>
      </c>
      <c r="HL84" t="e">
        <f>AND(#REF!,"AAAAAG/fL9s=")</f>
        <v>#REF!</v>
      </c>
      <c r="HM84" t="e">
        <f>AND(#REF!,"AAAAAG/fL9w=")</f>
        <v>#REF!</v>
      </c>
      <c r="HN84" t="e">
        <f>AND(#REF!,"AAAAAG/fL90=")</f>
        <v>#REF!</v>
      </c>
      <c r="HO84" t="e">
        <f>AND(#REF!,"AAAAAG/fL94=")</f>
        <v>#REF!</v>
      </c>
      <c r="HP84" t="e">
        <f>AND(#REF!,"AAAAAG/fL98=")</f>
        <v>#REF!</v>
      </c>
      <c r="HQ84" t="e">
        <f>AND(#REF!,"AAAAAG/fL+A=")</f>
        <v>#REF!</v>
      </c>
      <c r="HR84" t="e">
        <f>AND(#REF!,"AAAAAG/fL+E=")</f>
        <v>#REF!</v>
      </c>
      <c r="HS84" t="e">
        <f>IF(#REF!,"AAAAAG/fL+I=",0)</f>
        <v>#REF!</v>
      </c>
      <c r="HT84" t="e">
        <f>AND(#REF!,"AAAAAG/fL+M=")</f>
        <v>#REF!</v>
      </c>
      <c r="HU84" t="e">
        <f>AND(#REF!,"AAAAAG/fL+Q=")</f>
        <v>#REF!</v>
      </c>
      <c r="HV84" t="e">
        <f>AND(#REF!,"AAAAAG/fL+U=")</f>
        <v>#REF!</v>
      </c>
      <c r="HW84" t="e">
        <f>AND(#REF!,"AAAAAG/fL+Y=")</f>
        <v>#REF!</v>
      </c>
      <c r="HX84" t="e">
        <f>AND(#REF!,"AAAAAG/fL+c=")</f>
        <v>#REF!</v>
      </c>
      <c r="HY84" t="e">
        <f>AND(#REF!,"AAAAAG/fL+g=")</f>
        <v>#REF!</v>
      </c>
      <c r="HZ84" t="e">
        <f>AND(#REF!,"AAAAAG/fL+k=")</f>
        <v>#REF!</v>
      </c>
      <c r="IA84" t="e">
        <f>AND(#REF!,"AAAAAG/fL+o=")</f>
        <v>#REF!</v>
      </c>
      <c r="IB84" t="e">
        <f>IF(#REF!,"AAAAAG/fL+s=",0)</f>
        <v>#REF!</v>
      </c>
      <c r="IC84" t="e">
        <f>AND(#REF!,"AAAAAG/fL+w=")</f>
        <v>#REF!</v>
      </c>
      <c r="ID84" t="e">
        <f>AND(#REF!,"AAAAAG/fL+0=")</f>
        <v>#REF!</v>
      </c>
      <c r="IE84" t="e">
        <f>AND(#REF!,"AAAAAG/fL+4=")</f>
        <v>#REF!</v>
      </c>
      <c r="IF84" t="e">
        <f>AND(#REF!,"AAAAAG/fL+8=")</f>
        <v>#REF!</v>
      </c>
      <c r="IG84" t="e">
        <f>AND(#REF!,"AAAAAG/fL/A=")</f>
        <v>#REF!</v>
      </c>
      <c r="IH84" t="e">
        <f>AND(#REF!,"AAAAAG/fL/E=")</f>
        <v>#REF!</v>
      </c>
      <c r="II84" t="e">
        <f>AND(#REF!,"AAAAAG/fL/I=")</f>
        <v>#REF!</v>
      </c>
      <c r="IJ84" t="e">
        <f>AND(#REF!,"AAAAAG/fL/M=")</f>
        <v>#REF!</v>
      </c>
      <c r="IK84" t="e">
        <f>IF(#REF!,"AAAAAG/fL/Q=",0)</f>
        <v>#REF!</v>
      </c>
      <c r="IL84" t="e">
        <f>AND(#REF!,"AAAAAG/fL/U=")</f>
        <v>#REF!</v>
      </c>
      <c r="IM84" t="e">
        <f>AND(#REF!,"AAAAAG/fL/Y=")</f>
        <v>#REF!</v>
      </c>
      <c r="IN84" t="e">
        <f>AND(#REF!,"AAAAAG/fL/c=")</f>
        <v>#REF!</v>
      </c>
      <c r="IO84" t="e">
        <f>AND(#REF!,"AAAAAG/fL/g=")</f>
        <v>#REF!</v>
      </c>
      <c r="IP84" t="e">
        <f>AND(#REF!,"AAAAAG/fL/k=")</f>
        <v>#REF!</v>
      </c>
      <c r="IQ84" t="e">
        <f>AND(#REF!,"AAAAAG/fL/o=")</f>
        <v>#REF!</v>
      </c>
      <c r="IR84" t="e">
        <f>AND(#REF!,"AAAAAG/fL/s=")</f>
        <v>#REF!</v>
      </c>
      <c r="IS84" t="e">
        <f>AND(#REF!,"AAAAAG/fL/w=")</f>
        <v>#REF!</v>
      </c>
      <c r="IT84" t="e">
        <f>IF(#REF!,"AAAAAG/fL/0=",0)</f>
        <v>#REF!</v>
      </c>
      <c r="IU84" t="e">
        <f>AND(#REF!,"AAAAAG/fL/4=")</f>
        <v>#REF!</v>
      </c>
      <c r="IV84" t="e">
        <f>AND(#REF!,"AAAAAG/fL/8=")</f>
        <v>#REF!</v>
      </c>
    </row>
    <row r="85" spans="1:256" x14ac:dyDescent="0.25">
      <c r="A85" t="e">
        <f>AND(#REF!,"AAAAAHh/fwA=")</f>
        <v>#REF!</v>
      </c>
      <c r="B85" t="e">
        <f>AND(#REF!,"AAAAAHh/fwE=")</f>
        <v>#REF!</v>
      </c>
      <c r="C85" t="e">
        <f>AND(#REF!,"AAAAAHh/fwI=")</f>
        <v>#REF!</v>
      </c>
      <c r="D85" t="e">
        <f>AND(#REF!,"AAAAAHh/fwM=")</f>
        <v>#REF!</v>
      </c>
      <c r="E85" t="e">
        <f>AND(#REF!,"AAAAAHh/fwQ=")</f>
        <v>#REF!</v>
      </c>
      <c r="F85" t="e">
        <f>AND(#REF!,"AAAAAHh/fwU=")</f>
        <v>#REF!</v>
      </c>
      <c r="G85" t="e">
        <f>IF(#REF!,"AAAAAHh/fwY=",0)</f>
        <v>#REF!</v>
      </c>
      <c r="H85" t="e">
        <f>AND(#REF!,"AAAAAHh/fwc=")</f>
        <v>#REF!</v>
      </c>
      <c r="I85" t="e">
        <f>AND(#REF!,"AAAAAHh/fwg=")</f>
        <v>#REF!</v>
      </c>
      <c r="J85" t="e">
        <f>AND(#REF!,"AAAAAHh/fwk=")</f>
        <v>#REF!</v>
      </c>
      <c r="K85" t="e">
        <f>AND(#REF!,"AAAAAHh/fwo=")</f>
        <v>#REF!</v>
      </c>
      <c r="L85" t="e">
        <f>AND(#REF!,"AAAAAHh/fws=")</f>
        <v>#REF!</v>
      </c>
      <c r="M85" t="e">
        <f>AND(#REF!,"AAAAAHh/fww=")</f>
        <v>#REF!</v>
      </c>
      <c r="N85" t="e">
        <f>AND(#REF!,"AAAAAHh/fw0=")</f>
        <v>#REF!</v>
      </c>
      <c r="O85" t="e">
        <f>AND(#REF!,"AAAAAHh/fw4=")</f>
        <v>#REF!</v>
      </c>
      <c r="P85" t="e">
        <f>IF(#REF!,"AAAAAHh/fw8=",0)</f>
        <v>#REF!</v>
      </c>
      <c r="Q85" t="e">
        <f>AND(#REF!,"AAAAAHh/fxA=")</f>
        <v>#REF!</v>
      </c>
      <c r="R85" t="e">
        <f>AND(#REF!,"AAAAAHh/fxE=")</f>
        <v>#REF!</v>
      </c>
      <c r="S85" t="e">
        <f>AND(#REF!,"AAAAAHh/fxI=")</f>
        <v>#REF!</v>
      </c>
      <c r="T85" t="e">
        <f>AND(#REF!,"AAAAAHh/fxM=")</f>
        <v>#REF!</v>
      </c>
      <c r="U85" t="e">
        <f>AND(#REF!,"AAAAAHh/fxQ=")</f>
        <v>#REF!</v>
      </c>
      <c r="V85" t="e">
        <f>AND(#REF!,"AAAAAHh/fxU=")</f>
        <v>#REF!</v>
      </c>
      <c r="W85" t="e">
        <f>AND(#REF!,"AAAAAHh/fxY=")</f>
        <v>#REF!</v>
      </c>
      <c r="X85" t="e">
        <f>AND(#REF!,"AAAAAHh/fxc=")</f>
        <v>#REF!</v>
      </c>
      <c r="Y85" t="e">
        <f>IF(#REF!,"AAAAAHh/fxg=",0)</f>
        <v>#REF!</v>
      </c>
      <c r="Z85" t="e">
        <f>AND(#REF!,"AAAAAHh/fxk=")</f>
        <v>#REF!</v>
      </c>
      <c r="AA85" t="e">
        <f>AND(#REF!,"AAAAAHh/fxo=")</f>
        <v>#REF!</v>
      </c>
      <c r="AB85" t="e">
        <f>AND(#REF!,"AAAAAHh/fxs=")</f>
        <v>#REF!</v>
      </c>
      <c r="AC85" t="e">
        <f>AND(#REF!,"AAAAAHh/fxw=")</f>
        <v>#REF!</v>
      </c>
      <c r="AD85" t="e">
        <f>AND(#REF!,"AAAAAHh/fx0=")</f>
        <v>#REF!</v>
      </c>
      <c r="AE85" t="e">
        <f>AND(#REF!,"AAAAAHh/fx4=")</f>
        <v>#REF!</v>
      </c>
      <c r="AF85" t="e">
        <f>AND(#REF!,"AAAAAHh/fx8=")</f>
        <v>#REF!</v>
      </c>
      <c r="AG85" t="e">
        <f>AND(#REF!,"AAAAAHh/fyA=")</f>
        <v>#REF!</v>
      </c>
      <c r="AH85" t="e">
        <f>IF(#REF!,"AAAAAHh/fyE=",0)</f>
        <v>#REF!</v>
      </c>
      <c r="AI85" t="e">
        <f>AND(#REF!,"AAAAAHh/fyI=")</f>
        <v>#REF!</v>
      </c>
      <c r="AJ85" t="e">
        <f>AND(#REF!,"AAAAAHh/fyM=")</f>
        <v>#REF!</v>
      </c>
      <c r="AK85" t="e">
        <f>AND(#REF!,"AAAAAHh/fyQ=")</f>
        <v>#REF!</v>
      </c>
      <c r="AL85" t="e">
        <f>AND(#REF!,"AAAAAHh/fyU=")</f>
        <v>#REF!</v>
      </c>
      <c r="AM85" t="e">
        <f>AND(#REF!,"AAAAAHh/fyY=")</f>
        <v>#REF!</v>
      </c>
      <c r="AN85" t="e">
        <f>AND(#REF!,"AAAAAHh/fyc=")</f>
        <v>#REF!</v>
      </c>
      <c r="AO85" t="e">
        <f>AND(#REF!,"AAAAAHh/fyg=")</f>
        <v>#REF!</v>
      </c>
      <c r="AP85" t="e">
        <f>AND(#REF!,"AAAAAHh/fyk=")</f>
        <v>#REF!</v>
      </c>
      <c r="AQ85" t="e">
        <f>IF(#REF!,"AAAAAHh/fyo=",0)</f>
        <v>#REF!</v>
      </c>
      <c r="AR85" t="e">
        <f>AND(#REF!,"AAAAAHh/fys=")</f>
        <v>#REF!</v>
      </c>
      <c r="AS85" t="e">
        <f>AND(#REF!,"AAAAAHh/fyw=")</f>
        <v>#REF!</v>
      </c>
      <c r="AT85" t="e">
        <f>AND(#REF!,"AAAAAHh/fy0=")</f>
        <v>#REF!</v>
      </c>
      <c r="AU85" t="e">
        <f>AND(#REF!,"AAAAAHh/fy4=")</f>
        <v>#REF!</v>
      </c>
      <c r="AV85" t="e">
        <f>AND(#REF!,"AAAAAHh/fy8=")</f>
        <v>#REF!</v>
      </c>
      <c r="AW85" t="e">
        <f>AND(#REF!,"AAAAAHh/fzA=")</f>
        <v>#REF!</v>
      </c>
      <c r="AX85" t="e">
        <f>AND(#REF!,"AAAAAHh/fzE=")</f>
        <v>#REF!</v>
      </c>
      <c r="AY85" t="e">
        <f>AND(#REF!,"AAAAAHh/fzI=")</f>
        <v>#REF!</v>
      </c>
      <c r="AZ85" t="e">
        <f>IF(#REF!,"AAAAAHh/fzM=",0)</f>
        <v>#REF!</v>
      </c>
      <c r="BA85" t="e">
        <f>AND(#REF!,"AAAAAHh/fzQ=")</f>
        <v>#REF!</v>
      </c>
      <c r="BB85" t="e">
        <f>AND(#REF!,"AAAAAHh/fzU=")</f>
        <v>#REF!</v>
      </c>
      <c r="BC85" t="e">
        <f>AND(#REF!,"AAAAAHh/fzY=")</f>
        <v>#REF!</v>
      </c>
      <c r="BD85" t="e">
        <f>AND(#REF!,"AAAAAHh/fzc=")</f>
        <v>#REF!</v>
      </c>
      <c r="BE85" t="e">
        <f>AND(#REF!,"AAAAAHh/fzg=")</f>
        <v>#REF!</v>
      </c>
      <c r="BF85" t="e">
        <f>AND(#REF!,"AAAAAHh/fzk=")</f>
        <v>#REF!</v>
      </c>
      <c r="BG85" t="e">
        <f>AND(#REF!,"AAAAAHh/fzo=")</f>
        <v>#REF!</v>
      </c>
      <c r="BH85" t="e">
        <f>AND(#REF!,"AAAAAHh/fzs=")</f>
        <v>#REF!</v>
      </c>
      <c r="BI85" t="e">
        <f>IF(#REF!,"AAAAAHh/fzw=",0)</f>
        <v>#REF!</v>
      </c>
      <c r="BJ85" t="e">
        <f>AND(#REF!,"AAAAAHh/fz0=")</f>
        <v>#REF!</v>
      </c>
      <c r="BK85" t="e">
        <f>AND(#REF!,"AAAAAHh/fz4=")</f>
        <v>#REF!</v>
      </c>
      <c r="BL85" t="e">
        <f>AND(#REF!,"AAAAAHh/fz8=")</f>
        <v>#REF!</v>
      </c>
      <c r="BM85" t="e">
        <f>AND(#REF!,"AAAAAHh/f0A=")</f>
        <v>#REF!</v>
      </c>
      <c r="BN85" t="e">
        <f>AND(#REF!,"AAAAAHh/f0E=")</f>
        <v>#REF!</v>
      </c>
      <c r="BO85" t="e">
        <f>AND(#REF!,"AAAAAHh/f0I=")</f>
        <v>#REF!</v>
      </c>
      <c r="BP85" t="e">
        <f>AND(#REF!,"AAAAAHh/f0M=")</f>
        <v>#REF!</v>
      </c>
      <c r="BQ85" t="e">
        <f>AND(#REF!,"AAAAAHh/f0Q=")</f>
        <v>#REF!</v>
      </c>
      <c r="BR85" t="e">
        <f>IF(#REF!,"AAAAAHh/f0U=",0)</f>
        <v>#REF!</v>
      </c>
      <c r="BS85" t="e">
        <f>AND(#REF!,"AAAAAHh/f0Y=")</f>
        <v>#REF!</v>
      </c>
      <c r="BT85" t="e">
        <f>AND(#REF!,"AAAAAHh/f0c=")</f>
        <v>#REF!</v>
      </c>
      <c r="BU85" t="e">
        <f>AND(#REF!,"AAAAAHh/f0g=")</f>
        <v>#REF!</v>
      </c>
      <c r="BV85" t="e">
        <f>AND(#REF!,"AAAAAHh/f0k=")</f>
        <v>#REF!</v>
      </c>
      <c r="BW85" t="e">
        <f>AND(#REF!,"AAAAAHh/f0o=")</f>
        <v>#REF!</v>
      </c>
      <c r="BX85" t="e">
        <f>AND(#REF!,"AAAAAHh/f0s=")</f>
        <v>#REF!</v>
      </c>
      <c r="BY85" t="e">
        <f>AND(#REF!,"AAAAAHh/f0w=")</f>
        <v>#REF!</v>
      </c>
      <c r="BZ85" t="e">
        <f>AND(#REF!,"AAAAAHh/f00=")</f>
        <v>#REF!</v>
      </c>
      <c r="CA85" t="e">
        <f>IF(#REF!,"AAAAAHh/f04=",0)</f>
        <v>#REF!</v>
      </c>
      <c r="CB85" t="e">
        <f>AND(#REF!,"AAAAAHh/f08=")</f>
        <v>#REF!</v>
      </c>
      <c r="CC85" t="e">
        <f>AND(#REF!,"AAAAAHh/f1A=")</f>
        <v>#REF!</v>
      </c>
      <c r="CD85" t="e">
        <f>AND(#REF!,"AAAAAHh/f1E=")</f>
        <v>#REF!</v>
      </c>
      <c r="CE85" t="e">
        <f>AND(#REF!,"AAAAAHh/f1I=")</f>
        <v>#REF!</v>
      </c>
      <c r="CF85" t="e">
        <f>AND(#REF!,"AAAAAHh/f1M=")</f>
        <v>#REF!</v>
      </c>
      <c r="CG85" t="e">
        <f>AND(#REF!,"AAAAAHh/f1Q=")</f>
        <v>#REF!</v>
      </c>
      <c r="CH85" t="e">
        <f>AND(#REF!,"AAAAAHh/f1U=")</f>
        <v>#REF!</v>
      </c>
      <c r="CI85" t="e">
        <f>AND(#REF!,"AAAAAHh/f1Y=")</f>
        <v>#REF!</v>
      </c>
      <c r="CJ85" t="e">
        <f>IF(#REF!,"AAAAAHh/f1c=",0)</f>
        <v>#REF!</v>
      </c>
      <c r="CK85" t="e">
        <f>AND(#REF!,"AAAAAHh/f1g=")</f>
        <v>#REF!</v>
      </c>
      <c r="CL85" t="e">
        <f>AND(#REF!,"AAAAAHh/f1k=")</f>
        <v>#REF!</v>
      </c>
      <c r="CM85" t="e">
        <f>AND(#REF!,"AAAAAHh/f1o=")</f>
        <v>#REF!</v>
      </c>
      <c r="CN85" t="e">
        <f>AND(#REF!,"AAAAAHh/f1s=")</f>
        <v>#REF!</v>
      </c>
      <c r="CO85" t="e">
        <f>AND(#REF!,"AAAAAHh/f1w=")</f>
        <v>#REF!</v>
      </c>
      <c r="CP85" t="e">
        <f>AND(#REF!,"AAAAAHh/f10=")</f>
        <v>#REF!</v>
      </c>
      <c r="CQ85" t="e">
        <f>AND(#REF!,"AAAAAHh/f14=")</f>
        <v>#REF!</v>
      </c>
      <c r="CR85" t="e">
        <f>AND(#REF!,"AAAAAHh/f18=")</f>
        <v>#REF!</v>
      </c>
      <c r="CS85" t="e">
        <f>IF(#REF!,"AAAAAHh/f2A=",0)</f>
        <v>#REF!</v>
      </c>
      <c r="CT85" t="e">
        <f>AND(#REF!,"AAAAAHh/f2E=")</f>
        <v>#REF!</v>
      </c>
      <c r="CU85" t="e">
        <f>AND(#REF!,"AAAAAHh/f2I=")</f>
        <v>#REF!</v>
      </c>
      <c r="CV85" t="e">
        <f>AND(#REF!,"AAAAAHh/f2M=")</f>
        <v>#REF!</v>
      </c>
      <c r="CW85" t="e">
        <f>AND(#REF!,"AAAAAHh/f2Q=")</f>
        <v>#REF!</v>
      </c>
      <c r="CX85" t="e">
        <f>AND(#REF!,"AAAAAHh/f2U=")</f>
        <v>#REF!</v>
      </c>
      <c r="CY85" t="e">
        <f>AND(#REF!,"AAAAAHh/f2Y=")</f>
        <v>#REF!</v>
      </c>
      <c r="CZ85" t="e">
        <f>AND(#REF!,"AAAAAHh/f2c=")</f>
        <v>#REF!</v>
      </c>
      <c r="DA85" t="e">
        <f>AND(#REF!,"AAAAAHh/f2g=")</f>
        <v>#REF!</v>
      </c>
      <c r="DB85" t="e">
        <f>IF(#REF!,"AAAAAHh/f2k=",0)</f>
        <v>#REF!</v>
      </c>
      <c r="DC85" t="e">
        <f>AND(#REF!,"AAAAAHh/f2o=")</f>
        <v>#REF!</v>
      </c>
      <c r="DD85" t="e">
        <f>AND(#REF!,"AAAAAHh/f2s=")</f>
        <v>#REF!</v>
      </c>
      <c r="DE85" t="e">
        <f>AND(#REF!,"AAAAAHh/f2w=")</f>
        <v>#REF!</v>
      </c>
      <c r="DF85" t="e">
        <f>AND(#REF!,"AAAAAHh/f20=")</f>
        <v>#REF!</v>
      </c>
      <c r="DG85" t="e">
        <f>AND(#REF!,"AAAAAHh/f24=")</f>
        <v>#REF!</v>
      </c>
      <c r="DH85" t="e">
        <f>AND(#REF!,"AAAAAHh/f28=")</f>
        <v>#REF!</v>
      </c>
      <c r="DI85" t="e">
        <f>AND(#REF!,"AAAAAHh/f3A=")</f>
        <v>#REF!</v>
      </c>
      <c r="DJ85" t="e">
        <f>AND(#REF!,"AAAAAHh/f3E=")</f>
        <v>#REF!</v>
      </c>
      <c r="DK85" t="e">
        <f>IF(#REF!,"AAAAAHh/f3I=",0)</f>
        <v>#REF!</v>
      </c>
      <c r="DL85" t="e">
        <f>AND(#REF!,"AAAAAHh/f3M=")</f>
        <v>#REF!</v>
      </c>
      <c r="DM85" t="e">
        <f>AND(#REF!,"AAAAAHh/f3Q=")</f>
        <v>#REF!</v>
      </c>
      <c r="DN85" t="e">
        <f>AND(#REF!,"AAAAAHh/f3U=")</f>
        <v>#REF!</v>
      </c>
      <c r="DO85" t="e">
        <f>AND(#REF!,"AAAAAHh/f3Y=")</f>
        <v>#REF!</v>
      </c>
      <c r="DP85" t="e">
        <f>AND(#REF!,"AAAAAHh/f3c=")</f>
        <v>#REF!</v>
      </c>
      <c r="DQ85" t="e">
        <f>AND(#REF!,"AAAAAHh/f3g=")</f>
        <v>#REF!</v>
      </c>
      <c r="DR85" t="e">
        <f>AND(#REF!,"AAAAAHh/f3k=")</f>
        <v>#REF!</v>
      </c>
      <c r="DS85" t="e">
        <f>AND(#REF!,"AAAAAHh/f3o=")</f>
        <v>#REF!</v>
      </c>
      <c r="DT85" t="e">
        <f>IF(#REF!,"AAAAAHh/f3s=",0)</f>
        <v>#REF!</v>
      </c>
      <c r="DU85" t="e">
        <f>AND(#REF!,"AAAAAHh/f3w=")</f>
        <v>#REF!</v>
      </c>
      <c r="DV85" t="e">
        <f>AND(#REF!,"AAAAAHh/f30=")</f>
        <v>#REF!</v>
      </c>
      <c r="DW85" t="e">
        <f>AND(#REF!,"AAAAAHh/f34=")</f>
        <v>#REF!</v>
      </c>
      <c r="DX85" t="e">
        <f>AND(#REF!,"AAAAAHh/f38=")</f>
        <v>#REF!</v>
      </c>
      <c r="DY85" t="e">
        <f>AND(#REF!,"AAAAAHh/f4A=")</f>
        <v>#REF!</v>
      </c>
      <c r="DZ85" t="e">
        <f>AND(#REF!,"AAAAAHh/f4E=")</f>
        <v>#REF!</v>
      </c>
      <c r="EA85" t="e">
        <f>AND(#REF!,"AAAAAHh/f4I=")</f>
        <v>#REF!</v>
      </c>
      <c r="EB85" t="e">
        <f>AND(#REF!,"AAAAAHh/f4M=")</f>
        <v>#REF!</v>
      </c>
      <c r="EC85" t="e">
        <f>IF(#REF!,"AAAAAHh/f4Q=",0)</f>
        <v>#REF!</v>
      </c>
      <c r="ED85" t="e">
        <f>AND(#REF!,"AAAAAHh/f4U=")</f>
        <v>#REF!</v>
      </c>
      <c r="EE85" t="e">
        <f>AND(#REF!,"AAAAAHh/f4Y=")</f>
        <v>#REF!</v>
      </c>
      <c r="EF85" t="e">
        <f>AND(#REF!,"AAAAAHh/f4c=")</f>
        <v>#REF!</v>
      </c>
      <c r="EG85" t="e">
        <f>AND(#REF!,"AAAAAHh/f4g=")</f>
        <v>#REF!</v>
      </c>
      <c r="EH85" t="e">
        <f>AND(#REF!,"AAAAAHh/f4k=")</f>
        <v>#REF!</v>
      </c>
      <c r="EI85" t="e">
        <f>AND(#REF!,"AAAAAHh/f4o=")</f>
        <v>#REF!</v>
      </c>
      <c r="EJ85" t="e">
        <f>AND(#REF!,"AAAAAHh/f4s=")</f>
        <v>#REF!</v>
      </c>
      <c r="EK85" t="e">
        <f>AND(#REF!,"AAAAAHh/f4w=")</f>
        <v>#REF!</v>
      </c>
      <c r="EL85" t="e">
        <f>IF(#REF!,"AAAAAHh/f40=",0)</f>
        <v>#REF!</v>
      </c>
      <c r="EM85" t="e">
        <f>AND(#REF!,"AAAAAHh/f44=")</f>
        <v>#REF!</v>
      </c>
      <c r="EN85" t="e">
        <f>AND(#REF!,"AAAAAHh/f48=")</f>
        <v>#REF!</v>
      </c>
      <c r="EO85" t="e">
        <f>AND(#REF!,"AAAAAHh/f5A=")</f>
        <v>#REF!</v>
      </c>
      <c r="EP85" t="e">
        <f>AND(#REF!,"AAAAAHh/f5E=")</f>
        <v>#REF!</v>
      </c>
      <c r="EQ85" t="e">
        <f>AND(#REF!,"AAAAAHh/f5I=")</f>
        <v>#REF!</v>
      </c>
      <c r="ER85" t="e">
        <f>AND(#REF!,"AAAAAHh/f5M=")</f>
        <v>#REF!</v>
      </c>
      <c r="ES85" t="e">
        <f>AND(#REF!,"AAAAAHh/f5Q=")</f>
        <v>#REF!</v>
      </c>
      <c r="ET85" t="e">
        <f>AND(#REF!,"AAAAAHh/f5U=")</f>
        <v>#REF!</v>
      </c>
      <c r="EU85" t="e">
        <f>IF(#REF!,"AAAAAHh/f5Y=",0)</f>
        <v>#REF!</v>
      </c>
      <c r="EV85" t="e">
        <f>AND(#REF!,"AAAAAHh/f5c=")</f>
        <v>#REF!</v>
      </c>
      <c r="EW85" t="e">
        <f>AND(#REF!,"AAAAAHh/f5g=")</f>
        <v>#REF!</v>
      </c>
      <c r="EX85" t="e">
        <f>AND(#REF!,"AAAAAHh/f5k=")</f>
        <v>#REF!</v>
      </c>
      <c r="EY85" t="e">
        <f>AND(#REF!,"AAAAAHh/f5o=")</f>
        <v>#REF!</v>
      </c>
      <c r="EZ85" t="e">
        <f>AND(#REF!,"AAAAAHh/f5s=")</f>
        <v>#REF!</v>
      </c>
      <c r="FA85" t="e">
        <f>AND(#REF!,"AAAAAHh/f5w=")</f>
        <v>#REF!</v>
      </c>
      <c r="FB85" t="e">
        <f>AND(#REF!,"AAAAAHh/f50=")</f>
        <v>#REF!</v>
      </c>
      <c r="FC85" t="e">
        <f>AND(#REF!,"AAAAAHh/f54=")</f>
        <v>#REF!</v>
      </c>
      <c r="FD85" t="e">
        <f>IF(#REF!,"AAAAAHh/f58=",0)</f>
        <v>#REF!</v>
      </c>
      <c r="FE85" t="e">
        <f>AND(#REF!,"AAAAAHh/f6A=")</f>
        <v>#REF!</v>
      </c>
      <c r="FF85" t="e">
        <f>AND(#REF!,"AAAAAHh/f6E=")</f>
        <v>#REF!</v>
      </c>
      <c r="FG85" t="e">
        <f>AND(#REF!,"AAAAAHh/f6I=")</f>
        <v>#REF!</v>
      </c>
      <c r="FH85" t="e">
        <f>AND(#REF!,"AAAAAHh/f6M=")</f>
        <v>#REF!</v>
      </c>
      <c r="FI85" t="e">
        <f>AND(#REF!,"AAAAAHh/f6Q=")</f>
        <v>#REF!</v>
      </c>
      <c r="FJ85" t="e">
        <f>AND(#REF!,"AAAAAHh/f6U=")</f>
        <v>#REF!</v>
      </c>
      <c r="FK85" t="e">
        <f>AND(#REF!,"AAAAAHh/f6Y=")</f>
        <v>#REF!</v>
      </c>
      <c r="FL85" t="e">
        <f>AND(#REF!,"AAAAAHh/f6c=")</f>
        <v>#REF!</v>
      </c>
      <c r="FM85" t="e">
        <f>IF(#REF!,"AAAAAHh/f6g=",0)</f>
        <v>#REF!</v>
      </c>
      <c r="FN85" t="e">
        <f>AND(#REF!,"AAAAAHh/f6k=")</f>
        <v>#REF!</v>
      </c>
      <c r="FO85" t="e">
        <f>AND(#REF!,"AAAAAHh/f6o=")</f>
        <v>#REF!</v>
      </c>
      <c r="FP85" t="e">
        <f>AND(#REF!,"AAAAAHh/f6s=")</f>
        <v>#REF!</v>
      </c>
      <c r="FQ85" t="e">
        <f>AND(#REF!,"AAAAAHh/f6w=")</f>
        <v>#REF!</v>
      </c>
      <c r="FR85" t="e">
        <f>AND(#REF!,"AAAAAHh/f60=")</f>
        <v>#REF!</v>
      </c>
      <c r="FS85" t="e">
        <f>AND(#REF!,"AAAAAHh/f64=")</f>
        <v>#REF!</v>
      </c>
      <c r="FT85" t="e">
        <f>AND(#REF!,"AAAAAHh/f68=")</f>
        <v>#REF!</v>
      </c>
      <c r="FU85" t="e">
        <f>AND(#REF!,"AAAAAHh/f7A=")</f>
        <v>#REF!</v>
      </c>
      <c r="FV85" t="e">
        <f>IF(#REF!,"AAAAAHh/f7E=",0)</f>
        <v>#REF!</v>
      </c>
      <c r="FW85" t="e">
        <f>AND(#REF!,"AAAAAHh/f7I=")</f>
        <v>#REF!</v>
      </c>
      <c r="FX85" t="e">
        <f>AND(#REF!,"AAAAAHh/f7M=")</f>
        <v>#REF!</v>
      </c>
      <c r="FY85" t="e">
        <f>AND(#REF!,"AAAAAHh/f7Q=")</f>
        <v>#REF!</v>
      </c>
      <c r="FZ85" t="e">
        <f>AND(#REF!,"AAAAAHh/f7U=")</f>
        <v>#REF!</v>
      </c>
      <c r="GA85" t="e">
        <f>AND(#REF!,"AAAAAHh/f7Y=")</f>
        <v>#REF!</v>
      </c>
      <c r="GB85" t="e">
        <f>AND(#REF!,"AAAAAHh/f7c=")</f>
        <v>#REF!</v>
      </c>
      <c r="GC85" t="e">
        <f>AND(#REF!,"AAAAAHh/f7g=")</f>
        <v>#REF!</v>
      </c>
      <c r="GD85" t="e">
        <f>AND(#REF!,"AAAAAHh/f7k=")</f>
        <v>#REF!</v>
      </c>
      <c r="GE85" t="e">
        <f>IF(#REF!,"AAAAAHh/f7o=",0)</f>
        <v>#REF!</v>
      </c>
      <c r="GF85" t="e">
        <f>AND(#REF!,"AAAAAHh/f7s=")</f>
        <v>#REF!</v>
      </c>
      <c r="GG85" t="e">
        <f>AND(#REF!,"AAAAAHh/f7w=")</f>
        <v>#REF!</v>
      </c>
      <c r="GH85" t="e">
        <f>AND(#REF!,"AAAAAHh/f70=")</f>
        <v>#REF!</v>
      </c>
      <c r="GI85" t="e">
        <f>AND(#REF!,"AAAAAHh/f74=")</f>
        <v>#REF!</v>
      </c>
      <c r="GJ85" t="e">
        <f>AND(#REF!,"AAAAAHh/f78=")</f>
        <v>#REF!</v>
      </c>
      <c r="GK85" t="e">
        <f>AND(#REF!,"AAAAAHh/f8A=")</f>
        <v>#REF!</v>
      </c>
      <c r="GL85" t="e">
        <f>AND(#REF!,"AAAAAHh/f8E=")</f>
        <v>#REF!</v>
      </c>
      <c r="GM85" t="e">
        <f>AND(#REF!,"AAAAAHh/f8I=")</f>
        <v>#REF!</v>
      </c>
      <c r="GN85" t="e">
        <f>IF(#REF!,"AAAAAHh/f8M=",0)</f>
        <v>#REF!</v>
      </c>
      <c r="GO85" t="e">
        <f>AND(#REF!,"AAAAAHh/f8Q=")</f>
        <v>#REF!</v>
      </c>
      <c r="GP85" t="e">
        <f>AND(#REF!,"AAAAAHh/f8U=")</f>
        <v>#REF!</v>
      </c>
      <c r="GQ85" t="e">
        <f>AND(#REF!,"AAAAAHh/f8Y=")</f>
        <v>#REF!</v>
      </c>
      <c r="GR85" t="e">
        <f>AND(#REF!,"AAAAAHh/f8c=")</f>
        <v>#REF!</v>
      </c>
      <c r="GS85" t="e">
        <f>AND(#REF!,"AAAAAHh/f8g=")</f>
        <v>#REF!</v>
      </c>
      <c r="GT85" t="e">
        <f>AND(#REF!,"AAAAAHh/f8k=")</f>
        <v>#REF!</v>
      </c>
      <c r="GU85" t="e">
        <f>AND(#REF!,"AAAAAHh/f8o=")</f>
        <v>#REF!</v>
      </c>
      <c r="GV85" t="e">
        <f>AND(#REF!,"AAAAAHh/f8s=")</f>
        <v>#REF!</v>
      </c>
      <c r="GW85" t="e">
        <f>IF(#REF!,"AAAAAHh/f8w=",0)</f>
        <v>#REF!</v>
      </c>
      <c r="GX85" t="e">
        <f>AND(#REF!,"AAAAAHh/f80=")</f>
        <v>#REF!</v>
      </c>
      <c r="GY85" t="e">
        <f>AND(#REF!,"AAAAAHh/f84=")</f>
        <v>#REF!</v>
      </c>
      <c r="GZ85" t="e">
        <f>AND(#REF!,"AAAAAHh/f88=")</f>
        <v>#REF!</v>
      </c>
      <c r="HA85" t="e">
        <f>AND(#REF!,"AAAAAHh/f9A=")</f>
        <v>#REF!</v>
      </c>
      <c r="HB85" t="e">
        <f>AND(#REF!,"AAAAAHh/f9E=")</f>
        <v>#REF!</v>
      </c>
      <c r="HC85" t="e">
        <f>AND(#REF!,"AAAAAHh/f9I=")</f>
        <v>#REF!</v>
      </c>
      <c r="HD85" t="e">
        <f>AND(#REF!,"AAAAAHh/f9M=")</f>
        <v>#REF!</v>
      </c>
      <c r="HE85" t="e">
        <f>AND(#REF!,"AAAAAHh/f9Q=")</f>
        <v>#REF!</v>
      </c>
      <c r="HF85" t="e">
        <f>IF(#REF!,"AAAAAHh/f9U=",0)</f>
        <v>#REF!</v>
      </c>
      <c r="HG85" t="e">
        <f>AND(#REF!,"AAAAAHh/f9Y=")</f>
        <v>#REF!</v>
      </c>
      <c r="HH85" t="e">
        <f>AND(#REF!,"AAAAAHh/f9c=")</f>
        <v>#REF!</v>
      </c>
      <c r="HI85" t="e">
        <f>AND(#REF!,"AAAAAHh/f9g=")</f>
        <v>#REF!</v>
      </c>
      <c r="HJ85" t="e">
        <f>AND(#REF!,"AAAAAHh/f9k=")</f>
        <v>#REF!</v>
      </c>
      <c r="HK85" t="e">
        <f>AND(#REF!,"AAAAAHh/f9o=")</f>
        <v>#REF!</v>
      </c>
      <c r="HL85" t="e">
        <f>AND(#REF!,"AAAAAHh/f9s=")</f>
        <v>#REF!</v>
      </c>
      <c r="HM85" t="e">
        <f>AND(#REF!,"AAAAAHh/f9w=")</f>
        <v>#REF!</v>
      </c>
      <c r="HN85" t="e">
        <f>AND(#REF!,"AAAAAHh/f90=")</f>
        <v>#REF!</v>
      </c>
      <c r="HO85" t="e">
        <f>IF(#REF!,"AAAAAHh/f94=",0)</f>
        <v>#REF!</v>
      </c>
      <c r="HP85" t="e">
        <f>AND(#REF!,"AAAAAHh/f98=")</f>
        <v>#REF!</v>
      </c>
      <c r="HQ85" t="e">
        <f>AND(#REF!,"AAAAAHh/f+A=")</f>
        <v>#REF!</v>
      </c>
      <c r="HR85" t="e">
        <f>AND(#REF!,"AAAAAHh/f+E=")</f>
        <v>#REF!</v>
      </c>
      <c r="HS85" t="e">
        <f>AND(#REF!,"AAAAAHh/f+I=")</f>
        <v>#REF!</v>
      </c>
      <c r="HT85" t="e">
        <f>AND(#REF!,"AAAAAHh/f+M=")</f>
        <v>#REF!</v>
      </c>
      <c r="HU85" t="e">
        <f>AND(#REF!,"AAAAAHh/f+Q=")</f>
        <v>#REF!</v>
      </c>
      <c r="HV85" t="e">
        <f>AND(#REF!,"AAAAAHh/f+U=")</f>
        <v>#REF!</v>
      </c>
      <c r="HW85" t="e">
        <f>AND(#REF!,"AAAAAHh/f+Y=")</f>
        <v>#REF!</v>
      </c>
      <c r="HX85" t="e">
        <f>IF(#REF!,"AAAAAHh/f+c=",0)</f>
        <v>#REF!</v>
      </c>
      <c r="HY85" t="e">
        <f>AND(#REF!,"AAAAAHh/f+g=")</f>
        <v>#REF!</v>
      </c>
      <c r="HZ85" t="e">
        <f>AND(#REF!,"AAAAAHh/f+k=")</f>
        <v>#REF!</v>
      </c>
      <c r="IA85" t="e">
        <f>AND(#REF!,"AAAAAHh/f+o=")</f>
        <v>#REF!</v>
      </c>
      <c r="IB85" t="e">
        <f>AND(#REF!,"AAAAAHh/f+s=")</f>
        <v>#REF!</v>
      </c>
      <c r="IC85" t="e">
        <f>AND(#REF!,"AAAAAHh/f+w=")</f>
        <v>#REF!</v>
      </c>
      <c r="ID85" t="e">
        <f>AND(#REF!,"AAAAAHh/f+0=")</f>
        <v>#REF!</v>
      </c>
      <c r="IE85" t="e">
        <f>AND(#REF!,"AAAAAHh/f+4=")</f>
        <v>#REF!</v>
      </c>
      <c r="IF85" t="e">
        <f>AND(#REF!,"AAAAAHh/f+8=")</f>
        <v>#REF!</v>
      </c>
      <c r="IG85" t="e">
        <f>IF(#REF!,"AAAAAHh/f/A=",0)</f>
        <v>#REF!</v>
      </c>
      <c r="IH85" t="e">
        <f>AND(#REF!,"AAAAAHh/f/E=")</f>
        <v>#REF!</v>
      </c>
      <c r="II85" t="e">
        <f>AND(#REF!,"AAAAAHh/f/I=")</f>
        <v>#REF!</v>
      </c>
      <c r="IJ85" t="e">
        <f>AND(#REF!,"AAAAAHh/f/M=")</f>
        <v>#REF!</v>
      </c>
      <c r="IK85" t="e">
        <f>AND(#REF!,"AAAAAHh/f/Q=")</f>
        <v>#REF!</v>
      </c>
      <c r="IL85" t="e">
        <f>AND(#REF!,"AAAAAHh/f/U=")</f>
        <v>#REF!</v>
      </c>
      <c r="IM85" t="e">
        <f>AND(#REF!,"AAAAAHh/f/Y=")</f>
        <v>#REF!</v>
      </c>
      <c r="IN85" t="e">
        <f>AND(#REF!,"AAAAAHh/f/c=")</f>
        <v>#REF!</v>
      </c>
      <c r="IO85" t="e">
        <f>AND(#REF!,"AAAAAHh/f/g=")</f>
        <v>#REF!</v>
      </c>
      <c r="IP85" t="e">
        <f>IF(#REF!,"AAAAAHh/f/k=",0)</f>
        <v>#REF!</v>
      </c>
      <c r="IQ85" t="e">
        <f>AND(#REF!,"AAAAAHh/f/o=")</f>
        <v>#REF!</v>
      </c>
      <c r="IR85" t="e">
        <f>AND(#REF!,"AAAAAHh/f/s=")</f>
        <v>#REF!</v>
      </c>
      <c r="IS85" t="e">
        <f>AND(#REF!,"AAAAAHh/f/w=")</f>
        <v>#REF!</v>
      </c>
      <c r="IT85" t="e">
        <f>AND(#REF!,"AAAAAHh/f/0=")</f>
        <v>#REF!</v>
      </c>
      <c r="IU85" t="e">
        <f>AND(#REF!,"AAAAAHh/f/4=")</f>
        <v>#REF!</v>
      </c>
      <c r="IV85" t="e">
        <f>AND(#REF!,"AAAAAHh/f/8=")</f>
        <v>#REF!</v>
      </c>
    </row>
    <row r="86" spans="1:256" x14ac:dyDescent="0.25">
      <c r="A86" t="e">
        <f>AND(#REF!,"AAAAAHre/QA=")</f>
        <v>#REF!</v>
      </c>
      <c r="B86" t="e">
        <f>AND(#REF!,"AAAAAHre/QE=")</f>
        <v>#REF!</v>
      </c>
      <c r="C86" t="e">
        <f>IF(#REF!,"AAAAAHre/QI=",0)</f>
        <v>#REF!</v>
      </c>
      <c r="D86" t="e">
        <f>AND(#REF!,"AAAAAHre/QM=")</f>
        <v>#REF!</v>
      </c>
      <c r="E86" t="e">
        <f>AND(#REF!,"AAAAAHre/QQ=")</f>
        <v>#REF!</v>
      </c>
      <c r="F86" t="e">
        <f>AND(#REF!,"AAAAAHre/QU=")</f>
        <v>#REF!</v>
      </c>
      <c r="G86" t="e">
        <f>AND(#REF!,"AAAAAHre/QY=")</f>
        <v>#REF!</v>
      </c>
      <c r="H86" t="e">
        <f>AND(#REF!,"AAAAAHre/Qc=")</f>
        <v>#REF!</v>
      </c>
      <c r="I86" t="e">
        <f>AND(#REF!,"AAAAAHre/Qg=")</f>
        <v>#REF!</v>
      </c>
      <c r="J86" t="e">
        <f>AND(#REF!,"AAAAAHre/Qk=")</f>
        <v>#REF!</v>
      </c>
      <c r="K86" t="e">
        <f>AND(#REF!,"AAAAAHre/Qo=")</f>
        <v>#REF!</v>
      </c>
      <c r="L86" t="e">
        <f>IF(#REF!,"AAAAAHre/Qs=",0)</f>
        <v>#REF!</v>
      </c>
      <c r="M86" t="e">
        <f>AND(#REF!,"AAAAAHre/Qw=")</f>
        <v>#REF!</v>
      </c>
      <c r="N86" t="e">
        <f>AND(#REF!,"AAAAAHre/Q0=")</f>
        <v>#REF!</v>
      </c>
      <c r="O86" t="e">
        <f>AND(#REF!,"AAAAAHre/Q4=")</f>
        <v>#REF!</v>
      </c>
      <c r="P86" t="e">
        <f>AND(#REF!,"AAAAAHre/Q8=")</f>
        <v>#REF!</v>
      </c>
      <c r="Q86" t="e">
        <f>AND(#REF!,"AAAAAHre/RA=")</f>
        <v>#REF!</v>
      </c>
      <c r="R86" t="e">
        <f>AND(#REF!,"AAAAAHre/RE=")</f>
        <v>#REF!</v>
      </c>
      <c r="S86" t="e">
        <f>AND(#REF!,"AAAAAHre/RI=")</f>
        <v>#REF!</v>
      </c>
      <c r="T86" t="e">
        <f>AND(#REF!,"AAAAAHre/RM=")</f>
        <v>#REF!</v>
      </c>
      <c r="U86" t="e">
        <f>IF(#REF!,"AAAAAHre/RQ=",0)</f>
        <v>#REF!</v>
      </c>
      <c r="V86" t="e">
        <f>AND(#REF!,"AAAAAHre/RU=")</f>
        <v>#REF!</v>
      </c>
      <c r="W86" t="e">
        <f>AND(#REF!,"AAAAAHre/RY=")</f>
        <v>#REF!</v>
      </c>
      <c r="X86" t="e">
        <f>AND(#REF!,"AAAAAHre/Rc=")</f>
        <v>#REF!</v>
      </c>
      <c r="Y86" t="e">
        <f>AND(#REF!,"AAAAAHre/Rg=")</f>
        <v>#REF!</v>
      </c>
      <c r="Z86" t="e">
        <f>AND(#REF!,"AAAAAHre/Rk=")</f>
        <v>#REF!</v>
      </c>
      <c r="AA86" t="e">
        <f>AND(#REF!,"AAAAAHre/Ro=")</f>
        <v>#REF!</v>
      </c>
      <c r="AB86" t="e">
        <f>AND(#REF!,"AAAAAHre/Rs=")</f>
        <v>#REF!</v>
      </c>
      <c r="AC86" t="e">
        <f>AND(#REF!,"AAAAAHre/Rw=")</f>
        <v>#REF!</v>
      </c>
      <c r="AD86" t="e">
        <f>IF(#REF!,"AAAAAHre/R0=",0)</f>
        <v>#REF!</v>
      </c>
      <c r="AE86" t="e">
        <f>AND(#REF!,"AAAAAHre/R4=")</f>
        <v>#REF!</v>
      </c>
      <c r="AF86" t="e">
        <f>AND(#REF!,"AAAAAHre/R8=")</f>
        <v>#REF!</v>
      </c>
      <c r="AG86" t="e">
        <f>AND(#REF!,"AAAAAHre/SA=")</f>
        <v>#REF!</v>
      </c>
      <c r="AH86" t="e">
        <f>AND(#REF!,"AAAAAHre/SE=")</f>
        <v>#REF!</v>
      </c>
      <c r="AI86" t="e">
        <f>AND(#REF!,"AAAAAHre/SI=")</f>
        <v>#REF!</v>
      </c>
      <c r="AJ86" t="e">
        <f>AND(#REF!,"AAAAAHre/SM=")</f>
        <v>#REF!</v>
      </c>
      <c r="AK86" t="e">
        <f>AND(#REF!,"AAAAAHre/SQ=")</f>
        <v>#REF!</v>
      </c>
      <c r="AL86" t="e">
        <f>AND(#REF!,"AAAAAHre/SU=")</f>
        <v>#REF!</v>
      </c>
      <c r="AM86" t="e">
        <f>IF(#REF!,"AAAAAHre/SY=",0)</f>
        <v>#REF!</v>
      </c>
      <c r="AN86" t="e">
        <f>AND(#REF!,"AAAAAHre/Sc=")</f>
        <v>#REF!</v>
      </c>
      <c r="AO86" t="e">
        <f>AND(#REF!,"AAAAAHre/Sg=")</f>
        <v>#REF!</v>
      </c>
      <c r="AP86" t="e">
        <f>AND(#REF!,"AAAAAHre/Sk=")</f>
        <v>#REF!</v>
      </c>
      <c r="AQ86" t="e">
        <f>AND(#REF!,"AAAAAHre/So=")</f>
        <v>#REF!</v>
      </c>
      <c r="AR86" t="e">
        <f>AND(#REF!,"AAAAAHre/Ss=")</f>
        <v>#REF!</v>
      </c>
      <c r="AS86" t="e">
        <f>AND(#REF!,"AAAAAHre/Sw=")</f>
        <v>#REF!</v>
      </c>
      <c r="AT86" t="e">
        <f>AND(#REF!,"AAAAAHre/S0=")</f>
        <v>#REF!</v>
      </c>
      <c r="AU86" t="e">
        <f>AND(#REF!,"AAAAAHre/S4=")</f>
        <v>#REF!</v>
      </c>
      <c r="AV86" t="e">
        <f>IF(#REF!,"AAAAAHre/S8=",0)</f>
        <v>#REF!</v>
      </c>
      <c r="AW86" t="e">
        <f>AND(#REF!,"AAAAAHre/TA=")</f>
        <v>#REF!</v>
      </c>
      <c r="AX86" t="e">
        <f>AND(#REF!,"AAAAAHre/TE=")</f>
        <v>#REF!</v>
      </c>
      <c r="AY86" t="e">
        <f>AND(#REF!,"AAAAAHre/TI=")</f>
        <v>#REF!</v>
      </c>
      <c r="AZ86" t="e">
        <f>AND(#REF!,"AAAAAHre/TM=")</f>
        <v>#REF!</v>
      </c>
      <c r="BA86" t="e">
        <f>AND(#REF!,"AAAAAHre/TQ=")</f>
        <v>#REF!</v>
      </c>
      <c r="BB86" t="e">
        <f>AND(#REF!,"AAAAAHre/TU=")</f>
        <v>#REF!</v>
      </c>
      <c r="BC86" t="e">
        <f>AND(#REF!,"AAAAAHre/TY=")</f>
        <v>#REF!</v>
      </c>
      <c r="BD86" t="e">
        <f>AND(#REF!,"AAAAAHre/Tc=")</f>
        <v>#REF!</v>
      </c>
      <c r="BE86" t="e">
        <f>IF(#REF!,"AAAAAHre/Tg=",0)</f>
        <v>#REF!</v>
      </c>
      <c r="BF86" t="e">
        <f>AND(#REF!,"AAAAAHre/Tk=")</f>
        <v>#REF!</v>
      </c>
      <c r="BG86" t="e">
        <f>AND(#REF!,"AAAAAHre/To=")</f>
        <v>#REF!</v>
      </c>
      <c r="BH86" t="e">
        <f>AND(#REF!,"AAAAAHre/Ts=")</f>
        <v>#REF!</v>
      </c>
      <c r="BI86" t="e">
        <f>AND(#REF!,"AAAAAHre/Tw=")</f>
        <v>#REF!</v>
      </c>
      <c r="BJ86" t="e">
        <f>AND(#REF!,"AAAAAHre/T0=")</f>
        <v>#REF!</v>
      </c>
      <c r="BK86" t="e">
        <f>AND(#REF!,"AAAAAHre/T4=")</f>
        <v>#REF!</v>
      </c>
      <c r="BL86" t="e">
        <f>AND(#REF!,"AAAAAHre/T8=")</f>
        <v>#REF!</v>
      </c>
      <c r="BM86" t="e">
        <f>AND(#REF!,"AAAAAHre/UA=")</f>
        <v>#REF!</v>
      </c>
      <c r="BN86" t="e">
        <f>IF(#REF!,"AAAAAHre/UE=",0)</f>
        <v>#REF!</v>
      </c>
      <c r="BO86" t="e">
        <f>AND(#REF!,"AAAAAHre/UI=")</f>
        <v>#REF!</v>
      </c>
      <c r="BP86" t="e">
        <f>AND(#REF!,"AAAAAHre/UM=")</f>
        <v>#REF!</v>
      </c>
      <c r="BQ86" t="e">
        <f>AND(#REF!,"AAAAAHre/UQ=")</f>
        <v>#REF!</v>
      </c>
      <c r="BR86" t="e">
        <f>AND(#REF!,"AAAAAHre/UU=")</f>
        <v>#REF!</v>
      </c>
      <c r="BS86" t="e">
        <f>AND(#REF!,"AAAAAHre/UY=")</f>
        <v>#REF!</v>
      </c>
      <c r="BT86" t="e">
        <f>AND(#REF!,"AAAAAHre/Uc=")</f>
        <v>#REF!</v>
      </c>
      <c r="BU86" t="e">
        <f>AND(#REF!,"AAAAAHre/Ug=")</f>
        <v>#REF!</v>
      </c>
      <c r="BV86" t="e">
        <f>AND(#REF!,"AAAAAHre/Uk=")</f>
        <v>#REF!</v>
      </c>
      <c r="BW86" t="e">
        <f>IF(#REF!,"AAAAAHre/Uo=",0)</f>
        <v>#REF!</v>
      </c>
      <c r="BX86" t="e">
        <f>AND(#REF!,"AAAAAHre/Us=")</f>
        <v>#REF!</v>
      </c>
      <c r="BY86" t="e">
        <f>AND(#REF!,"AAAAAHre/Uw=")</f>
        <v>#REF!</v>
      </c>
      <c r="BZ86" t="e">
        <f>AND(#REF!,"AAAAAHre/U0=")</f>
        <v>#REF!</v>
      </c>
      <c r="CA86" t="e">
        <f>AND(#REF!,"AAAAAHre/U4=")</f>
        <v>#REF!</v>
      </c>
      <c r="CB86" t="e">
        <f>AND(#REF!,"AAAAAHre/U8=")</f>
        <v>#REF!</v>
      </c>
      <c r="CC86" t="e">
        <f>AND(#REF!,"AAAAAHre/VA=")</f>
        <v>#REF!</v>
      </c>
      <c r="CD86" t="e">
        <f>AND(#REF!,"AAAAAHre/VE=")</f>
        <v>#REF!</v>
      </c>
      <c r="CE86" t="e">
        <f>AND(#REF!,"AAAAAHre/VI=")</f>
        <v>#REF!</v>
      </c>
      <c r="CF86" t="e">
        <f>IF(#REF!,"AAAAAHre/VM=",0)</f>
        <v>#REF!</v>
      </c>
      <c r="CG86" t="e">
        <f>AND(#REF!,"AAAAAHre/VQ=")</f>
        <v>#REF!</v>
      </c>
      <c r="CH86" t="e">
        <f>AND(#REF!,"AAAAAHre/VU=")</f>
        <v>#REF!</v>
      </c>
      <c r="CI86" t="e">
        <f>AND(#REF!,"AAAAAHre/VY=")</f>
        <v>#REF!</v>
      </c>
      <c r="CJ86" t="e">
        <f>AND(#REF!,"AAAAAHre/Vc=")</f>
        <v>#REF!</v>
      </c>
      <c r="CK86" t="e">
        <f>AND(#REF!,"AAAAAHre/Vg=")</f>
        <v>#REF!</v>
      </c>
      <c r="CL86" t="e">
        <f>AND(#REF!,"AAAAAHre/Vk=")</f>
        <v>#REF!</v>
      </c>
      <c r="CM86" t="e">
        <f>AND(#REF!,"AAAAAHre/Vo=")</f>
        <v>#REF!</v>
      </c>
      <c r="CN86" t="e">
        <f>AND(#REF!,"AAAAAHre/Vs=")</f>
        <v>#REF!</v>
      </c>
      <c r="CO86" t="e">
        <f>IF(#REF!,"AAAAAHre/Vw=",0)</f>
        <v>#REF!</v>
      </c>
      <c r="CP86" t="e">
        <f>AND(#REF!,"AAAAAHre/V0=")</f>
        <v>#REF!</v>
      </c>
      <c r="CQ86" t="e">
        <f>AND(#REF!,"AAAAAHre/V4=")</f>
        <v>#REF!</v>
      </c>
      <c r="CR86" t="e">
        <f>AND(#REF!,"AAAAAHre/V8=")</f>
        <v>#REF!</v>
      </c>
      <c r="CS86" t="e">
        <f>AND(#REF!,"AAAAAHre/WA=")</f>
        <v>#REF!</v>
      </c>
      <c r="CT86" t="e">
        <f>AND(#REF!,"AAAAAHre/WE=")</f>
        <v>#REF!</v>
      </c>
      <c r="CU86" t="e">
        <f>AND(#REF!,"AAAAAHre/WI=")</f>
        <v>#REF!</v>
      </c>
      <c r="CV86" t="e">
        <f>AND(#REF!,"AAAAAHre/WM=")</f>
        <v>#REF!</v>
      </c>
      <c r="CW86" t="e">
        <f>AND(#REF!,"AAAAAHre/WQ=")</f>
        <v>#REF!</v>
      </c>
      <c r="CX86" t="e">
        <f>IF(#REF!,"AAAAAHre/WU=",0)</f>
        <v>#REF!</v>
      </c>
      <c r="CY86" t="e">
        <f>AND(#REF!,"AAAAAHre/WY=")</f>
        <v>#REF!</v>
      </c>
      <c r="CZ86" t="e">
        <f>AND(#REF!,"AAAAAHre/Wc=")</f>
        <v>#REF!</v>
      </c>
      <c r="DA86" t="e">
        <f>AND(#REF!,"AAAAAHre/Wg=")</f>
        <v>#REF!</v>
      </c>
      <c r="DB86" t="e">
        <f>AND(#REF!,"AAAAAHre/Wk=")</f>
        <v>#REF!</v>
      </c>
      <c r="DC86" t="e">
        <f>AND(#REF!,"AAAAAHre/Wo=")</f>
        <v>#REF!</v>
      </c>
      <c r="DD86" t="e">
        <f>AND(#REF!,"AAAAAHre/Ws=")</f>
        <v>#REF!</v>
      </c>
      <c r="DE86" t="e">
        <f>AND(#REF!,"AAAAAHre/Ww=")</f>
        <v>#REF!</v>
      </c>
      <c r="DF86" t="e">
        <f>AND(#REF!,"AAAAAHre/W0=")</f>
        <v>#REF!</v>
      </c>
      <c r="DG86" t="e">
        <f>IF(#REF!,"AAAAAHre/W4=",0)</f>
        <v>#REF!</v>
      </c>
      <c r="DH86" t="e">
        <f>AND(#REF!,"AAAAAHre/W8=")</f>
        <v>#REF!</v>
      </c>
      <c r="DI86" t="e">
        <f>AND(#REF!,"AAAAAHre/XA=")</f>
        <v>#REF!</v>
      </c>
      <c r="DJ86" t="e">
        <f>AND(#REF!,"AAAAAHre/XE=")</f>
        <v>#REF!</v>
      </c>
      <c r="DK86" t="e">
        <f>AND(#REF!,"AAAAAHre/XI=")</f>
        <v>#REF!</v>
      </c>
      <c r="DL86" t="e">
        <f>AND(#REF!,"AAAAAHre/XM=")</f>
        <v>#REF!</v>
      </c>
      <c r="DM86" t="e">
        <f>AND(#REF!,"AAAAAHre/XQ=")</f>
        <v>#REF!</v>
      </c>
      <c r="DN86" t="e">
        <f>AND(#REF!,"AAAAAHre/XU=")</f>
        <v>#REF!</v>
      </c>
      <c r="DO86" t="e">
        <f>AND(#REF!,"AAAAAHre/XY=")</f>
        <v>#REF!</v>
      </c>
      <c r="DP86" t="e">
        <f>IF(#REF!,"AAAAAHre/Xc=",0)</f>
        <v>#REF!</v>
      </c>
      <c r="DQ86" t="e">
        <f>AND(#REF!,"AAAAAHre/Xg=")</f>
        <v>#REF!</v>
      </c>
      <c r="DR86" t="e">
        <f>AND(#REF!,"AAAAAHre/Xk=")</f>
        <v>#REF!</v>
      </c>
      <c r="DS86" t="e">
        <f>AND(#REF!,"AAAAAHre/Xo=")</f>
        <v>#REF!</v>
      </c>
      <c r="DT86" t="e">
        <f>AND(#REF!,"AAAAAHre/Xs=")</f>
        <v>#REF!</v>
      </c>
      <c r="DU86" t="e">
        <f>AND(#REF!,"AAAAAHre/Xw=")</f>
        <v>#REF!</v>
      </c>
      <c r="DV86" t="e">
        <f>AND(#REF!,"AAAAAHre/X0=")</f>
        <v>#REF!</v>
      </c>
      <c r="DW86" t="e">
        <f>AND(#REF!,"AAAAAHre/X4=")</f>
        <v>#REF!</v>
      </c>
      <c r="DX86" t="e">
        <f>AND(#REF!,"AAAAAHre/X8=")</f>
        <v>#REF!</v>
      </c>
      <c r="DY86" t="e">
        <f>IF(#REF!,"AAAAAHre/YA=",0)</f>
        <v>#REF!</v>
      </c>
      <c r="DZ86" t="e">
        <f>AND(#REF!,"AAAAAHre/YE=")</f>
        <v>#REF!</v>
      </c>
      <c r="EA86" t="e">
        <f>AND(#REF!,"AAAAAHre/YI=")</f>
        <v>#REF!</v>
      </c>
      <c r="EB86" t="e">
        <f>AND(#REF!,"AAAAAHre/YM=")</f>
        <v>#REF!</v>
      </c>
      <c r="EC86" t="e">
        <f>AND(#REF!,"AAAAAHre/YQ=")</f>
        <v>#REF!</v>
      </c>
      <c r="ED86" t="e">
        <f>AND(#REF!,"AAAAAHre/YU=")</f>
        <v>#REF!</v>
      </c>
      <c r="EE86" t="e">
        <f>AND(#REF!,"AAAAAHre/YY=")</f>
        <v>#REF!</v>
      </c>
      <c r="EF86" t="e">
        <f>AND(#REF!,"AAAAAHre/Yc=")</f>
        <v>#REF!</v>
      </c>
      <c r="EG86" t="e">
        <f>AND(#REF!,"AAAAAHre/Yg=")</f>
        <v>#REF!</v>
      </c>
      <c r="EH86" t="e">
        <f>IF(#REF!,"AAAAAHre/Yk=",0)</f>
        <v>#REF!</v>
      </c>
      <c r="EI86" t="e">
        <f>AND(#REF!,"AAAAAHre/Yo=")</f>
        <v>#REF!</v>
      </c>
      <c r="EJ86" t="e">
        <f>AND(#REF!,"AAAAAHre/Ys=")</f>
        <v>#REF!</v>
      </c>
      <c r="EK86" t="e">
        <f>AND(#REF!,"AAAAAHre/Yw=")</f>
        <v>#REF!</v>
      </c>
      <c r="EL86" t="e">
        <f>AND(#REF!,"AAAAAHre/Y0=")</f>
        <v>#REF!</v>
      </c>
      <c r="EM86" t="e">
        <f>AND(#REF!,"AAAAAHre/Y4=")</f>
        <v>#REF!</v>
      </c>
      <c r="EN86" t="e">
        <f>AND(#REF!,"AAAAAHre/Y8=")</f>
        <v>#REF!</v>
      </c>
      <c r="EO86" t="e">
        <f>AND(#REF!,"AAAAAHre/ZA=")</f>
        <v>#REF!</v>
      </c>
      <c r="EP86" t="e">
        <f>AND(#REF!,"AAAAAHre/ZE=")</f>
        <v>#REF!</v>
      </c>
      <c r="EQ86" t="e">
        <f>IF(#REF!,"AAAAAHre/ZI=",0)</f>
        <v>#REF!</v>
      </c>
      <c r="ER86" t="e">
        <f>AND(#REF!,"AAAAAHre/ZM=")</f>
        <v>#REF!</v>
      </c>
      <c r="ES86" t="e">
        <f>AND(#REF!,"AAAAAHre/ZQ=")</f>
        <v>#REF!</v>
      </c>
      <c r="ET86" t="e">
        <f>AND(#REF!,"AAAAAHre/ZU=")</f>
        <v>#REF!</v>
      </c>
      <c r="EU86" t="e">
        <f>AND(#REF!,"AAAAAHre/ZY=")</f>
        <v>#REF!</v>
      </c>
      <c r="EV86" t="e">
        <f>AND(#REF!,"AAAAAHre/Zc=")</f>
        <v>#REF!</v>
      </c>
      <c r="EW86" t="e">
        <f>AND(#REF!,"AAAAAHre/Zg=")</f>
        <v>#REF!</v>
      </c>
      <c r="EX86" t="e">
        <f>AND(#REF!,"AAAAAHre/Zk=")</f>
        <v>#REF!</v>
      </c>
      <c r="EY86" t="e">
        <f>AND(#REF!,"AAAAAHre/Zo=")</f>
        <v>#REF!</v>
      </c>
      <c r="EZ86" t="e">
        <f>IF(#REF!,"AAAAAHre/Zs=",0)</f>
        <v>#REF!</v>
      </c>
      <c r="FA86" t="e">
        <f>AND(#REF!,"AAAAAHre/Zw=")</f>
        <v>#REF!</v>
      </c>
      <c r="FB86" t="e">
        <f>AND(#REF!,"AAAAAHre/Z0=")</f>
        <v>#REF!</v>
      </c>
      <c r="FC86" t="e">
        <f>AND(#REF!,"AAAAAHre/Z4=")</f>
        <v>#REF!</v>
      </c>
      <c r="FD86" t="e">
        <f>AND(#REF!,"AAAAAHre/Z8=")</f>
        <v>#REF!</v>
      </c>
      <c r="FE86" t="e">
        <f>AND(#REF!,"AAAAAHre/aA=")</f>
        <v>#REF!</v>
      </c>
      <c r="FF86" t="e">
        <f>AND(#REF!,"AAAAAHre/aE=")</f>
        <v>#REF!</v>
      </c>
      <c r="FG86" t="e">
        <f>AND(#REF!,"AAAAAHre/aI=")</f>
        <v>#REF!</v>
      </c>
      <c r="FH86" t="e">
        <f>AND(#REF!,"AAAAAHre/aM=")</f>
        <v>#REF!</v>
      </c>
      <c r="FI86" t="e">
        <f>IF(#REF!,"AAAAAHre/aQ=",0)</f>
        <v>#REF!</v>
      </c>
      <c r="FJ86" t="e">
        <f>AND(#REF!,"AAAAAHre/aU=")</f>
        <v>#REF!</v>
      </c>
      <c r="FK86" t="e">
        <f>AND(#REF!,"AAAAAHre/aY=")</f>
        <v>#REF!</v>
      </c>
      <c r="FL86" t="e">
        <f>AND(#REF!,"AAAAAHre/ac=")</f>
        <v>#REF!</v>
      </c>
      <c r="FM86" t="e">
        <f>AND(#REF!,"AAAAAHre/ag=")</f>
        <v>#REF!</v>
      </c>
      <c r="FN86" t="e">
        <f>AND(#REF!,"AAAAAHre/ak=")</f>
        <v>#REF!</v>
      </c>
      <c r="FO86" t="e">
        <f>AND(#REF!,"AAAAAHre/ao=")</f>
        <v>#REF!</v>
      </c>
      <c r="FP86" t="e">
        <f>AND(#REF!,"AAAAAHre/as=")</f>
        <v>#REF!</v>
      </c>
      <c r="FQ86" t="e">
        <f>AND(#REF!,"AAAAAHre/aw=")</f>
        <v>#REF!</v>
      </c>
      <c r="FR86" t="e">
        <f>IF(#REF!,"AAAAAHre/a0=",0)</f>
        <v>#REF!</v>
      </c>
      <c r="FS86" t="e">
        <f>AND(#REF!,"AAAAAHre/a4=")</f>
        <v>#REF!</v>
      </c>
      <c r="FT86" t="e">
        <f>AND(#REF!,"AAAAAHre/a8=")</f>
        <v>#REF!</v>
      </c>
      <c r="FU86" t="e">
        <f>AND(#REF!,"AAAAAHre/bA=")</f>
        <v>#REF!</v>
      </c>
      <c r="FV86" t="e">
        <f>AND(#REF!,"AAAAAHre/bE=")</f>
        <v>#REF!</v>
      </c>
      <c r="FW86" t="e">
        <f>AND(#REF!,"AAAAAHre/bI=")</f>
        <v>#REF!</v>
      </c>
      <c r="FX86" t="e">
        <f>AND(#REF!,"AAAAAHre/bM=")</f>
        <v>#REF!</v>
      </c>
      <c r="FY86" t="e">
        <f>AND(#REF!,"AAAAAHre/bQ=")</f>
        <v>#REF!</v>
      </c>
      <c r="FZ86" t="e">
        <f>AND(#REF!,"AAAAAHre/bU=")</f>
        <v>#REF!</v>
      </c>
      <c r="GA86" t="e">
        <f>IF(#REF!,"AAAAAHre/bY=",0)</f>
        <v>#REF!</v>
      </c>
      <c r="GB86" t="e">
        <f>AND(#REF!,"AAAAAHre/bc=")</f>
        <v>#REF!</v>
      </c>
      <c r="GC86" t="e">
        <f>AND(#REF!,"AAAAAHre/bg=")</f>
        <v>#REF!</v>
      </c>
      <c r="GD86" t="e">
        <f>AND(#REF!,"AAAAAHre/bk=")</f>
        <v>#REF!</v>
      </c>
      <c r="GE86" t="e">
        <f>AND(#REF!,"AAAAAHre/bo=")</f>
        <v>#REF!</v>
      </c>
      <c r="GF86" t="e">
        <f>AND(#REF!,"AAAAAHre/bs=")</f>
        <v>#REF!</v>
      </c>
      <c r="GG86" t="e">
        <f>AND(#REF!,"AAAAAHre/bw=")</f>
        <v>#REF!</v>
      </c>
      <c r="GH86" t="e">
        <f>AND(#REF!,"AAAAAHre/b0=")</f>
        <v>#REF!</v>
      </c>
      <c r="GI86" t="e">
        <f>AND(#REF!,"AAAAAHre/b4=")</f>
        <v>#REF!</v>
      </c>
      <c r="GJ86" t="e">
        <f>IF(#REF!,"AAAAAHre/b8=",0)</f>
        <v>#REF!</v>
      </c>
      <c r="GK86" t="e">
        <f>AND(#REF!,"AAAAAHre/cA=")</f>
        <v>#REF!</v>
      </c>
      <c r="GL86" t="e">
        <f>AND(#REF!,"AAAAAHre/cE=")</f>
        <v>#REF!</v>
      </c>
      <c r="GM86" t="e">
        <f>AND(#REF!,"AAAAAHre/cI=")</f>
        <v>#REF!</v>
      </c>
      <c r="GN86" t="e">
        <f>AND(#REF!,"AAAAAHre/cM=")</f>
        <v>#REF!</v>
      </c>
      <c r="GO86" t="e">
        <f>AND(#REF!,"AAAAAHre/cQ=")</f>
        <v>#REF!</v>
      </c>
      <c r="GP86" t="e">
        <f>AND(#REF!,"AAAAAHre/cU=")</f>
        <v>#REF!</v>
      </c>
      <c r="GQ86" t="e">
        <f>AND(#REF!,"AAAAAHre/cY=")</f>
        <v>#REF!</v>
      </c>
      <c r="GR86" t="e">
        <f>AND(#REF!,"AAAAAHre/cc=")</f>
        <v>#REF!</v>
      </c>
      <c r="GS86" t="e">
        <f>IF(#REF!,"AAAAAHre/cg=",0)</f>
        <v>#REF!</v>
      </c>
      <c r="GT86" t="e">
        <f>AND(#REF!,"AAAAAHre/ck=")</f>
        <v>#REF!</v>
      </c>
      <c r="GU86" t="e">
        <f>AND(#REF!,"AAAAAHre/co=")</f>
        <v>#REF!</v>
      </c>
      <c r="GV86" t="e">
        <f>AND(#REF!,"AAAAAHre/cs=")</f>
        <v>#REF!</v>
      </c>
      <c r="GW86" t="e">
        <f>AND(#REF!,"AAAAAHre/cw=")</f>
        <v>#REF!</v>
      </c>
      <c r="GX86" t="e">
        <f>AND(#REF!,"AAAAAHre/c0=")</f>
        <v>#REF!</v>
      </c>
      <c r="GY86" t="e">
        <f>AND(#REF!,"AAAAAHre/c4=")</f>
        <v>#REF!</v>
      </c>
      <c r="GZ86" t="e">
        <f>AND(#REF!,"AAAAAHre/c8=")</f>
        <v>#REF!</v>
      </c>
      <c r="HA86" t="e">
        <f>AND(#REF!,"AAAAAHre/dA=")</f>
        <v>#REF!</v>
      </c>
      <c r="HB86" t="e">
        <f>IF(#REF!,"AAAAAHre/dE=",0)</f>
        <v>#REF!</v>
      </c>
      <c r="HC86" t="e">
        <f>AND(#REF!,"AAAAAHre/dI=")</f>
        <v>#REF!</v>
      </c>
      <c r="HD86" t="e">
        <f>AND(#REF!,"AAAAAHre/dM=")</f>
        <v>#REF!</v>
      </c>
      <c r="HE86" t="e">
        <f>AND(#REF!,"AAAAAHre/dQ=")</f>
        <v>#REF!</v>
      </c>
      <c r="HF86" t="e">
        <f>AND(#REF!,"AAAAAHre/dU=")</f>
        <v>#REF!</v>
      </c>
      <c r="HG86" t="e">
        <f>AND(#REF!,"AAAAAHre/dY=")</f>
        <v>#REF!</v>
      </c>
      <c r="HH86" t="e">
        <f>AND(#REF!,"AAAAAHre/dc=")</f>
        <v>#REF!</v>
      </c>
      <c r="HI86" t="e">
        <f>AND(#REF!,"AAAAAHre/dg=")</f>
        <v>#REF!</v>
      </c>
      <c r="HJ86" t="e">
        <f>AND(#REF!,"AAAAAHre/dk=")</f>
        <v>#REF!</v>
      </c>
      <c r="HK86" t="e">
        <f>IF(#REF!,"AAAAAHre/do=",0)</f>
        <v>#REF!</v>
      </c>
      <c r="HL86" t="e">
        <f>AND(#REF!,"AAAAAHre/ds=")</f>
        <v>#REF!</v>
      </c>
      <c r="HM86" t="e">
        <f>AND(#REF!,"AAAAAHre/dw=")</f>
        <v>#REF!</v>
      </c>
      <c r="HN86" t="e">
        <f>AND(#REF!,"AAAAAHre/d0=")</f>
        <v>#REF!</v>
      </c>
      <c r="HO86" t="e">
        <f>AND(#REF!,"AAAAAHre/d4=")</f>
        <v>#REF!</v>
      </c>
      <c r="HP86" t="e">
        <f>AND(#REF!,"AAAAAHre/d8=")</f>
        <v>#REF!</v>
      </c>
      <c r="HQ86" t="e">
        <f>AND(#REF!,"AAAAAHre/eA=")</f>
        <v>#REF!</v>
      </c>
      <c r="HR86" t="e">
        <f>AND(#REF!,"AAAAAHre/eE=")</f>
        <v>#REF!</v>
      </c>
      <c r="HS86" t="e">
        <f>AND(#REF!,"AAAAAHre/eI=")</f>
        <v>#REF!</v>
      </c>
      <c r="HT86" t="e">
        <f>IF(#REF!,"AAAAAHre/eM=",0)</f>
        <v>#REF!</v>
      </c>
      <c r="HU86" t="e">
        <f>AND(#REF!,"AAAAAHre/eQ=")</f>
        <v>#REF!</v>
      </c>
      <c r="HV86" t="e">
        <f>AND(#REF!,"AAAAAHre/eU=")</f>
        <v>#REF!</v>
      </c>
      <c r="HW86" t="e">
        <f>AND(#REF!,"AAAAAHre/eY=")</f>
        <v>#REF!</v>
      </c>
      <c r="HX86" t="e">
        <f>AND(#REF!,"AAAAAHre/ec=")</f>
        <v>#REF!</v>
      </c>
      <c r="HY86" t="e">
        <f>AND(#REF!,"AAAAAHre/eg=")</f>
        <v>#REF!</v>
      </c>
      <c r="HZ86" t="e">
        <f>AND(#REF!,"AAAAAHre/ek=")</f>
        <v>#REF!</v>
      </c>
      <c r="IA86" t="e">
        <f>AND(#REF!,"AAAAAHre/eo=")</f>
        <v>#REF!</v>
      </c>
      <c r="IB86" t="e">
        <f>AND(#REF!,"AAAAAHre/es=")</f>
        <v>#REF!</v>
      </c>
      <c r="IC86" t="e">
        <f>IF(#REF!,"AAAAAHre/ew=",0)</f>
        <v>#REF!</v>
      </c>
      <c r="ID86" t="e">
        <f>AND(#REF!,"AAAAAHre/e0=")</f>
        <v>#REF!</v>
      </c>
      <c r="IE86" t="e">
        <f>AND(#REF!,"AAAAAHre/e4=")</f>
        <v>#REF!</v>
      </c>
      <c r="IF86" t="e">
        <f>AND(#REF!,"AAAAAHre/e8=")</f>
        <v>#REF!</v>
      </c>
      <c r="IG86" t="e">
        <f>AND(#REF!,"AAAAAHre/fA=")</f>
        <v>#REF!</v>
      </c>
      <c r="IH86" t="e">
        <f>AND(#REF!,"AAAAAHre/fE=")</f>
        <v>#REF!</v>
      </c>
      <c r="II86" t="e">
        <f>AND(#REF!,"AAAAAHre/fI=")</f>
        <v>#REF!</v>
      </c>
      <c r="IJ86" t="e">
        <f>AND(#REF!,"AAAAAHre/fM=")</f>
        <v>#REF!</v>
      </c>
      <c r="IK86" t="e">
        <f>AND(#REF!,"AAAAAHre/fQ=")</f>
        <v>#REF!</v>
      </c>
      <c r="IL86" t="e">
        <f>IF(#REF!,"AAAAAHre/fU=",0)</f>
        <v>#REF!</v>
      </c>
      <c r="IM86" t="e">
        <f>AND(#REF!,"AAAAAHre/fY=")</f>
        <v>#REF!</v>
      </c>
      <c r="IN86" t="e">
        <f>AND(#REF!,"AAAAAHre/fc=")</f>
        <v>#REF!</v>
      </c>
      <c r="IO86" t="e">
        <f>AND(#REF!,"AAAAAHre/fg=")</f>
        <v>#REF!</v>
      </c>
      <c r="IP86" t="e">
        <f>AND(#REF!,"AAAAAHre/fk=")</f>
        <v>#REF!</v>
      </c>
      <c r="IQ86" t="e">
        <f>AND(#REF!,"AAAAAHre/fo=")</f>
        <v>#REF!</v>
      </c>
      <c r="IR86" t="e">
        <f>AND(#REF!,"AAAAAHre/fs=")</f>
        <v>#REF!</v>
      </c>
      <c r="IS86" t="e">
        <f>AND(#REF!,"AAAAAHre/fw=")</f>
        <v>#REF!</v>
      </c>
      <c r="IT86" t="e">
        <f>AND(#REF!,"AAAAAHre/f0=")</f>
        <v>#REF!</v>
      </c>
      <c r="IU86" t="e">
        <f>IF(#REF!,"AAAAAHre/f4=",0)</f>
        <v>#REF!</v>
      </c>
      <c r="IV86" t="e">
        <f>AND(#REF!,"AAAAAHre/f8=")</f>
        <v>#REF!</v>
      </c>
    </row>
    <row r="87" spans="1:256" x14ac:dyDescent="0.25">
      <c r="A87" t="e">
        <f>AND(#REF!,"AAAAAF///wA=")</f>
        <v>#REF!</v>
      </c>
      <c r="B87" t="e">
        <f>AND(#REF!,"AAAAAF///wE=")</f>
        <v>#REF!</v>
      </c>
      <c r="C87" t="e">
        <f>AND(#REF!,"AAAAAF///wI=")</f>
        <v>#REF!</v>
      </c>
      <c r="D87" t="e">
        <f>AND(#REF!,"AAAAAF///wM=")</f>
        <v>#REF!</v>
      </c>
      <c r="E87" t="e">
        <f>AND(#REF!,"AAAAAF///wQ=")</f>
        <v>#REF!</v>
      </c>
      <c r="F87" t="e">
        <f>AND(#REF!,"AAAAAF///wU=")</f>
        <v>#REF!</v>
      </c>
      <c r="G87" t="e">
        <f>AND(#REF!,"AAAAAF///wY=")</f>
        <v>#REF!</v>
      </c>
      <c r="H87" t="e">
        <f>IF(#REF!,"AAAAAF///wc=",0)</f>
        <v>#REF!</v>
      </c>
      <c r="I87" t="e">
        <f>AND(#REF!,"AAAAAF///wg=")</f>
        <v>#REF!</v>
      </c>
      <c r="J87" t="e">
        <f>AND(#REF!,"AAAAAF///wk=")</f>
        <v>#REF!</v>
      </c>
      <c r="K87" t="e">
        <f>AND(#REF!,"AAAAAF///wo=")</f>
        <v>#REF!</v>
      </c>
      <c r="L87" t="e">
        <f>AND(#REF!,"AAAAAF///ws=")</f>
        <v>#REF!</v>
      </c>
      <c r="M87" t="e">
        <f>AND(#REF!,"AAAAAF///ww=")</f>
        <v>#REF!</v>
      </c>
      <c r="N87" t="e">
        <f>AND(#REF!,"AAAAAF///w0=")</f>
        <v>#REF!</v>
      </c>
      <c r="O87" t="e">
        <f>AND(#REF!,"AAAAAF///w4=")</f>
        <v>#REF!</v>
      </c>
      <c r="P87" t="e">
        <f>AND(#REF!,"AAAAAF///w8=")</f>
        <v>#REF!</v>
      </c>
      <c r="Q87" t="e">
        <f>IF(#REF!,"AAAAAF///xA=",0)</f>
        <v>#REF!</v>
      </c>
      <c r="R87" t="e">
        <f>AND(#REF!,"AAAAAF///xE=")</f>
        <v>#REF!</v>
      </c>
      <c r="S87" t="e">
        <f>AND(#REF!,"AAAAAF///xI=")</f>
        <v>#REF!</v>
      </c>
      <c r="T87" t="e">
        <f>AND(#REF!,"AAAAAF///xM=")</f>
        <v>#REF!</v>
      </c>
      <c r="U87" t="e">
        <f>AND(#REF!,"AAAAAF///xQ=")</f>
        <v>#REF!</v>
      </c>
      <c r="V87" t="e">
        <f>AND(#REF!,"AAAAAF///xU=")</f>
        <v>#REF!</v>
      </c>
      <c r="W87" t="e">
        <f>AND(#REF!,"AAAAAF///xY=")</f>
        <v>#REF!</v>
      </c>
      <c r="X87" t="e">
        <f>AND(#REF!,"AAAAAF///xc=")</f>
        <v>#REF!</v>
      </c>
      <c r="Y87" t="e">
        <f>AND(#REF!,"AAAAAF///xg=")</f>
        <v>#REF!</v>
      </c>
      <c r="Z87" t="e">
        <f>IF(#REF!,"AAAAAF///xk=",0)</f>
        <v>#REF!</v>
      </c>
      <c r="AA87" t="e">
        <f>AND(#REF!,"AAAAAF///xo=")</f>
        <v>#REF!</v>
      </c>
      <c r="AB87" t="e">
        <f>AND(#REF!,"AAAAAF///xs=")</f>
        <v>#REF!</v>
      </c>
      <c r="AC87" t="e">
        <f>AND(#REF!,"AAAAAF///xw=")</f>
        <v>#REF!</v>
      </c>
      <c r="AD87" t="e">
        <f>AND(#REF!,"AAAAAF///x0=")</f>
        <v>#REF!</v>
      </c>
      <c r="AE87" t="e">
        <f>AND(#REF!,"AAAAAF///x4=")</f>
        <v>#REF!</v>
      </c>
      <c r="AF87" t="e">
        <f>AND(#REF!,"AAAAAF///x8=")</f>
        <v>#REF!</v>
      </c>
      <c r="AG87" t="e">
        <f>AND(#REF!,"AAAAAF///yA=")</f>
        <v>#REF!</v>
      </c>
      <c r="AH87" t="e">
        <f>AND(#REF!,"AAAAAF///yE=")</f>
        <v>#REF!</v>
      </c>
      <c r="AI87" t="e">
        <f>IF(#REF!,"AAAAAF///yI=",0)</f>
        <v>#REF!</v>
      </c>
      <c r="AJ87" t="e">
        <f>AND(#REF!,"AAAAAF///yM=")</f>
        <v>#REF!</v>
      </c>
      <c r="AK87" t="e">
        <f>AND(#REF!,"AAAAAF///yQ=")</f>
        <v>#REF!</v>
      </c>
      <c r="AL87" t="e">
        <f>AND(#REF!,"AAAAAF///yU=")</f>
        <v>#REF!</v>
      </c>
      <c r="AM87" t="e">
        <f>AND(#REF!,"AAAAAF///yY=")</f>
        <v>#REF!</v>
      </c>
      <c r="AN87" t="e">
        <f>AND(#REF!,"AAAAAF///yc=")</f>
        <v>#REF!</v>
      </c>
      <c r="AO87" t="e">
        <f>AND(#REF!,"AAAAAF///yg=")</f>
        <v>#REF!</v>
      </c>
      <c r="AP87" t="e">
        <f>AND(#REF!,"AAAAAF///yk=")</f>
        <v>#REF!</v>
      </c>
      <c r="AQ87" t="e">
        <f>AND(#REF!,"AAAAAF///yo=")</f>
        <v>#REF!</v>
      </c>
      <c r="AR87" t="e">
        <f>IF(#REF!,"AAAAAF///ys=",0)</f>
        <v>#REF!</v>
      </c>
      <c r="AS87" t="e">
        <f>AND(#REF!,"AAAAAF///yw=")</f>
        <v>#REF!</v>
      </c>
      <c r="AT87" t="e">
        <f>AND(#REF!,"AAAAAF///y0=")</f>
        <v>#REF!</v>
      </c>
      <c r="AU87" t="e">
        <f>AND(#REF!,"AAAAAF///y4=")</f>
        <v>#REF!</v>
      </c>
      <c r="AV87" t="e">
        <f>AND(#REF!,"AAAAAF///y8=")</f>
        <v>#REF!</v>
      </c>
      <c r="AW87" t="e">
        <f>AND(#REF!,"AAAAAF///zA=")</f>
        <v>#REF!</v>
      </c>
      <c r="AX87" t="e">
        <f>AND(#REF!,"AAAAAF///zE=")</f>
        <v>#REF!</v>
      </c>
      <c r="AY87" t="e">
        <f>AND(#REF!,"AAAAAF///zI=")</f>
        <v>#REF!</v>
      </c>
      <c r="AZ87" t="e">
        <f>AND(#REF!,"AAAAAF///zM=")</f>
        <v>#REF!</v>
      </c>
      <c r="BA87" t="e">
        <f>IF(#REF!,"AAAAAF///zQ=",0)</f>
        <v>#REF!</v>
      </c>
      <c r="BB87" t="e">
        <f>AND(#REF!,"AAAAAF///zU=")</f>
        <v>#REF!</v>
      </c>
      <c r="BC87" t="e">
        <f>AND(#REF!,"AAAAAF///zY=")</f>
        <v>#REF!</v>
      </c>
      <c r="BD87" t="e">
        <f>AND(#REF!,"AAAAAF///zc=")</f>
        <v>#REF!</v>
      </c>
      <c r="BE87" t="e">
        <f>AND(#REF!,"AAAAAF///zg=")</f>
        <v>#REF!</v>
      </c>
      <c r="BF87" t="e">
        <f>AND(#REF!,"AAAAAF///zk=")</f>
        <v>#REF!</v>
      </c>
      <c r="BG87" t="e">
        <f>AND(#REF!,"AAAAAF///zo=")</f>
        <v>#REF!</v>
      </c>
      <c r="BH87" t="e">
        <f>AND(#REF!,"AAAAAF///zs=")</f>
        <v>#REF!</v>
      </c>
      <c r="BI87" t="e">
        <f>AND(#REF!,"AAAAAF///zw=")</f>
        <v>#REF!</v>
      </c>
      <c r="BJ87" t="e">
        <f>IF(#REF!,"AAAAAF///z0=",0)</f>
        <v>#REF!</v>
      </c>
      <c r="BK87" t="e">
        <f>AND(#REF!,"AAAAAF///z4=")</f>
        <v>#REF!</v>
      </c>
      <c r="BL87" t="e">
        <f>AND(#REF!,"AAAAAF///z8=")</f>
        <v>#REF!</v>
      </c>
      <c r="BM87" t="e">
        <f>AND(#REF!,"AAAAAF///0A=")</f>
        <v>#REF!</v>
      </c>
      <c r="BN87" t="e">
        <f>AND(#REF!,"AAAAAF///0E=")</f>
        <v>#REF!</v>
      </c>
      <c r="BO87" t="e">
        <f>AND(#REF!,"AAAAAF///0I=")</f>
        <v>#REF!</v>
      </c>
      <c r="BP87" t="e">
        <f>AND(#REF!,"AAAAAF///0M=")</f>
        <v>#REF!</v>
      </c>
      <c r="BQ87" t="e">
        <f>AND(#REF!,"AAAAAF///0Q=")</f>
        <v>#REF!</v>
      </c>
      <c r="BR87" t="e">
        <f>AND(#REF!,"AAAAAF///0U=")</f>
        <v>#REF!</v>
      </c>
      <c r="BS87" t="e">
        <f>IF(#REF!,"AAAAAF///0Y=",0)</f>
        <v>#REF!</v>
      </c>
      <c r="BT87" t="e">
        <f>AND(#REF!,"AAAAAF///0c=")</f>
        <v>#REF!</v>
      </c>
      <c r="BU87" t="e">
        <f>AND(#REF!,"AAAAAF///0g=")</f>
        <v>#REF!</v>
      </c>
      <c r="BV87" t="e">
        <f>AND(#REF!,"AAAAAF///0k=")</f>
        <v>#REF!</v>
      </c>
      <c r="BW87" t="e">
        <f>AND(#REF!,"AAAAAF///0o=")</f>
        <v>#REF!</v>
      </c>
      <c r="BX87" t="e">
        <f>AND(#REF!,"AAAAAF///0s=")</f>
        <v>#REF!</v>
      </c>
      <c r="BY87" t="e">
        <f>AND(#REF!,"AAAAAF///0w=")</f>
        <v>#REF!</v>
      </c>
      <c r="BZ87" t="e">
        <f>AND(#REF!,"AAAAAF///00=")</f>
        <v>#REF!</v>
      </c>
      <c r="CA87" t="e">
        <f>AND(#REF!,"AAAAAF///04=")</f>
        <v>#REF!</v>
      </c>
      <c r="CB87" t="e">
        <f>IF(#REF!,"AAAAAF///08=",0)</f>
        <v>#REF!</v>
      </c>
      <c r="CC87" t="e">
        <f>AND(#REF!,"AAAAAF///1A=")</f>
        <v>#REF!</v>
      </c>
      <c r="CD87" t="e">
        <f>AND(#REF!,"AAAAAF///1E=")</f>
        <v>#REF!</v>
      </c>
      <c r="CE87" t="e">
        <f>AND(#REF!,"AAAAAF///1I=")</f>
        <v>#REF!</v>
      </c>
      <c r="CF87" t="e">
        <f>AND(#REF!,"AAAAAF///1M=")</f>
        <v>#REF!</v>
      </c>
      <c r="CG87" t="e">
        <f>AND(#REF!,"AAAAAF///1Q=")</f>
        <v>#REF!</v>
      </c>
      <c r="CH87" t="e">
        <f>AND(#REF!,"AAAAAF///1U=")</f>
        <v>#REF!</v>
      </c>
      <c r="CI87" t="e">
        <f>AND(#REF!,"AAAAAF///1Y=")</f>
        <v>#REF!</v>
      </c>
      <c r="CJ87" t="e">
        <f>AND(#REF!,"AAAAAF///1c=")</f>
        <v>#REF!</v>
      </c>
      <c r="CK87" t="e">
        <f>IF(#REF!,"AAAAAF///1g=",0)</f>
        <v>#REF!</v>
      </c>
      <c r="CL87" t="e">
        <f>AND(#REF!,"AAAAAF///1k=")</f>
        <v>#REF!</v>
      </c>
      <c r="CM87" t="e">
        <f>AND(#REF!,"AAAAAF///1o=")</f>
        <v>#REF!</v>
      </c>
      <c r="CN87" t="e">
        <f>AND(#REF!,"AAAAAF///1s=")</f>
        <v>#REF!</v>
      </c>
      <c r="CO87" t="e">
        <f>AND(#REF!,"AAAAAF///1w=")</f>
        <v>#REF!</v>
      </c>
      <c r="CP87" t="e">
        <f>AND(#REF!,"AAAAAF///10=")</f>
        <v>#REF!</v>
      </c>
      <c r="CQ87" t="e">
        <f>AND(#REF!,"AAAAAF///14=")</f>
        <v>#REF!</v>
      </c>
      <c r="CR87" t="e">
        <f>AND(#REF!,"AAAAAF///18=")</f>
        <v>#REF!</v>
      </c>
      <c r="CS87" t="e">
        <f>AND(#REF!,"AAAAAF///2A=")</f>
        <v>#REF!</v>
      </c>
      <c r="CT87" t="e">
        <f>IF(#REF!,"AAAAAF///2E=",0)</f>
        <v>#REF!</v>
      </c>
      <c r="CU87" t="e">
        <f>AND(#REF!,"AAAAAF///2I=")</f>
        <v>#REF!</v>
      </c>
      <c r="CV87" t="e">
        <f>AND(#REF!,"AAAAAF///2M=")</f>
        <v>#REF!</v>
      </c>
      <c r="CW87" t="e">
        <f>AND(#REF!,"AAAAAF///2Q=")</f>
        <v>#REF!</v>
      </c>
      <c r="CX87" t="e">
        <f>AND(#REF!,"AAAAAF///2U=")</f>
        <v>#REF!</v>
      </c>
      <c r="CY87" t="e">
        <f>AND(#REF!,"AAAAAF///2Y=")</f>
        <v>#REF!</v>
      </c>
      <c r="CZ87" t="e">
        <f>AND(#REF!,"AAAAAF///2c=")</f>
        <v>#REF!</v>
      </c>
      <c r="DA87" t="e">
        <f>AND(#REF!,"AAAAAF///2g=")</f>
        <v>#REF!</v>
      </c>
      <c r="DB87" t="e">
        <f>AND(#REF!,"AAAAAF///2k=")</f>
        <v>#REF!</v>
      </c>
      <c r="DC87" t="e">
        <f>IF(#REF!,"AAAAAF///2o=",0)</f>
        <v>#REF!</v>
      </c>
      <c r="DD87" t="e">
        <f>AND(#REF!,"AAAAAF///2s=")</f>
        <v>#REF!</v>
      </c>
      <c r="DE87" t="e">
        <f>AND(#REF!,"AAAAAF///2w=")</f>
        <v>#REF!</v>
      </c>
      <c r="DF87" t="e">
        <f>AND(#REF!,"AAAAAF///20=")</f>
        <v>#REF!</v>
      </c>
      <c r="DG87" t="e">
        <f>AND(#REF!,"AAAAAF///24=")</f>
        <v>#REF!</v>
      </c>
      <c r="DH87" t="e">
        <f>AND(#REF!,"AAAAAF///28=")</f>
        <v>#REF!</v>
      </c>
      <c r="DI87" t="e">
        <f>AND(#REF!,"AAAAAF///3A=")</f>
        <v>#REF!</v>
      </c>
      <c r="DJ87" t="e">
        <f>AND(#REF!,"AAAAAF///3E=")</f>
        <v>#REF!</v>
      </c>
      <c r="DK87" t="e">
        <f>AND(#REF!,"AAAAAF///3I=")</f>
        <v>#REF!</v>
      </c>
      <c r="DL87" t="e">
        <f>IF(#REF!,"AAAAAF///3M=",0)</f>
        <v>#REF!</v>
      </c>
      <c r="DM87" t="e">
        <f>AND(#REF!,"AAAAAF///3Q=")</f>
        <v>#REF!</v>
      </c>
      <c r="DN87" t="e">
        <f>AND(#REF!,"AAAAAF///3U=")</f>
        <v>#REF!</v>
      </c>
      <c r="DO87" t="e">
        <f>AND(#REF!,"AAAAAF///3Y=")</f>
        <v>#REF!</v>
      </c>
      <c r="DP87" t="e">
        <f>AND(#REF!,"AAAAAF///3c=")</f>
        <v>#REF!</v>
      </c>
      <c r="DQ87" t="e">
        <f>AND(#REF!,"AAAAAF///3g=")</f>
        <v>#REF!</v>
      </c>
      <c r="DR87" t="e">
        <f>AND(#REF!,"AAAAAF///3k=")</f>
        <v>#REF!</v>
      </c>
      <c r="DS87" t="e">
        <f>AND(#REF!,"AAAAAF///3o=")</f>
        <v>#REF!</v>
      </c>
      <c r="DT87" t="e">
        <f>AND(#REF!,"AAAAAF///3s=")</f>
        <v>#REF!</v>
      </c>
      <c r="DU87" t="e">
        <f>IF(#REF!,"AAAAAF///3w=",0)</f>
        <v>#REF!</v>
      </c>
      <c r="DV87" t="e">
        <f>AND(#REF!,"AAAAAF///30=")</f>
        <v>#REF!</v>
      </c>
      <c r="DW87" t="e">
        <f>AND(#REF!,"AAAAAF///34=")</f>
        <v>#REF!</v>
      </c>
      <c r="DX87" t="e">
        <f>AND(#REF!,"AAAAAF///38=")</f>
        <v>#REF!</v>
      </c>
      <c r="DY87" t="e">
        <f>AND(#REF!,"AAAAAF///4A=")</f>
        <v>#REF!</v>
      </c>
      <c r="DZ87" t="e">
        <f>AND(#REF!,"AAAAAF///4E=")</f>
        <v>#REF!</v>
      </c>
      <c r="EA87" t="e">
        <f>AND(#REF!,"AAAAAF///4I=")</f>
        <v>#REF!</v>
      </c>
      <c r="EB87" t="e">
        <f>AND(#REF!,"AAAAAF///4M=")</f>
        <v>#REF!</v>
      </c>
      <c r="EC87" t="e">
        <f>AND(#REF!,"AAAAAF///4Q=")</f>
        <v>#REF!</v>
      </c>
      <c r="ED87" t="e">
        <f>IF(#REF!,"AAAAAF///4U=",0)</f>
        <v>#REF!</v>
      </c>
      <c r="EE87" t="e">
        <f>AND(#REF!,"AAAAAF///4Y=")</f>
        <v>#REF!</v>
      </c>
      <c r="EF87" t="e">
        <f>AND(#REF!,"AAAAAF///4c=")</f>
        <v>#REF!</v>
      </c>
      <c r="EG87" t="e">
        <f>AND(#REF!,"AAAAAF///4g=")</f>
        <v>#REF!</v>
      </c>
      <c r="EH87" t="e">
        <f>AND(#REF!,"AAAAAF///4k=")</f>
        <v>#REF!</v>
      </c>
      <c r="EI87" t="e">
        <f>AND(#REF!,"AAAAAF///4o=")</f>
        <v>#REF!</v>
      </c>
      <c r="EJ87" t="e">
        <f>AND(#REF!,"AAAAAF///4s=")</f>
        <v>#REF!</v>
      </c>
      <c r="EK87" t="e">
        <f>AND(#REF!,"AAAAAF///4w=")</f>
        <v>#REF!</v>
      </c>
      <c r="EL87" t="e">
        <f>AND(#REF!,"AAAAAF///40=")</f>
        <v>#REF!</v>
      </c>
      <c r="EM87" t="e">
        <f>IF(#REF!,"AAAAAF///44=",0)</f>
        <v>#REF!</v>
      </c>
      <c r="EN87" t="e">
        <f>AND(#REF!,"AAAAAF///48=")</f>
        <v>#REF!</v>
      </c>
      <c r="EO87" t="e">
        <f>AND(#REF!,"AAAAAF///5A=")</f>
        <v>#REF!</v>
      </c>
      <c r="EP87" t="e">
        <f>AND(#REF!,"AAAAAF///5E=")</f>
        <v>#REF!</v>
      </c>
      <c r="EQ87" t="e">
        <f>AND(#REF!,"AAAAAF///5I=")</f>
        <v>#REF!</v>
      </c>
      <c r="ER87" t="e">
        <f>AND(#REF!,"AAAAAF///5M=")</f>
        <v>#REF!</v>
      </c>
      <c r="ES87" t="e">
        <f>AND(#REF!,"AAAAAF///5Q=")</f>
        <v>#REF!</v>
      </c>
      <c r="ET87" t="e">
        <f>AND(#REF!,"AAAAAF///5U=")</f>
        <v>#REF!</v>
      </c>
      <c r="EU87" t="e">
        <f>AND(#REF!,"AAAAAF///5Y=")</f>
        <v>#REF!</v>
      </c>
      <c r="EV87" t="e">
        <f>IF(#REF!,"AAAAAF///5c=",0)</f>
        <v>#REF!</v>
      </c>
      <c r="EW87" t="e">
        <f>AND(#REF!,"AAAAAF///5g=")</f>
        <v>#REF!</v>
      </c>
      <c r="EX87" t="e">
        <f>AND(#REF!,"AAAAAF///5k=")</f>
        <v>#REF!</v>
      </c>
      <c r="EY87" t="e">
        <f>AND(#REF!,"AAAAAF///5o=")</f>
        <v>#REF!</v>
      </c>
      <c r="EZ87" t="e">
        <f>AND(#REF!,"AAAAAF///5s=")</f>
        <v>#REF!</v>
      </c>
      <c r="FA87" t="e">
        <f>AND(#REF!,"AAAAAF///5w=")</f>
        <v>#REF!</v>
      </c>
      <c r="FB87" t="e">
        <f>AND(#REF!,"AAAAAF///50=")</f>
        <v>#REF!</v>
      </c>
      <c r="FC87" t="e">
        <f>AND(#REF!,"AAAAAF///54=")</f>
        <v>#REF!</v>
      </c>
      <c r="FD87" t="e">
        <f>AND(#REF!,"AAAAAF///58=")</f>
        <v>#REF!</v>
      </c>
      <c r="FE87" t="e">
        <f>IF(#REF!,"AAAAAF///6A=",0)</f>
        <v>#REF!</v>
      </c>
      <c r="FF87" t="e">
        <f>AND(#REF!,"AAAAAF///6E=")</f>
        <v>#REF!</v>
      </c>
      <c r="FG87" t="e">
        <f>AND(#REF!,"AAAAAF///6I=")</f>
        <v>#REF!</v>
      </c>
      <c r="FH87" t="e">
        <f>AND(#REF!,"AAAAAF///6M=")</f>
        <v>#REF!</v>
      </c>
      <c r="FI87" t="e">
        <f>AND(#REF!,"AAAAAF///6Q=")</f>
        <v>#REF!</v>
      </c>
      <c r="FJ87" t="e">
        <f>AND(#REF!,"AAAAAF///6U=")</f>
        <v>#REF!</v>
      </c>
      <c r="FK87" t="e">
        <f>AND(#REF!,"AAAAAF///6Y=")</f>
        <v>#REF!</v>
      </c>
      <c r="FL87" t="e">
        <f>AND(#REF!,"AAAAAF///6c=")</f>
        <v>#REF!</v>
      </c>
      <c r="FM87" t="e">
        <f>AND(#REF!,"AAAAAF///6g=")</f>
        <v>#REF!</v>
      </c>
      <c r="FN87" t="e">
        <f>IF(#REF!,"AAAAAF///6k=",0)</f>
        <v>#REF!</v>
      </c>
      <c r="FO87" t="e">
        <f>AND(#REF!,"AAAAAF///6o=")</f>
        <v>#REF!</v>
      </c>
      <c r="FP87" t="e">
        <f>AND(#REF!,"AAAAAF///6s=")</f>
        <v>#REF!</v>
      </c>
      <c r="FQ87" t="e">
        <f>AND(#REF!,"AAAAAF///6w=")</f>
        <v>#REF!</v>
      </c>
      <c r="FR87" t="e">
        <f>AND(#REF!,"AAAAAF///60=")</f>
        <v>#REF!</v>
      </c>
      <c r="FS87" t="e">
        <f>AND(#REF!,"AAAAAF///64=")</f>
        <v>#REF!</v>
      </c>
      <c r="FT87" t="e">
        <f>AND(#REF!,"AAAAAF///68=")</f>
        <v>#REF!</v>
      </c>
      <c r="FU87" t="e">
        <f>AND(#REF!,"AAAAAF///7A=")</f>
        <v>#REF!</v>
      </c>
      <c r="FV87" t="e">
        <f>AND(#REF!,"AAAAAF///7E=")</f>
        <v>#REF!</v>
      </c>
      <c r="FW87" t="e">
        <f>IF(#REF!,"AAAAAF///7I=",0)</f>
        <v>#REF!</v>
      </c>
      <c r="FX87" t="e">
        <f>AND(#REF!,"AAAAAF///7M=")</f>
        <v>#REF!</v>
      </c>
      <c r="FY87" t="e">
        <f>AND(#REF!,"AAAAAF///7Q=")</f>
        <v>#REF!</v>
      </c>
      <c r="FZ87" t="e">
        <f>AND(#REF!,"AAAAAF///7U=")</f>
        <v>#REF!</v>
      </c>
      <c r="GA87" t="e">
        <f>AND(#REF!,"AAAAAF///7Y=")</f>
        <v>#REF!</v>
      </c>
      <c r="GB87" t="e">
        <f>AND(#REF!,"AAAAAF///7c=")</f>
        <v>#REF!</v>
      </c>
      <c r="GC87" t="e">
        <f>AND(#REF!,"AAAAAF///7g=")</f>
        <v>#REF!</v>
      </c>
      <c r="GD87" t="e">
        <f>AND(#REF!,"AAAAAF///7k=")</f>
        <v>#REF!</v>
      </c>
      <c r="GE87" t="e">
        <f>AND(#REF!,"AAAAAF///7o=")</f>
        <v>#REF!</v>
      </c>
      <c r="GF87" t="e">
        <f>IF(#REF!,"AAAAAF///7s=",0)</f>
        <v>#REF!</v>
      </c>
      <c r="GG87" t="e">
        <f>AND(#REF!,"AAAAAF///7w=")</f>
        <v>#REF!</v>
      </c>
      <c r="GH87" t="e">
        <f>AND(#REF!,"AAAAAF///70=")</f>
        <v>#REF!</v>
      </c>
      <c r="GI87" t="e">
        <f>AND(#REF!,"AAAAAF///74=")</f>
        <v>#REF!</v>
      </c>
      <c r="GJ87" t="e">
        <f>AND(#REF!,"AAAAAF///78=")</f>
        <v>#REF!</v>
      </c>
      <c r="GK87" t="e">
        <f>AND(#REF!,"AAAAAF///8A=")</f>
        <v>#REF!</v>
      </c>
      <c r="GL87" t="e">
        <f>AND(#REF!,"AAAAAF///8E=")</f>
        <v>#REF!</v>
      </c>
      <c r="GM87" t="e">
        <f>AND(#REF!,"AAAAAF///8I=")</f>
        <v>#REF!</v>
      </c>
      <c r="GN87" t="e">
        <f>AND(#REF!,"AAAAAF///8M=")</f>
        <v>#REF!</v>
      </c>
      <c r="GO87" t="e">
        <f>IF(#REF!,"AAAAAF///8Q=",0)</f>
        <v>#REF!</v>
      </c>
      <c r="GP87" t="e">
        <f>AND(#REF!,"AAAAAF///8U=")</f>
        <v>#REF!</v>
      </c>
      <c r="GQ87" t="e">
        <f>AND(#REF!,"AAAAAF///8Y=")</f>
        <v>#REF!</v>
      </c>
      <c r="GR87" t="e">
        <f>AND(#REF!,"AAAAAF///8c=")</f>
        <v>#REF!</v>
      </c>
      <c r="GS87" t="e">
        <f>AND(#REF!,"AAAAAF///8g=")</f>
        <v>#REF!</v>
      </c>
      <c r="GT87" t="e">
        <f>AND(#REF!,"AAAAAF///8k=")</f>
        <v>#REF!</v>
      </c>
      <c r="GU87" t="e">
        <f>AND(#REF!,"AAAAAF///8o=")</f>
        <v>#REF!</v>
      </c>
      <c r="GV87" t="e">
        <f>AND(#REF!,"AAAAAF///8s=")</f>
        <v>#REF!</v>
      </c>
      <c r="GW87" t="e">
        <f>AND(#REF!,"AAAAAF///8w=")</f>
        <v>#REF!</v>
      </c>
      <c r="GX87" t="e">
        <f>IF(#REF!,"AAAAAF///80=",0)</f>
        <v>#REF!</v>
      </c>
      <c r="GY87" t="e">
        <f>AND(#REF!,"AAAAAF///84=")</f>
        <v>#REF!</v>
      </c>
      <c r="GZ87" t="e">
        <f>AND(#REF!,"AAAAAF///88=")</f>
        <v>#REF!</v>
      </c>
      <c r="HA87" t="e">
        <f>AND(#REF!,"AAAAAF///9A=")</f>
        <v>#REF!</v>
      </c>
      <c r="HB87" t="e">
        <f>AND(#REF!,"AAAAAF///9E=")</f>
        <v>#REF!</v>
      </c>
      <c r="HC87" t="e">
        <f>AND(#REF!,"AAAAAF///9I=")</f>
        <v>#REF!</v>
      </c>
      <c r="HD87" t="e">
        <f>AND(#REF!,"AAAAAF///9M=")</f>
        <v>#REF!</v>
      </c>
      <c r="HE87" t="e">
        <f>AND(#REF!,"AAAAAF///9Q=")</f>
        <v>#REF!</v>
      </c>
      <c r="HF87" t="e">
        <f>AND(#REF!,"AAAAAF///9U=")</f>
        <v>#REF!</v>
      </c>
      <c r="HG87" t="e">
        <f>IF(#REF!,"AAAAAF///9Y=",0)</f>
        <v>#REF!</v>
      </c>
      <c r="HH87" t="e">
        <f>AND(#REF!,"AAAAAF///9c=")</f>
        <v>#REF!</v>
      </c>
      <c r="HI87" t="e">
        <f>AND(#REF!,"AAAAAF///9g=")</f>
        <v>#REF!</v>
      </c>
      <c r="HJ87" t="e">
        <f>AND(#REF!,"AAAAAF///9k=")</f>
        <v>#REF!</v>
      </c>
      <c r="HK87" t="e">
        <f>AND(#REF!,"AAAAAF///9o=")</f>
        <v>#REF!</v>
      </c>
      <c r="HL87" t="e">
        <f>AND(#REF!,"AAAAAF///9s=")</f>
        <v>#REF!</v>
      </c>
      <c r="HM87" t="e">
        <f>AND(#REF!,"AAAAAF///9w=")</f>
        <v>#REF!</v>
      </c>
      <c r="HN87" t="e">
        <f>AND(#REF!,"AAAAAF///90=")</f>
        <v>#REF!</v>
      </c>
      <c r="HO87" t="e">
        <f>AND(#REF!,"AAAAAF///94=")</f>
        <v>#REF!</v>
      </c>
      <c r="HP87" t="e">
        <f>IF(#REF!,"AAAAAF///98=",0)</f>
        <v>#REF!</v>
      </c>
      <c r="HQ87" t="e">
        <f>AND(#REF!,"AAAAAF///+A=")</f>
        <v>#REF!</v>
      </c>
      <c r="HR87" t="e">
        <f>AND(#REF!,"AAAAAF///+E=")</f>
        <v>#REF!</v>
      </c>
      <c r="HS87" t="e">
        <f>AND(#REF!,"AAAAAF///+I=")</f>
        <v>#REF!</v>
      </c>
      <c r="HT87" t="e">
        <f>AND(#REF!,"AAAAAF///+M=")</f>
        <v>#REF!</v>
      </c>
      <c r="HU87" t="e">
        <f>AND(#REF!,"AAAAAF///+Q=")</f>
        <v>#REF!</v>
      </c>
      <c r="HV87" t="e">
        <f>AND(#REF!,"AAAAAF///+U=")</f>
        <v>#REF!</v>
      </c>
      <c r="HW87" t="e">
        <f>AND(#REF!,"AAAAAF///+Y=")</f>
        <v>#REF!</v>
      </c>
      <c r="HX87" t="e">
        <f>AND(#REF!,"AAAAAF///+c=")</f>
        <v>#REF!</v>
      </c>
      <c r="HY87" t="e">
        <f>IF(#REF!,"AAAAAF///+g=",0)</f>
        <v>#REF!</v>
      </c>
      <c r="HZ87" t="e">
        <f>AND(#REF!,"AAAAAF///+k=")</f>
        <v>#REF!</v>
      </c>
      <c r="IA87" t="e">
        <f>AND(#REF!,"AAAAAF///+o=")</f>
        <v>#REF!</v>
      </c>
      <c r="IB87" t="e">
        <f>AND(#REF!,"AAAAAF///+s=")</f>
        <v>#REF!</v>
      </c>
      <c r="IC87" t="e">
        <f>AND(#REF!,"AAAAAF///+w=")</f>
        <v>#REF!</v>
      </c>
      <c r="ID87" t="e">
        <f>AND(#REF!,"AAAAAF///+0=")</f>
        <v>#REF!</v>
      </c>
      <c r="IE87" t="e">
        <f>AND(#REF!,"AAAAAF///+4=")</f>
        <v>#REF!</v>
      </c>
      <c r="IF87" t="e">
        <f>AND(#REF!,"AAAAAF///+8=")</f>
        <v>#REF!</v>
      </c>
      <c r="IG87" t="e">
        <f>AND(#REF!,"AAAAAF////A=")</f>
        <v>#REF!</v>
      </c>
      <c r="IH87" t="e">
        <f>IF(#REF!,"AAAAAF////E=",0)</f>
        <v>#REF!</v>
      </c>
      <c r="II87" t="e">
        <f>AND(#REF!,"AAAAAF////I=")</f>
        <v>#REF!</v>
      </c>
      <c r="IJ87" t="e">
        <f>AND(#REF!,"AAAAAF////M=")</f>
        <v>#REF!</v>
      </c>
      <c r="IK87" t="e">
        <f>AND(#REF!,"AAAAAF////Q=")</f>
        <v>#REF!</v>
      </c>
      <c r="IL87" t="e">
        <f>AND(#REF!,"AAAAAF////U=")</f>
        <v>#REF!</v>
      </c>
      <c r="IM87" t="e">
        <f>AND(#REF!,"AAAAAF////Y=")</f>
        <v>#REF!</v>
      </c>
      <c r="IN87" t="e">
        <f>AND(#REF!,"AAAAAF////c=")</f>
        <v>#REF!</v>
      </c>
      <c r="IO87" t="e">
        <f>AND(#REF!,"AAAAAF////g=")</f>
        <v>#REF!</v>
      </c>
      <c r="IP87" t="e">
        <f>AND(#REF!,"AAAAAF////k=")</f>
        <v>#REF!</v>
      </c>
      <c r="IQ87" t="e">
        <f>IF(#REF!,"AAAAAF////o=",0)</f>
        <v>#REF!</v>
      </c>
      <c r="IR87" t="e">
        <f>AND(#REF!,"AAAAAF////s=")</f>
        <v>#REF!</v>
      </c>
      <c r="IS87" t="e">
        <f>AND(#REF!,"AAAAAF////w=")</f>
        <v>#REF!</v>
      </c>
      <c r="IT87" t="e">
        <f>AND(#REF!,"AAAAAF////0=")</f>
        <v>#REF!</v>
      </c>
      <c r="IU87" t="e">
        <f>AND(#REF!,"AAAAAF////4=")</f>
        <v>#REF!</v>
      </c>
      <c r="IV87" t="e">
        <f>AND(#REF!,"AAAAAF////8=")</f>
        <v>#REF!</v>
      </c>
    </row>
    <row r="88" spans="1:256" x14ac:dyDescent="0.25">
      <c r="A88" t="e">
        <f>AND(#REF!,"AAAAAD+v/AA=")</f>
        <v>#REF!</v>
      </c>
      <c r="B88" t="e">
        <f>AND(#REF!,"AAAAAD+v/AE=")</f>
        <v>#REF!</v>
      </c>
      <c r="C88" t="e">
        <f>AND(#REF!,"AAAAAD+v/AI=")</f>
        <v>#REF!</v>
      </c>
      <c r="D88" t="e">
        <f>IF(#REF!,"AAAAAD+v/AM=",0)</f>
        <v>#REF!</v>
      </c>
      <c r="E88" t="e">
        <f>AND(#REF!,"AAAAAD+v/AQ=")</f>
        <v>#REF!</v>
      </c>
      <c r="F88" t="e">
        <f>AND(#REF!,"AAAAAD+v/AU=")</f>
        <v>#REF!</v>
      </c>
      <c r="G88" t="e">
        <f>AND(#REF!,"AAAAAD+v/AY=")</f>
        <v>#REF!</v>
      </c>
      <c r="H88" t="e">
        <f>AND(#REF!,"AAAAAD+v/Ac=")</f>
        <v>#REF!</v>
      </c>
      <c r="I88" t="e">
        <f>AND(#REF!,"AAAAAD+v/Ag=")</f>
        <v>#REF!</v>
      </c>
      <c r="J88" t="e">
        <f>AND(#REF!,"AAAAAD+v/Ak=")</f>
        <v>#REF!</v>
      </c>
      <c r="K88" t="e">
        <f>AND(#REF!,"AAAAAD+v/Ao=")</f>
        <v>#REF!</v>
      </c>
      <c r="L88" t="e">
        <f>AND(#REF!,"AAAAAD+v/As=")</f>
        <v>#REF!</v>
      </c>
      <c r="M88" t="e">
        <f>IF(#REF!,"AAAAAD+v/Aw=",0)</f>
        <v>#REF!</v>
      </c>
      <c r="N88" t="e">
        <f>AND(#REF!,"AAAAAD+v/A0=")</f>
        <v>#REF!</v>
      </c>
      <c r="O88" t="e">
        <f>AND(#REF!,"AAAAAD+v/A4=")</f>
        <v>#REF!</v>
      </c>
      <c r="P88" t="e">
        <f>AND(#REF!,"AAAAAD+v/A8=")</f>
        <v>#REF!</v>
      </c>
      <c r="Q88" t="e">
        <f>AND(#REF!,"AAAAAD+v/BA=")</f>
        <v>#REF!</v>
      </c>
      <c r="R88" t="e">
        <f>AND(#REF!,"AAAAAD+v/BE=")</f>
        <v>#REF!</v>
      </c>
      <c r="S88" t="e">
        <f>AND(#REF!,"AAAAAD+v/BI=")</f>
        <v>#REF!</v>
      </c>
      <c r="T88" t="e">
        <f>AND(#REF!,"AAAAAD+v/BM=")</f>
        <v>#REF!</v>
      </c>
      <c r="U88" t="e">
        <f>AND(#REF!,"AAAAAD+v/BQ=")</f>
        <v>#REF!</v>
      </c>
      <c r="V88" t="e">
        <f>IF(#REF!,"AAAAAD+v/BU=",0)</f>
        <v>#REF!</v>
      </c>
      <c r="W88" t="e">
        <f>AND(#REF!,"AAAAAD+v/BY=")</f>
        <v>#REF!</v>
      </c>
      <c r="X88" t="e">
        <f>AND(#REF!,"AAAAAD+v/Bc=")</f>
        <v>#REF!</v>
      </c>
      <c r="Y88" t="e">
        <f>AND(#REF!,"AAAAAD+v/Bg=")</f>
        <v>#REF!</v>
      </c>
      <c r="Z88" t="e">
        <f>AND(#REF!,"AAAAAD+v/Bk=")</f>
        <v>#REF!</v>
      </c>
      <c r="AA88" t="e">
        <f>AND(#REF!,"AAAAAD+v/Bo=")</f>
        <v>#REF!</v>
      </c>
      <c r="AB88" t="e">
        <f>AND(#REF!,"AAAAAD+v/Bs=")</f>
        <v>#REF!</v>
      </c>
      <c r="AC88" t="e">
        <f>AND(#REF!,"AAAAAD+v/Bw=")</f>
        <v>#REF!</v>
      </c>
      <c r="AD88" t="e">
        <f>AND(#REF!,"AAAAAD+v/B0=")</f>
        <v>#REF!</v>
      </c>
      <c r="AE88" t="e">
        <f>IF(#REF!,"AAAAAD+v/B4=",0)</f>
        <v>#REF!</v>
      </c>
      <c r="AF88" t="e">
        <f>AND(#REF!,"AAAAAD+v/B8=")</f>
        <v>#REF!</v>
      </c>
      <c r="AG88" t="e">
        <f>AND(#REF!,"AAAAAD+v/CA=")</f>
        <v>#REF!</v>
      </c>
      <c r="AH88" t="e">
        <f>AND(#REF!,"AAAAAD+v/CE=")</f>
        <v>#REF!</v>
      </c>
      <c r="AI88" t="e">
        <f>AND(#REF!,"AAAAAD+v/CI=")</f>
        <v>#REF!</v>
      </c>
      <c r="AJ88" t="e">
        <f>AND(#REF!,"AAAAAD+v/CM=")</f>
        <v>#REF!</v>
      </c>
      <c r="AK88" t="e">
        <f>AND(#REF!,"AAAAAD+v/CQ=")</f>
        <v>#REF!</v>
      </c>
      <c r="AL88" t="e">
        <f>AND(#REF!,"AAAAAD+v/CU=")</f>
        <v>#REF!</v>
      </c>
      <c r="AM88" t="e">
        <f>AND(#REF!,"AAAAAD+v/CY=")</f>
        <v>#REF!</v>
      </c>
      <c r="AN88" t="e">
        <f>IF(#REF!,"AAAAAD+v/Cc=",0)</f>
        <v>#REF!</v>
      </c>
      <c r="AO88" t="e">
        <f>AND(#REF!,"AAAAAD+v/Cg=")</f>
        <v>#REF!</v>
      </c>
      <c r="AP88" t="e">
        <f>AND(#REF!,"AAAAAD+v/Ck=")</f>
        <v>#REF!</v>
      </c>
      <c r="AQ88" t="e">
        <f>AND(#REF!,"AAAAAD+v/Co=")</f>
        <v>#REF!</v>
      </c>
      <c r="AR88" t="e">
        <f>AND(#REF!,"AAAAAD+v/Cs=")</f>
        <v>#REF!</v>
      </c>
      <c r="AS88" t="e">
        <f>AND(#REF!,"AAAAAD+v/Cw=")</f>
        <v>#REF!</v>
      </c>
      <c r="AT88" t="e">
        <f>AND(#REF!,"AAAAAD+v/C0=")</f>
        <v>#REF!</v>
      </c>
      <c r="AU88" t="e">
        <f>AND(#REF!,"AAAAAD+v/C4=")</f>
        <v>#REF!</v>
      </c>
      <c r="AV88" t="e">
        <f>AND(#REF!,"AAAAAD+v/C8=")</f>
        <v>#REF!</v>
      </c>
      <c r="AW88" t="e">
        <f>IF(#REF!,"AAAAAD+v/DA=",0)</f>
        <v>#REF!</v>
      </c>
      <c r="AX88" t="e">
        <f>AND(#REF!,"AAAAAD+v/DE=")</f>
        <v>#REF!</v>
      </c>
      <c r="AY88" t="e">
        <f>AND(#REF!,"AAAAAD+v/DI=")</f>
        <v>#REF!</v>
      </c>
      <c r="AZ88" t="e">
        <f>AND(#REF!,"AAAAAD+v/DM=")</f>
        <v>#REF!</v>
      </c>
      <c r="BA88" t="e">
        <f>AND(#REF!,"AAAAAD+v/DQ=")</f>
        <v>#REF!</v>
      </c>
      <c r="BB88" t="e">
        <f>AND(#REF!,"AAAAAD+v/DU=")</f>
        <v>#REF!</v>
      </c>
      <c r="BC88" t="e">
        <f>AND(#REF!,"AAAAAD+v/DY=")</f>
        <v>#REF!</v>
      </c>
      <c r="BD88" t="e">
        <f>AND(#REF!,"AAAAAD+v/Dc=")</f>
        <v>#REF!</v>
      </c>
      <c r="BE88" t="e">
        <f>AND(#REF!,"AAAAAD+v/Dg=")</f>
        <v>#REF!</v>
      </c>
      <c r="BF88" t="e">
        <f>IF(#REF!,"AAAAAD+v/Dk=",0)</f>
        <v>#REF!</v>
      </c>
      <c r="BG88" t="e">
        <f>AND(#REF!,"AAAAAD+v/Do=")</f>
        <v>#REF!</v>
      </c>
      <c r="BH88" t="e">
        <f>AND(#REF!,"AAAAAD+v/Ds=")</f>
        <v>#REF!</v>
      </c>
      <c r="BI88" t="e">
        <f>AND(#REF!,"AAAAAD+v/Dw=")</f>
        <v>#REF!</v>
      </c>
      <c r="BJ88" t="e">
        <f>AND(#REF!,"AAAAAD+v/D0=")</f>
        <v>#REF!</v>
      </c>
      <c r="BK88" t="e">
        <f>AND(#REF!,"AAAAAD+v/D4=")</f>
        <v>#REF!</v>
      </c>
      <c r="BL88" t="e">
        <f>AND(#REF!,"AAAAAD+v/D8=")</f>
        <v>#REF!</v>
      </c>
      <c r="BM88" t="e">
        <f>AND(#REF!,"AAAAAD+v/EA=")</f>
        <v>#REF!</v>
      </c>
      <c r="BN88" t="e">
        <f>AND(#REF!,"AAAAAD+v/EE=")</f>
        <v>#REF!</v>
      </c>
      <c r="BO88" t="e">
        <f>IF(#REF!,"AAAAAD+v/EI=",0)</f>
        <v>#REF!</v>
      </c>
      <c r="BP88" t="e">
        <f>AND(#REF!,"AAAAAD+v/EM=")</f>
        <v>#REF!</v>
      </c>
      <c r="BQ88" t="e">
        <f>AND(#REF!,"AAAAAD+v/EQ=")</f>
        <v>#REF!</v>
      </c>
      <c r="BR88" t="e">
        <f>AND(#REF!,"AAAAAD+v/EU=")</f>
        <v>#REF!</v>
      </c>
      <c r="BS88" t="e">
        <f>AND(#REF!,"AAAAAD+v/EY=")</f>
        <v>#REF!</v>
      </c>
      <c r="BT88" t="e">
        <f>AND(#REF!,"AAAAAD+v/Ec=")</f>
        <v>#REF!</v>
      </c>
      <c r="BU88" t="e">
        <f>AND(#REF!,"AAAAAD+v/Eg=")</f>
        <v>#REF!</v>
      </c>
      <c r="BV88" t="e">
        <f>AND(#REF!,"AAAAAD+v/Ek=")</f>
        <v>#REF!</v>
      </c>
      <c r="BW88" t="e">
        <f>AND(#REF!,"AAAAAD+v/Eo=")</f>
        <v>#REF!</v>
      </c>
      <c r="BX88" t="e">
        <f>IF(#REF!,"AAAAAD+v/Es=",0)</f>
        <v>#REF!</v>
      </c>
      <c r="BY88" t="e">
        <f>AND(#REF!,"AAAAAD+v/Ew=")</f>
        <v>#REF!</v>
      </c>
      <c r="BZ88" t="e">
        <f>AND(#REF!,"AAAAAD+v/E0=")</f>
        <v>#REF!</v>
      </c>
      <c r="CA88" t="e">
        <f>AND(#REF!,"AAAAAD+v/E4=")</f>
        <v>#REF!</v>
      </c>
      <c r="CB88" t="e">
        <f>AND(#REF!,"AAAAAD+v/E8=")</f>
        <v>#REF!</v>
      </c>
      <c r="CC88" t="e">
        <f>AND(#REF!,"AAAAAD+v/FA=")</f>
        <v>#REF!</v>
      </c>
      <c r="CD88" t="e">
        <f>AND(#REF!,"AAAAAD+v/FE=")</f>
        <v>#REF!</v>
      </c>
      <c r="CE88" t="e">
        <f>AND(#REF!,"AAAAAD+v/FI=")</f>
        <v>#REF!</v>
      </c>
      <c r="CF88" t="e">
        <f>AND(#REF!,"AAAAAD+v/FM=")</f>
        <v>#REF!</v>
      </c>
      <c r="CG88" t="e">
        <f>IF(#REF!,"AAAAAD+v/FQ=",0)</f>
        <v>#REF!</v>
      </c>
      <c r="CH88" t="e">
        <f>AND(#REF!,"AAAAAD+v/FU=")</f>
        <v>#REF!</v>
      </c>
      <c r="CI88" t="e">
        <f>AND(#REF!,"AAAAAD+v/FY=")</f>
        <v>#REF!</v>
      </c>
      <c r="CJ88" t="e">
        <f>AND(#REF!,"AAAAAD+v/Fc=")</f>
        <v>#REF!</v>
      </c>
      <c r="CK88" t="e">
        <f>AND(#REF!,"AAAAAD+v/Fg=")</f>
        <v>#REF!</v>
      </c>
      <c r="CL88" t="e">
        <f>AND(#REF!,"AAAAAD+v/Fk=")</f>
        <v>#REF!</v>
      </c>
      <c r="CM88" t="e">
        <f>AND(#REF!,"AAAAAD+v/Fo=")</f>
        <v>#REF!</v>
      </c>
      <c r="CN88" t="e">
        <f>AND(#REF!,"AAAAAD+v/Fs=")</f>
        <v>#REF!</v>
      </c>
      <c r="CO88" t="e">
        <f>AND(#REF!,"AAAAAD+v/Fw=")</f>
        <v>#REF!</v>
      </c>
      <c r="CP88" t="e">
        <f>IF(#REF!,"AAAAAD+v/F0=",0)</f>
        <v>#REF!</v>
      </c>
      <c r="CQ88" t="e">
        <f>AND(#REF!,"AAAAAD+v/F4=")</f>
        <v>#REF!</v>
      </c>
      <c r="CR88" t="e">
        <f>AND(#REF!,"AAAAAD+v/F8=")</f>
        <v>#REF!</v>
      </c>
      <c r="CS88" t="e">
        <f>AND(#REF!,"AAAAAD+v/GA=")</f>
        <v>#REF!</v>
      </c>
      <c r="CT88" t="e">
        <f>AND(#REF!,"AAAAAD+v/GE=")</f>
        <v>#REF!</v>
      </c>
      <c r="CU88" t="e">
        <f>AND(#REF!,"AAAAAD+v/GI=")</f>
        <v>#REF!</v>
      </c>
      <c r="CV88" t="e">
        <f>AND(#REF!,"AAAAAD+v/GM=")</f>
        <v>#REF!</v>
      </c>
      <c r="CW88" t="e">
        <f>AND(#REF!,"AAAAAD+v/GQ=")</f>
        <v>#REF!</v>
      </c>
      <c r="CX88" t="e">
        <f>AND(#REF!,"AAAAAD+v/GU=")</f>
        <v>#REF!</v>
      </c>
      <c r="CY88" t="e">
        <f>IF(#REF!,"AAAAAD+v/GY=",0)</f>
        <v>#REF!</v>
      </c>
      <c r="CZ88" t="e">
        <f>AND(#REF!,"AAAAAD+v/Gc=")</f>
        <v>#REF!</v>
      </c>
      <c r="DA88" t="e">
        <f>AND(#REF!,"AAAAAD+v/Gg=")</f>
        <v>#REF!</v>
      </c>
      <c r="DB88" t="e">
        <f>AND(#REF!,"AAAAAD+v/Gk=")</f>
        <v>#REF!</v>
      </c>
      <c r="DC88" t="e">
        <f>AND(#REF!,"AAAAAD+v/Go=")</f>
        <v>#REF!</v>
      </c>
      <c r="DD88" t="e">
        <f>AND(#REF!,"AAAAAD+v/Gs=")</f>
        <v>#REF!</v>
      </c>
      <c r="DE88" t="e">
        <f>AND(#REF!,"AAAAAD+v/Gw=")</f>
        <v>#REF!</v>
      </c>
      <c r="DF88" t="e">
        <f>AND(#REF!,"AAAAAD+v/G0=")</f>
        <v>#REF!</v>
      </c>
      <c r="DG88" t="e">
        <f>AND(#REF!,"AAAAAD+v/G4=")</f>
        <v>#REF!</v>
      </c>
      <c r="DH88" t="e">
        <f>IF(#REF!,"AAAAAD+v/G8=",0)</f>
        <v>#REF!</v>
      </c>
      <c r="DI88" t="e">
        <f>AND(#REF!,"AAAAAD+v/HA=")</f>
        <v>#REF!</v>
      </c>
      <c r="DJ88" t="e">
        <f>AND(#REF!,"AAAAAD+v/HE=")</f>
        <v>#REF!</v>
      </c>
      <c r="DK88" t="e">
        <f>AND(#REF!,"AAAAAD+v/HI=")</f>
        <v>#REF!</v>
      </c>
      <c r="DL88" t="e">
        <f>AND(#REF!,"AAAAAD+v/HM=")</f>
        <v>#REF!</v>
      </c>
      <c r="DM88" t="e">
        <f>AND(#REF!,"AAAAAD+v/HQ=")</f>
        <v>#REF!</v>
      </c>
      <c r="DN88" t="e">
        <f>AND(#REF!,"AAAAAD+v/HU=")</f>
        <v>#REF!</v>
      </c>
      <c r="DO88" t="e">
        <f>AND(#REF!,"AAAAAD+v/HY=")</f>
        <v>#REF!</v>
      </c>
      <c r="DP88" t="e">
        <f>AND(#REF!,"AAAAAD+v/Hc=")</f>
        <v>#REF!</v>
      </c>
      <c r="DQ88" t="e">
        <f>IF(#REF!,"AAAAAD+v/Hg=",0)</f>
        <v>#REF!</v>
      </c>
      <c r="DR88" t="e">
        <f>AND(#REF!,"AAAAAD+v/Hk=")</f>
        <v>#REF!</v>
      </c>
      <c r="DS88" t="e">
        <f>AND(#REF!,"AAAAAD+v/Ho=")</f>
        <v>#REF!</v>
      </c>
      <c r="DT88" t="e">
        <f>AND(#REF!,"AAAAAD+v/Hs=")</f>
        <v>#REF!</v>
      </c>
      <c r="DU88" t="e">
        <f>AND(#REF!,"AAAAAD+v/Hw=")</f>
        <v>#REF!</v>
      </c>
      <c r="DV88" t="e">
        <f>AND(#REF!,"AAAAAD+v/H0=")</f>
        <v>#REF!</v>
      </c>
      <c r="DW88" t="e">
        <f>AND(#REF!,"AAAAAD+v/H4=")</f>
        <v>#REF!</v>
      </c>
      <c r="DX88" t="e">
        <f>AND(#REF!,"AAAAAD+v/H8=")</f>
        <v>#REF!</v>
      </c>
      <c r="DY88" t="e">
        <f>AND(#REF!,"AAAAAD+v/IA=")</f>
        <v>#REF!</v>
      </c>
      <c r="DZ88" t="e">
        <f>IF(#REF!,"AAAAAD+v/IE=",0)</f>
        <v>#REF!</v>
      </c>
      <c r="EA88" t="e">
        <f>AND(#REF!,"AAAAAD+v/II=")</f>
        <v>#REF!</v>
      </c>
      <c r="EB88" t="e">
        <f>AND(#REF!,"AAAAAD+v/IM=")</f>
        <v>#REF!</v>
      </c>
      <c r="EC88" t="e">
        <f>AND(#REF!,"AAAAAD+v/IQ=")</f>
        <v>#REF!</v>
      </c>
      <c r="ED88" t="e">
        <f>AND(#REF!,"AAAAAD+v/IU=")</f>
        <v>#REF!</v>
      </c>
      <c r="EE88" t="e">
        <f>AND(#REF!,"AAAAAD+v/IY=")</f>
        <v>#REF!</v>
      </c>
      <c r="EF88" t="e">
        <f>AND(#REF!,"AAAAAD+v/Ic=")</f>
        <v>#REF!</v>
      </c>
      <c r="EG88" t="e">
        <f>AND(#REF!,"AAAAAD+v/Ig=")</f>
        <v>#REF!</v>
      </c>
      <c r="EH88" t="e">
        <f>AND(#REF!,"AAAAAD+v/Ik=")</f>
        <v>#REF!</v>
      </c>
      <c r="EI88" t="e">
        <f>IF(#REF!,"AAAAAD+v/Io=",0)</f>
        <v>#REF!</v>
      </c>
      <c r="EJ88" t="e">
        <f>AND(#REF!,"AAAAAD+v/Is=")</f>
        <v>#REF!</v>
      </c>
      <c r="EK88" t="e">
        <f>AND(#REF!,"AAAAAD+v/Iw=")</f>
        <v>#REF!</v>
      </c>
      <c r="EL88" t="e">
        <f>AND(#REF!,"AAAAAD+v/I0=")</f>
        <v>#REF!</v>
      </c>
      <c r="EM88" t="e">
        <f>AND(#REF!,"AAAAAD+v/I4=")</f>
        <v>#REF!</v>
      </c>
      <c r="EN88" t="e">
        <f>AND(#REF!,"AAAAAD+v/I8=")</f>
        <v>#REF!</v>
      </c>
      <c r="EO88" t="e">
        <f>AND(#REF!,"AAAAAD+v/JA=")</f>
        <v>#REF!</v>
      </c>
      <c r="EP88" t="e">
        <f>AND(#REF!,"AAAAAD+v/JE=")</f>
        <v>#REF!</v>
      </c>
      <c r="EQ88" t="e">
        <f>AND(#REF!,"AAAAAD+v/JI=")</f>
        <v>#REF!</v>
      </c>
      <c r="ER88" t="e">
        <f>IF(#REF!,"AAAAAD+v/JM=",0)</f>
        <v>#REF!</v>
      </c>
      <c r="ES88" t="e">
        <f>AND(#REF!,"AAAAAD+v/JQ=")</f>
        <v>#REF!</v>
      </c>
      <c r="ET88" t="e">
        <f>AND(#REF!,"AAAAAD+v/JU=")</f>
        <v>#REF!</v>
      </c>
      <c r="EU88" t="e">
        <f>AND(#REF!,"AAAAAD+v/JY=")</f>
        <v>#REF!</v>
      </c>
      <c r="EV88" t="e">
        <f>AND(#REF!,"AAAAAD+v/Jc=")</f>
        <v>#REF!</v>
      </c>
      <c r="EW88" t="e">
        <f>AND(#REF!,"AAAAAD+v/Jg=")</f>
        <v>#REF!</v>
      </c>
      <c r="EX88" t="e">
        <f>AND(#REF!,"AAAAAD+v/Jk=")</f>
        <v>#REF!</v>
      </c>
      <c r="EY88" t="e">
        <f>AND(#REF!,"AAAAAD+v/Jo=")</f>
        <v>#REF!</v>
      </c>
      <c r="EZ88" t="e">
        <f>AND(#REF!,"AAAAAD+v/Js=")</f>
        <v>#REF!</v>
      </c>
      <c r="FA88" t="e">
        <f>IF(#REF!,"AAAAAD+v/Jw=",0)</f>
        <v>#REF!</v>
      </c>
      <c r="FB88" t="e">
        <f>AND(#REF!,"AAAAAD+v/J0=")</f>
        <v>#REF!</v>
      </c>
      <c r="FC88" t="e">
        <f>AND(#REF!,"AAAAAD+v/J4=")</f>
        <v>#REF!</v>
      </c>
      <c r="FD88" t="e">
        <f>AND(#REF!,"AAAAAD+v/J8=")</f>
        <v>#REF!</v>
      </c>
      <c r="FE88" t="e">
        <f>AND(#REF!,"AAAAAD+v/KA=")</f>
        <v>#REF!</v>
      </c>
      <c r="FF88" t="e">
        <f>AND(#REF!,"AAAAAD+v/KE=")</f>
        <v>#REF!</v>
      </c>
      <c r="FG88" t="e">
        <f>AND(#REF!,"AAAAAD+v/KI=")</f>
        <v>#REF!</v>
      </c>
      <c r="FH88" t="e">
        <f>AND(#REF!,"AAAAAD+v/KM=")</f>
        <v>#REF!</v>
      </c>
      <c r="FI88" t="e">
        <f>AND(#REF!,"AAAAAD+v/KQ=")</f>
        <v>#REF!</v>
      </c>
      <c r="FJ88" t="e">
        <f>IF(#REF!,"AAAAAD+v/KU=",0)</f>
        <v>#REF!</v>
      </c>
      <c r="FK88" t="e">
        <f>AND(#REF!,"AAAAAD+v/KY=")</f>
        <v>#REF!</v>
      </c>
      <c r="FL88" t="e">
        <f>AND(#REF!,"AAAAAD+v/Kc=")</f>
        <v>#REF!</v>
      </c>
      <c r="FM88" t="e">
        <f>AND(#REF!,"AAAAAD+v/Kg=")</f>
        <v>#REF!</v>
      </c>
      <c r="FN88" t="e">
        <f>AND(#REF!,"AAAAAD+v/Kk=")</f>
        <v>#REF!</v>
      </c>
      <c r="FO88" t="e">
        <f>AND(#REF!,"AAAAAD+v/Ko=")</f>
        <v>#REF!</v>
      </c>
      <c r="FP88" t="e">
        <f>AND(#REF!,"AAAAAD+v/Ks=")</f>
        <v>#REF!</v>
      </c>
      <c r="FQ88" t="e">
        <f>AND(#REF!,"AAAAAD+v/Kw=")</f>
        <v>#REF!</v>
      </c>
      <c r="FR88" t="e">
        <f>AND(#REF!,"AAAAAD+v/K0=")</f>
        <v>#REF!</v>
      </c>
      <c r="FS88" t="e">
        <f>IF(#REF!,"AAAAAD+v/K4=",0)</f>
        <v>#REF!</v>
      </c>
      <c r="FT88" t="e">
        <f>AND(#REF!,"AAAAAD+v/K8=")</f>
        <v>#REF!</v>
      </c>
      <c r="FU88" t="e">
        <f>AND(#REF!,"AAAAAD+v/LA=")</f>
        <v>#REF!</v>
      </c>
      <c r="FV88" t="e">
        <f>AND(#REF!,"AAAAAD+v/LE=")</f>
        <v>#REF!</v>
      </c>
      <c r="FW88" t="e">
        <f>AND(#REF!,"AAAAAD+v/LI=")</f>
        <v>#REF!</v>
      </c>
      <c r="FX88" t="e">
        <f>AND(#REF!,"AAAAAD+v/LM=")</f>
        <v>#REF!</v>
      </c>
      <c r="FY88" t="e">
        <f>AND(#REF!,"AAAAAD+v/LQ=")</f>
        <v>#REF!</v>
      </c>
      <c r="FZ88" t="e">
        <f>AND(#REF!,"AAAAAD+v/LU=")</f>
        <v>#REF!</v>
      </c>
      <c r="GA88" t="e">
        <f>AND(#REF!,"AAAAAD+v/LY=")</f>
        <v>#REF!</v>
      </c>
      <c r="GB88" t="e">
        <f>IF(#REF!,"AAAAAD+v/Lc=",0)</f>
        <v>#REF!</v>
      </c>
      <c r="GC88" t="e">
        <f>AND(#REF!,"AAAAAD+v/Lg=")</f>
        <v>#REF!</v>
      </c>
      <c r="GD88" t="e">
        <f>AND(#REF!,"AAAAAD+v/Lk=")</f>
        <v>#REF!</v>
      </c>
      <c r="GE88" t="e">
        <f>AND(#REF!,"AAAAAD+v/Lo=")</f>
        <v>#REF!</v>
      </c>
      <c r="GF88" t="e">
        <f>AND(#REF!,"AAAAAD+v/Ls=")</f>
        <v>#REF!</v>
      </c>
      <c r="GG88" t="e">
        <f>AND(#REF!,"AAAAAD+v/Lw=")</f>
        <v>#REF!</v>
      </c>
      <c r="GH88" t="e">
        <f>AND(#REF!,"AAAAAD+v/L0=")</f>
        <v>#REF!</v>
      </c>
      <c r="GI88" t="e">
        <f>AND(#REF!,"AAAAAD+v/L4=")</f>
        <v>#REF!</v>
      </c>
      <c r="GJ88" t="e">
        <f>AND(#REF!,"AAAAAD+v/L8=")</f>
        <v>#REF!</v>
      </c>
      <c r="GK88" t="e">
        <f>IF(#REF!,"AAAAAD+v/MA=",0)</f>
        <v>#REF!</v>
      </c>
      <c r="GL88" t="e">
        <f>AND(#REF!,"AAAAAD+v/ME=")</f>
        <v>#REF!</v>
      </c>
      <c r="GM88" t="e">
        <f>AND(#REF!,"AAAAAD+v/MI=")</f>
        <v>#REF!</v>
      </c>
      <c r="GN88" t="e">
        <f>AND(#REF!,"AAAAAD+v/MM=")</f>
        <v>#REF!</v>
      </c>
      <c r="GO88" t="e">
        <f>AND(#REF!,"AAAAAD+v/MQ=")</f>
        <v>#REF!</v>
      </c>
      <c r="GP88" t="e">
        <f>AND(#REF!,"AAAAAD+v/MU=")</f>
        <v>#REF!</v>
      </c>
      <c r="GQ88" t="e">
        <f>AND(#REF!,"AAAAAD+v/MY=")</f>
        <v>#REF!</v>
      </c>
      <c r="GR88" t="e">
        <f>AND(#REF!,"AAAAAD+v/Mc=")</f>
        <v>#REF!</v>
      </c>
      <c r="GS88" t="e">
        <f>AND(#REF!,"AAAAAD+v/Mg=")</f>
        <v>#REF!</v>
      </c>
      <c r="GT88" t="e">
        <f>IF(#REF!,"AAAAAD+v/Mk=",0)</f>
        <v>#REF!</v>
      </c>
      <c r="GU88" t="e">
        <f>AND(#REF!,"AAAAAD+v/Mo=")</f>
        <v>#REF!</v>
      </c>
      <c r="GV88" t="e">
        <f>AND(#REF!,"AAAAAD+v/Ms=")</f>
        <v>#REF!</v>
      </c>
      <c r="GW88" t="e">
        <f>AND(#REF!,"AAAAAD+v/Mw=")</f>
        <v>#REF!</v>
      </c>
      <c r="GX88" t="e">
        <f>AND(#REF!,"AAAAAD+v/M0=")</f>
        <v>#REF!</v>
      </c>
      <c r="GY88" t="e">
        <f>AND(#REF!,"AAAAAD+v/M4=")</f>
        <v>#REF!</v>
      </c>
      <c r="GZ88" t="e">
        <f>AND(#REF!,"AAAAAD+v/M8=")</f>
        <v>#REF!</v>
      </c>
      <c r="HA88" t="e">
        <f>AND(#REF!,"AAAAAD+v/NA=")</f>
        <v>#REF!</v>
      </c>
      <c r="HB88" t="e">
        <f>AND(#REF!,"AAAAAD+v/NE=")</f>
        <v>#REF!</v>
      </c>
      <c r="HC88" t="e">
        <f>IF(#REF!,"AAAAAD+v/NI=",0)</f>
        <v>#REF!</v>
      </c>
      <c r="HD88" t="e">
        <f>AND(#REF!,"AAAAAD+v/NM=")</f>
        <v>#REF!</v>
      </c>
      <c r="HE88" t="e">
        <f>AND(#REF!,"AAAAAD+v/NQ=")</f>
        <v>#REF!</v>
      </c>
      <c r="HF88" t="e">
        <f>AND(#REF!,"AAAAAD+v/NU=")</f>
        <v>#REF!</v>
      </c>
      <c r="HG88" t="e">
        <f>AND(#REF!,"AAAAAD+v/NY=")</f>
        <v>#REF!</v>
      </c>
      <c r="HH88" t="e">
        <f>AND(#REF!,"AAAAAD+v/Nc=")</f>
        <v>#REF!</v>
      </c>
      <c r="HI88" t="e">
        <f>AND(#REF!,"AAAAAD+v/Ng=")</f>
        <v>#REF!</v>
      </c>
      <c r="HJ88" t="e">
        <f>AND(#REF!,"AAAAAD+v/Nk=")</f>
        <v>#REF!</v>
      </c>
      <c r="HK88" t="e">
        <f>AND(#REF!,"AAAAAD+v/No=")</f>
        <v>#REF!</v>
      </c>
      <c r="HL88" t="e">
        <f>IF(#REF!,"AAAAAD+v/Ns=",0)</f>
        <v>#REF!</v>
      </c>
      <c r="HM88" t="e">
        <f>AND(#REF!,"AAAAAD+v/Nw=")</f>
        <v>#REF!</v>
      </c>
      <c r="HN88" t="e">
        <f>AND(#REF!,"AAAAAD+v/N0=")</f>
        <v>#REF!</v>
      </c>
      <c r="HO88" t="e">
        <f>AND(#REF!,"AAAAAD+v/N4=")</f>
        <v>#REF!</v>
      </c>
      <c r="HP88" t="e">
        <f>AND(#REF!,"AAAAAD+v/N8=")</f>
        <v>#REF!</v>
      </c>
      <c r="HQ88" t="e">
        <f>AND(#REF!,"AAAAAD+v/OA=")</f>
        <v>#REF!</v>
      </c>
      <c r="HR88" t="e">
        <f>AND(#REF!,"AAAAAD+v/OE=")</f>
        <v>#REF!</v>
      </c>
      <c r="HS88" t="e">
        <f>AND(#REF!,"AAAAAD+v/OI=")</f>
        <v>#REF!</v>
      </c>
      <c r="HT88" t="e">
        <f>AND(#REF!,"AAAAAD+v/OM=")</f>
        <v>#REF!</v>
      </c>
      <c r="HU88" t="e">
        <f>IF(#REF!,"AAAAAD+v/OQ=",0)</f>
        <v>#REF!</v>
      </c>
      <c r="HV88" t="e">
        <f>AND(#REF!,"AAAAAD+v/OU=")</f>
        <v>#REF!</v>
      </c>
      <c r="HW88" t="e">
        <f>AND(#REF!,"AAAAAD+v/OY=")</f>
        <v>#REF!</v>
      </c>
      <c r="HX88" t="e">
        <f>AND(#REF!,"AAAAAD+v/Oc=")</f>
        <v>#REF!</v>
      </c>
      <c r="HY88" t="e">
        <f>AND(#REF!,"AAAAAD+v/Og=")</f>
        <v>#REF!</v>
      </c>
      <c r="HZ88" t="e">
        <f>AND(#REF!,"AAAAAD+v/Ok=")</f>
        <v>#REF!</v>
      </c>
      <c r="IA88" t="e">
        <f>AND(#REF!,"AAAAAD+v/Oo=")</f>
        <v>#REF!</v>
      </c>
      <c r="IB88" t="e">
        <f>AND(#REF!,"AAAAAD+v/Os=")</f>
        <v>#REF!</v>
      </c>
      <c r="IC88" t="e">
        <f>AND(#REF!,"AAAAAD+v/Ow=")</f>
        <v>#REF!</v>
      </c>
      <c r="ID88" t="e">
        <f>IF(#REF!,"AAAAAD+v/O0=",0)</f>
        <v>#REF!</v>
      </c>
      <c r="IE88" t="e">
        <f>AND(#REF!,"AAAAAD+v/O4=")</f>
        <v>#REF!</v>
      </c>
      <c r="IF88" t="e">
        <f>AND(#REF!,"AAAAAD+v/O8=")</f>
        <v>#REF!</v>
      </c>
      <c r="IG88" t="e">
        <f>AND(#REF!,"AAAAAD+v/PA=")</f>
        <v>#REF!</v>
      </c>
      <c r="IH88" t="e">
        <f>AND(#REF!,"AAAAAD+v/PE=")</f>
        <v>#REF!</v>
      </c>
      <c r="II88" t="e">
        <f>AND(#REF!,"AAAAAD+v/PI=")</f>
        <v>#REF!</v>
      </c>
      <c r="IJ88" t="e">
        <f>AND(#REF!,"AAAAAD+v/PM=")</f>
        <v>#REF!</v>
      </c>
      <c r="IK88" t="e">
        <f>AND(#REF!,"AAAAAD+v/PQ=")</f>
        <v>#REF!</v>
      </c>
      <c r="IL88" t="e">
        <f>AND(#REF!,"AAAAAD+v/PU=")</f>
        <v>#REF!</v>
      </c>
      <c r="IM88" t="e">
        <f>IF(#REF!,"AAAAAD+v/PY=",0)</f>
        <v>#REF!</v>
      </c>
      <c r="IN88" t="e">
        <f>AND(#REF!,"AAAAAD+v/Pc=")</f>
        <v>#REF!</v>
      </c>
      <c r="IO88" t="e">
        <f>AND(#REF!,"AAAAAD+v/Pg=")</f>
        <v>#REF!</v>
      </c>
      <c r="IP88" t="e">
        <f>AND(#REF!,"AAAAAD+v/Pk=")</f>
        <v>#REF!</v>
      </c>
      <c r="IQ88" t="e">
        <f>AND(#REF!,"AAAAAD+v/Po=")</f>
        <v>#REF!</v>
      </c>
      <c r="IR88" t="e">
        <f>AND(#REF!,"AAAAAD+v/Ps=")</f>
        <v>#REF!</v>
      </c>
      <c r="IS88" t="e">
        <f>AND(#REF!,"AAAAAD+v/Pw=")</f>
        <v>#REF!</v>
      </c>
      <c r="IT88" t="e">
        <f>AND(#REF!,"AAAAAD+v/P0=")</f>
        <v>#REF!</v>
      </c>
      <c r="IU88" t="e">
        <f>AND(#REF!,"AAAAAD+v/P4=")</f>
        <v>#REF!</v>
      </c>
      <c r="IV88" t="e">
        <f>IF(#REF!,"AAAAAD+v/P8=",0)</f>
        <v>#REF!</v>
      </c>
    </row>
    <row r="89" spans="1:256" x14ac:dyDescent="0.25">
      <c r="A89" t="e">
        <f>AND(#REF!,"AAAAAG9v/wA=")</f>
        <v>#REF!</v>
      </c>
      <c r="B89" t="e">
        <f>AND(#REF!,"AAAAAG9v/wE=")</f>
        <v>#REF!</v>
      </c>
      <c r="C89" t="e">
        <f>AND(#REF!,"AAAAAG9v/wI=")</f>
        <v>#REF!</v>
      </c>
      <c r="D89" t="e">
        <f>AND(#REF!,"AAAAAG9v/wM=")</f>
        <v>#REF!</v>
      </c>
      <c r="E89" t="e">
        <f>AND(#REF!,"AAAAAG9v/wQ=")</f>
        <v>#REF!</v>
      </c>
      <c r="F89" t="e">
        <f>AND(#REF!,"AAAAAG9v/wU=")</f>
        <v>#REF!</v>
      </c>
      <c r="G89" t="e">
        <f>AND(#REF!,"AAAAAG9v/wY=")</f>
        <v>#REF!</v>
      </c>
      <c r="H89" t="e">
        <f>AND(#REF!,"AAAAAG9v/wc=")</f>
        <v>#REF!</v>
      </c>
      <c r="I89" t="e">
        <f>IF(#REF!,"AAAAAG9v/wg=",0)</f>
        <v>#REF!</v>
      </c>
      <c r="J89" t="e">
        <f>AND(#REF!,"AAAAAG9v/wk=")</f>
        <v>#REF!</v>
      </c>
      <c r="K89" t="e">
        <f>AND(#REF!,"AAAAAG9v/wo=")</f>
        <v>#REF!</v>
      </c>
      <c r="L89" t="e">
        <f>AND(#REF!,"AAAAAG9v/ws=")</f>
        <v>#REF!</v>
      </c>
      <c r="M89" t="e">
        <f>AND(#REF!,"AAAAAG9v/ww=")</f>
        <v>#REF!</v>
      </c>
      <c r="N89" t="e">
        <f>AND(#REF!,"AAAAAG9v/w0=")</f>
        <v>#REF!</v>
      </c>
      <c r="O89" t="e">
        <f>AND(#REF!,"AAAAAG9v/w4=")</f>
        <v>#REF!</v>
      </c>
      <c r="P89" t="e">
        <f>AND(#REF!,"AAAAAG9v/w8=")</f>
        <v>#REF!</v>
      </c>
      <c r="Q89" t="e">
        <f>AND(#REF!,"AAAAAG9v/xA=")</f>
        <v>#REF!</v>
      </c>
      <c r="R89" t="e">
        <f>IF(#REF!,"AAAAAG9v/xE=",0)</f>
        <v>#REF!</v>
      </c>
      <c r="S89" t="e">
        <f>AND(#REF!,"AAAAAG9v/xI=")</f>
        <v>#REF!</v>
      </c>
      <c r="T89" t="e">
        <f>AND(#REF!,"AAAAAG9v/xM=")</f>
        <v>#REF!</v>
      </c>
      <c r="U89" t="e">
        <f>AND(#REF!,"AAAAAG9v/xQ=")</f>
        <v>#REF!</v>
      </c>
      <c r="V89" t="e">
        <f>AND(#REF!,"AAAAAG9v/xU=")</f>
        <v>#REF!</v>
      </c>
      <c r="W89" t="e">
        <f>AND(#REF!,"AAAAAG9v/xY=")</f>
        <v>#REF!</v>
      </c>
      <c r="X89" t="e">
        <f>AND(#REF!,"AAAAAG9v/xc=")</f>
        <v>#REF!</v>
      </c>
      <c r="Y89" t="e">
        <f>AND(#REF!,"AAAAAG9v/xg=")</f>
        <v>#REF!</v>
      </c>
      <c r="Z89" t="e">
        <f>AND(#REF!,"AAAAAG9v/xk=")</f>
        <v>#REF!</v>
      </c>
      <c r="AA89" t="e">
        <f>IF(#REF!,"AAAAAG9v/xo=",0)</f>
        <v>#REF!</v>
      </c>
      <c r="AB89" t="e">
        <f>AND(#REF!,"AAAAAG9v/xs=")</f>
        <v>#REF!</v>
      </c>
      <c r="AC89" t="e">
        <f>AND(#REF!,"AAAAAG9v/xw=")</f>
        <v>#REF!</v>
      </c>
      <c r="AD89" t="e">
        <f>AND(#REF!,"AAAAAG9v/x0=")</f>
        <v>#REF!</v>
      </c>
      <c r="AE89" t="e">
        <f>AND(#REF!,"AAAAAG9v/x4=")</f>
        <v>#REF!</v>
      </c>
      <c r="AF89" t="e">
        <f>AND(#REF!,"AAAAAG9v/x8=")</f>
        <v>#REF!</v>
      </c>
      <c r="AG89" t="e">
        <f>AND(#REF!,"AAAAAG9v/yA=")</f>
        <v>#REF!</v>
      </c>
      <c r="AH89" t="e">
        <f>AND(#REF!,"AAAAAG9v/yE=")</f>
        <v>#REF!</v>
      </c>
      <c r="AI89" t="e">
        <f>AND(#REF!,"AAAAAG9v/yI=")</f>
        <v>#REF!</v>
      </c>
      <c r="AJ89" t="e">
        <f>IF(#REF!,"AAAAAG9v/yM=",0)</f>
        <v>#REF!</v>
      </c>
      <c r="AK89" t="e">
        <f>AND(#REF!,"AAAAAG9v/yQ=")</f>
        <v>#REF!</v>
      </c>
      <c r="AL89" t="e">
        <f>AND(#REF!,"AAAAAG9v/yU=")</f>
        <v>#REF!</v>
      </c>
      <c r="AM89" t="e">
        <f>AND(#REF!,"AAAAAG9v/yY=")</f>
        <v>#REF!</v>
      </c>
      <c r="AN89" t="e">
        <f>AND(#REF!,"AAAAAG9v/yc=")</f>
        <v>#REF!</v>
      </c>
      <c r="AO89" t="e">
        <f>AND(#REF!,"AAAAAG9v/yg=")</f>
        <v>#REF!</v>
      </c>
      <c r="AP89" t="e">
        <f>AND(#REF!,"AAAAAG9v/yk=")</f>
        <v>#REF!</v>
      </c>
      <c r="AQ89" t="e">
        <f>AND(#REF!,"AAAAAG9v/yo=")</f>
        <v>#REF!</v>
      </c>
      <c r="AR89" t="e">
        <f>AND(#REF!,"AAAAAG9v/ys=")</f>
        <v>#REF!</v>
      </c>
      <c r="AS89" t="e">
        <f>IF(#REF!,"AAAAAG9v/yw=",0)</f>
        <v>#REF!</v>
      </c>
      <c r="AT89" t="e">
        <f>AND(#REF!,"AAAAAG9v/y0=")</f>
        <v>#REF!</v>
      </c>
      <c r="AU89" t="e">
        <f>AND(#REF!,"AAAAAG9v/y4=")</f>
        <v>#REF!</v>
      </c>
      <c r="AV89" t="e">
        <f>AND(#REF!,"AAAAAG9v/y8=")</f>
        <v>#REF!</v>
      </c>
      <c r="AW89" t="e">
        <f>AND(#REF!,"AAAAAG9v/zA=")</f>
        <v>#REF!</v>
      </c>
      <c r="AX89" t="e">
        <f>AND(#REF!,"AAAAAG9v/zE=")</f>
        <v>#REF!</v>
      </c>
      <c r="AY89" t="e">
        <f>AND(#REF!,"AAAAAG9v/zI=")</f>
        <v>#REF!</v>
      </c>
      <c r="AZ89" t="e">
        <f>AND(#REF!,"AAAAAG9v/zM=")</f>
        <v>#REF!</v>
      </c>
      <c r="BA89" t="e">
        <f>AND(#REF!,"AAAAAG9v/zQ=")</f>
        <v>#REF!</v>
      </c>
      <c r="BB89" t="e">
        <f>IF(#REF!,"AAAAAG9v/zU=",0)</f>
        <v>#REF!</v>
      </c>
      <c r="BC89" t="e">
        <f>AND(#REF!,"AAAAAG9v/zY=")</f>
        <v>#REF!</v>
      </c>
      <c r="BD89" t="e">
        <f>AND(#REF!,"AAAAAG9v/zc=")</f>
        <v>#REF!</v>
      </c>
      <c r="BE89" t="e">
        <f>AND(#REF!,"AAAAAG9v/zg=")</f>
        <v>#REF!</v>
      </c>
      <c r="BF89" t="e">
        <f>AND(#REF!,"AAAAAG9v/zk=")</f>
        <v>#REF!</v>
      </c>
      <c r="BG89" t="e">
        <f>AND(#REF!,"AAAAAG9v/zo=")</f>
        <v>#REF!</v>
      </c>
      <c r="BH89" t="e">
        <f>AND(#REF!,"AAAAAG9v/zs=")</f>
        <v>#REF!</v>
      </c>
      <c r="BI89" t="e">
        <f>AND(#REF!,"AAAAAG9v/zw=")</f>
        <v>#REF!</v>
      </c>
      <c r="BJ89" t="e">
        <f>AND(#REF!,"AAAAAG9v/z0=")</f>
        <v>#REF!</v>
      </c>
      <c r="BK89" t="e">
        <f>IF(#REF!,"AAAAAG9v/z4=",0)</f>
        <v>#REF!</v>
      </c>
      <c r="BL89" t="e">
        <f>AND(#REF!,"AAAAAG9v/z8=")</f>
        <v>#REF!</v>
      </c>
      <c r="BM89" t="e">
        <f>AND(#REF!,"AAAAAG9v/0A=")</f>
        <v>#REF!</v>
      </c>
      <c r="BN89" t="e">
        <f>AND(#REF!,"AAAAAG9v/0E=")</f>
        <v>#REF!</v>
      </c>
      <c r="BO89" t="e">
        <f>AND(#REF!,"AAAAAG9v/0I=")</f>
        <v>#REF!</v>
      </c>
      <c r="BP89" t="e">
        <f>AND(#REF!,"AAAAAG9v/0M=")</f>
        <v>#REF!</v>
      </c>
      <c r="BQ89" t="e">
        <f>AND(#REF!,"AAAAAG9v/0Q=")</f>
        <v>#REF!</v>
      </c>
      <c r="BR89" t="e">
        <f>AND(#REF!,"AAAAAG9v/0U=")</f>
        <v>#REF!</v>
      </c>
      <c r="BS89" t="e">
        <f>AND(#REF!,"AAAAAG9v/0Y=")</f>
        <v>#REF!</v>
      </c>
      <c r="BT89" t="e">
        <f>IF(#REF!,"AAAAAG9v/0c=",0)</f>
        <v>#REF!</v>
      </c>
      <c r="BU89" t="e">
        <f>AND(#REF!,"AAAAAG9v/0g=")</f>
        <v>#REF!</v>
      </c>
      <c r="BV89" t="e">
        <f>AND(#REF!,"AAAAAG9v/0k=")</f>
        <v>#REF!</v>
      </c>
      <c r="BW89" t="e">
        <f>AND(#REF!,"AAAAAG9v/0o=")</f>
        <v>#REF!</v>
      </c>
      <c r="BX89" t="e">
        <f>AND(#REF!,"AAAAAG9v/0s=")</f>
        <v>#REF!</v>
      </c>
      <c r="BY89" t="e">
        <f>AND(#REF!,"AAAAAG9v/0w=")</f>
        <v>#REF!</v>
      </c>
      <c r="BZ89" t="e">
        <f>AND(#REF!,"AAAAAG9v/00=")</f>
        <v>#REF!</v>
      </c>
      <c r="CA89" t="e">
        <f>AND(#REF!,"AAAAAG9v/04=")</f>
        <v>#REF!</v>
      </c>
      <c r="CB89" t="e">
        <f>AND(#REF!,"AAAAAG9v/08=")</f>
        <v>#REF!</v>
      </c>
      <c r="CC89" t="e">
        <f>IF(#REF!,"AAAAAG9v/1A=",0)</f>
        <v>#REF!</v>
      </c>
      <c r="CD89" t="e">
        <f>AND(#REF!,"AAAAAG9v/1E=")</f>
        <v>#REF!</v>
      </c>
      <c r="CE89" t="e">
        <f>AND(#REF!,"AAAAAG9v/1I=")</f>
        <v>#REF!</v>
      </c>
      <c r="CF89" t="e">
        <f>AND(#REF!,"AAAAAG9v/1M=")</f>
        <v>#REF!</v>
      </c>
      <c r="CG89" t="e">
        <f>AND(#REF!,"AAAAAG9v/1Q=")</f>
        <v>#REF!</v>
      </c>
      <c r="CH89" t="e">
        <f>AND(#REF!,"AAAAAG9v/1U=")</f>
        <v>#REF!</v>
      </c>
      <c r="CI89" t="e">
        <f>AND(#REF!,"AAAAAG9v/1Y=")</f>
        <v>#REF!</v>
      </c>
      <c r="CJ89" t="e">
        <f>AND(#REF!,"AAAAAG9v/1c=")</f>
        <v>#REF!</v>
      </c>
      <c r="CK89" t="e">
        <f>AND(#REF!,"AAAAAG9v/1g=")</f>
        <v>#REF!</v>
      </c>
      <c r="CL89" t="e">
        <f>IF(#REF!,"AAAAAG9v/1k=",0)</f>
        <v>#REF!</v>
      </c>
      <c r="CM89" t="e">
        <f>AND(#REF!,"AAAAAG9v/1o=")</f>
        <v>#REF!</v>
      </c>
      <c r="CN89" t="e">
        <f>AND(#REF!,"AAAAAG9v/1s=")</f>
        <v>#REF!</v>
      </c>
      <c r="CO89" t="e">
        <f>AND(#REF!,"AAAAAG9v/1w=")</f>
        <v>#REF!</v>
      </c>
      <c r="CP89" t="e">
        <f>AND(#REF!,"AAAAAG9v/10=")</f>
        <v>#REF!</v>
      </c>
      <c r="CQ89" t="e">
        <f>AND(#REF!,"AAAAAG9v/14=")</f>
        <v>#REF!</v>
      </c>
      <c r="CR89" t="e">
        <f>AND(#REF!,"AAAAAG9v/18=")</f>
        <v>#REF!</v>
      </c>
      <c r="CS89" t="e">
        <f>AND(#REF!,"AAAAAG9v/2A=")</f>
        <v>#REF!</v>
      </c>
      <c r="CT89" t="e">
        <f>AND(#REF!,"AAAAAG9v/2E=")</f>
        <v>#REF!</v>
      </c>
      <c r="CU89" t="e">
        <f>IF(#REF!,"AAAAAG9v/2I=",0)</f>
        <v>#REF!</v>
      </c>
      <c r="CV89" t="e">
        <f>AND(#REF!,"AAAAAG9v/2M=")</f>
        <v>#REF!</v>
      </c>
      <c r="CW89" t="e">
        <f>AND(#REF!,"AAAAAG9v/2Q=")</f>
        <v>#REF!</v>
      </c>
      <c r="CX89" t="e">
        <f>AND(#REF!,"AAAAAG9v/2U=")</f>
        <v>#REF!</v>
      </c>
      <c r="CY89" t="e">
        <f>AND(#REF!,"AAAAAG9v/2Y=")</f>
        <v>#REF!</v>
      </c>
      <c r="CZ89" t="e">
        <f>AND(#REF!,"AAAAAG9v/2c=")</f>
        <v>#REF!</v>
      </c>
      <c r="DA89" t="e">
        <f>AND(#REF!,"AAAAAG9v/2g=")</f>
        <v>#REF!</v>
      </c>
      <c r="DB89" t="e">
        <f>AND(#REF!,"AAAAAG9v/2k=")</f>
        <v>#REF!</v>
      </c>
      <c r="DC89" t="e">
        <f>AND(#REF!,"AAAAAG9v/2o=")</f>
        <v>#REF!</v>
      </c>
      <c r="DD89" t="e">
        <f>IF(#REF!,"AAAAAG9v/2s=",0)</f>
        <v>#REF!</v>
      </c>
      <c r="DE89" t="e">
        <f>AND(#REF!,"AAAAAG9v/2w=")</f>
        <v>#REF!</v>
      </c>
      <c r="DF89" t="e">
        <f>AND(#REF!,"AAAAAG9v/20=")</f>
        <v>#REF!</v>
      </c>
      <c r="DG89" t="e">
        <f>AND(#REF!,"AAAAAG9v/24=")</f>
        <v>#REF!</v>
      </c>
      <c r="DH89" t="e">
        <f>AND(#REF!,"AAAAAG9v/28=")</f>
        <v>#REF!</v>
      </c>
      <c r="DI89" t="e">
        <f>AND(#REF!,"AAAAAG9v/3A=")</f>
        <v>#REF!</v>
      </c>
      <c r="DJ89" t="e">
        <f>AND(#REF!,"AAAAAG9v/3E=")</f>
        <v>#REF!</v>
      </c>
      <c r="DK89" t="e">
        <f>AND(#REF!,"AAAAAG9v/3I=")</f>
        <v>#REF!</v>
      </c>
      <c r="DL89" t="e">
        <f>AND(#REF!,"AAAAAG9v/3M=")</f>
        <v>#REF!</v>
      </c>
      <c r="DM89" t="e">
        <f>IF(#REF!,"AAAAAG9v/3Q=",0)</f>
        <v>#REF!</v>
      </c>
      <c r="DN89" t="e">
        <f>AND(#REF!,"AAAAAG9v/3U=")</f>
        <v>#REF!</v>
      </c>
      <c r="DO89" t="e">
        <f>AND(#REF!,"AAAAAG9v/3Y=")</f>
        <v>#REF!</v>
      </c>
      <c r="DP89" t="e">
        <f>AND(#REF!,"AAAAAG9v/3c=")</f>
        <v>#REF!</v>
      </c>
      <c r="DQ89" t="e">
        <f>AND(#REF!,"AAAAAG9v/3g=")</f>
        <v>#REF!</v>
      </c>
      <c r="DR89" t="e">
        <f>AND(#REF!,"AAAAAG9v/3k=")</f>
        <v>#REF!</v>
      </c>
      <c r="DS89" t="e">
        <f>AND(#REF!,"AAAAAG9v/3o=")</f>
        <v>#REF!</v>
      </c>
      <c r="DT89" t="e">
        <f>AND(#REF!,"AAAAAG9v/3s=")</f>
        <v>#REF!</v>
      </c>
      <c r="DU89" t="e">
        <f>AND(#REF!,"AAAAAG9v/3w=")</f>
        <v>#REF!</v>
      </c>
      <c r="DV89" t="e">
        <f>IF(#REF!,"AAAAAG9v/30=",0)</f>
        <v>#REF!</v>
      </c>
      <c r="DW89" t="e">
        <f>AND(#REF!,"AAAAAG9v/34=")</f>
        <v>#REF!</v>
      </c>
      <c r="DX89" t="e">
        <f>AND(#REF!,"AAAAAG9v/38=")</f>
        <v>#REF!</v>
      </c>
      <c r="DY89" t="e">
        <f>AND(#REF!,"AAAAAG9v/4A=")</f>
        <v>#REF!</v>
      </c>
      <c r="DZ89" t="e">
        <f>AND(#REF!,"AAAAAG9v/4E=")</f>
        <v>#REF!</v>
      </c>
      <c r="EA89" t="e">
        <f>AND(#REF!,"AAAAAG9v/4I=")</f>
        <v>#REF!</v>
      </c>
      <c r="EB89" t="e">
        <f>AND(#REF!,"AAAAAG9v/4M=")</f>
        <v>#REF!</v>
      </c>
      <c r="EC89" t="e">
        <f>AND(#REF!,"AAAAAG9v/4Q=")</f>
        <v>#REF!</v>
      </c>
      <c r="ED89" t="e">
        <f>AND(#REF!,"AAAAAG9v/4U=")</f>
        <v>#REF!</v>
      </c>
      <c r="EE89" t="e">
        <f>IF(#REF!,"AAAAAG9v/4Y=",0)</f>
        <v>#REF!</v>
      </c>
      <c r="EF89" t="e">
        <f>AND(#REF!,"AAAAAG9v/4c=")</f>
        <v>#REF!</v>
      </c>
      <c r="EG89" t="e">
        <f>AND(#REF!,"AAAAAG9v/4g=")</f>
        <v>#REF!</v>
      </c>
      <c r="EH89" t="e">
        <f>AND(#REF!,"AAAAAG9v/4k=")</f>
        <v>#REF!</v>
      </c>
      <c r="EI89" t="e">
        <f>AND(#REF!,"AAAAAG9v/4o=")</f>
        <v>#REF!</v>
      </c>
      <c r="EJ89" t="e">
        <f>AND(#REF!,"AAAAAG9v/4s=")</f>
        <v>#REF!</v>
      </c>
      <c r="EK89" t="e">
        <f>AND(#REF!,"AAAAAG9v/4w=")</f>
        <v>#REF!</v>
      </c>
      <c r="EL89" t="e">
        <f>AND(#REF!,"AAAAAG9v/40=")</f>
        <v>#REF!</v>
      </c>
      <c r="EM89" t="e">
        <f>AND(#REF!,"AAAAAG9v/44=")</f>
        <v>#REF!</v>
      </c>
      <c r="EN89" t="e">
        <f>IF(#REF!,"AAAAAG9v/48=",0)</f>
        <v>#REF!</v>
      </c>
      <c r="EO89" t="e">
        <f>AND(#REF!,"AAAAAG9v/5A=")</f>
        <v>#REF!</v>
      </c>
      <c r="EP89" t="e">
        <f>AND(#REF!,"AAAAAG9v/5E=")</f>
        <v>#REF!</v>
      </c>
      <c r="EQ89" t="e">
        <f>AND(#REF!,"AAAAAG9v/5I=")</f>
        <v>#REF!</v>
      </c>
      <c r="ER89" t="e">
        <f>AND(#REF!,"AAAAAG9v/5M=")</f>
        <v>#REF!</v>
      </c>
      <c r="ES89" t="e">
        <f>AND(#REF!,"AAAAAG9v/5Q=")</f>
        <v>#REF!</v>
      </c>
      <c r="ET89" t="e">
        <f>AND(#REF!,"AAAAAG9v/5U=")</f>
        <v>#REF!</v>
      </c>
      <c r="EU89" t="e">
        <f>AND(#REF!,"AAAAAG9v/5Y=")</f>
        <v>#REF!</v>
      </c>
      <c r="EV89" t="e">
        <f>AND(#REF!,"AAAAAG9v/5c=")</f>
        <v>#REF!</v>
      </c>
      <c r="EW89" t="e">
        <f>IF(#REF!,"AAAAAG9v/5g=",0)</f>
        <v>#REF!</v>
      </c>
      <c r="EX89" t="e">
        <f>AND(#REF!,"AAAAAG9v/5k=")</f>
        <v>#REF!</v>
      </c>
      <c r="EY89" t="e">
        <f>AND(#REF!,"AAAAAG9v/5o=")</f>
        <v>#REF!</v>
      </c>
      <c r="EZ89" t="e">
        <f>AND(#REF!,"AAAAAG9v/5s=")</f>
        <v>#REF!</v>
      </c>
      <c r="FA89" t="e">
        <f>AND(#REF!,"AAAAAG9v/5w=")</f>
        <v>#REF!</v>
      </c>
      <c r="FB89" t="e">
        <f>AND(#REF!,"AAAAAG9v/50=")</f>
        <v>#REF!</v>
      </c>
      <c r="FC89" t="e">
        <f>AND(#REF!,"AAAAAG9v/54=")</f>
        <v>#REF!</v>
      </c>
      <c r="FD89" t="e">
        <f>AND(#REF!,"AAAAAG9v/58=")</f>
        <v>#REF!</v>
      </c>
      <c r="FE89" t="e">
        <f>AND(#REF!,"AAAAAG9v/6A=")</f>
        <v>#REF!</v>
      </c>
      <c r="FF89" t="e">
        <f>IF(#REF!,"AAAAAG9v/6E=",0)</f>
        <v>#REF!</v>
      </c>
      <c r="FG89" t="e">
        <f>AND(#REF!,"AAAAAG9v/6I=")</f>
        <v>#REF!</v>
      </c>
      <c r="FH89" t="e">
        <f>AND(#REF!,"AAAAAG9v/6M=")</f>
        <v>#REF!</v>
      </c>
      <c r="FI89" t="e">
        <f>AND(#REF!,"AAAAAG9v/6Q=")</f>
        <v>#REF!</v>
      </c>
      <c r="FJ89" t="e">
        <f>AND(#REF!,"AAAAAG9v/6U=")</f>
        <v>#REF!</v>
      </c>
      <c r="FK89" t="e">
        <f>AND(#REF!,"AAAAAG9v/6Y=")</f>
        <v>#REF!</v>
      </c>
      <c r="FL89" t="e">
        <f>AND(#REF!,"AAAAAG9v/6c=")</f>
        <v>#REF!</v>
      </c>
      <c r="FM89" t="e">
        <f>AND(#REF!,"AAAAAG9v/6g=")</f>
        <v>#REF!</v>
      </c>
      <c r="FN89" t="e">
        <f>AND(#REF!,"AAAAAG9v/6k=")</f>
        <v>#REF!</v>
      </c>
      <c r="FO89" t="e">
        <f>IF(#REF!,"AAAAAG9v/6o=",0)</f>
        <v>#REF!</v>
      </c>
      <c r="FP89" t="e">
        <f>AND(#REF!,"AAAAAG9v/6s=")</f>
        <v>#REF!</v>
      </c>
      <c r="FQ89" t="e">
        <f>AND(#REF!,"AAAAAG9v/6w=")</f>
        <v>#REF!</v>
      </c>
      <c r="FR89" t="e">
        <f>AND(#REF!,"AAAAAG9v/60=")</f>
        <v>#REF!</v>
      </c>
      <c r="FS89" t="e">
        <f>AND(#REF!,"AAAAAG9v/64=")</f>
        <v>#REF!</v>
      </c>
      <c r="FT89" t="e">
        <f>AND(#REF!,"AAAAAG9v/68=")</f>
        <v>#REF!</v>
      </c>
      <c r="FU89" t="e">
        <f>AND(#REF!,"AAAAAG9v/7A=")</f>
        <v>#REF!</v>
      </c>
      <c r="FV89" t="e">
        <f>AND(#REF!,"AAAAAG9v/7E=")</f>
        <v>#REF!</v>
      </c>
      <c r="FW89" t="e">
        <f>AND(#REF!,"AAAAAG9v/7I=")</f>
        <v>#REF!</v>
      </c>
      <c r="FX89" t="e">
        <f>IF(#REF!,"AAAAAG9v/7M=",0)</f>
        <v>#REF!</v>
      </c>
      <c r="FY89" t="e">
        <f>AND(#REF!,"AAAAAG9v/7Q=")</f>
        <v>#REF!</v>
      </c>
      <c r="FZ89" t="e">
        <f>AND(#REF!,"AAAAAG9v/7U=")</f>
        <v>#REF!</v>
      </c>
      <c r="GA89" t="e">
        <f>AND(#REF!,"AAAAAG9v/7Y=")</f>
        <v>#REF!</v>
      </c>
      <c r="GB89" t="e">
        <f>AND(#REF!,"AAAAAG9v/7c=")</f>
        <v>#REF!</v>
      </c>
      <c r="GC89" t="e">
        <f>AND(#REF!,"AAAAAG9v/7g=")</f>
        <v>#REF!</v>
      </c>
      <c r="GD89" t="e">
        <f>AND(#REF!,"AAAAAG9v/7k=")</f>
        <v>#REF!</v>
      </c>
      <c r="GE89" t="e">
        <f>AND(#REF!,"AAAAAG9v/7o=")</f>
        <v>#REF!</v>
      </c>
      <c r="GF89" t="e">
        <f>AND(#REF!,"AAAAAG9v/7s=")</f>
        <v>#REF!</v>
      </c>
      <c r="GG89" t="e">
        <f>IF(#REF!,"AAAAAG9v/7w=",0)</f>
        <v>#REF!</v>
      </c>
      <c r="GH89" t="e">
        <f>AND(#REF!,"AAAAAG9v/70=")</f>
        <v>#REF!</v>
      </c>
      <c r="GI89" t="e">
        <f>AND(#REF!,"AAAAAG9v/74=")</f>
        <v>#REF!</v>
      </c>
      <c r="GJ89" t="e">
        <f>AND(#REF!,"AAAAAG9v/78=")</f>
        <v>#REF!</v>
      </c>
      <c r="GK89" t="e">
        <f>AND(#REF!,"AAAAAG9v/8A=")</f>
        <v>#REF!</v>
      </c>
      <c r="GL89" t="e">
        <f>AND(#REF!,"AAAAAG9v/8E=")</f>
        <v>#REF!</v>
      </c>
      <c r="GM89" t="e">
        <f>AND(#REF!,"AAAAAG9v/8I=")</f>
        <v>#REF!</v>
      </c>
      <c r="GN89" t="e">
        <f>AND(#REF!,"AAAAAG9v/8M=")</f>
        <v>#REF!</v>
      </c>
      <c r="GO89" t="e">
        <f>AND(#REF!,"AAAAAG9v/8Q=")</f>
        <v>#REF!</v>
      </c>
      <c r="GP89" t="e">
        <f>IF(#REF!,"AAAAAG9v/8U=",0)</f>
        <v>#REF!</v>
      </c>
      <c r="GQ89" t="e">
        <f>AND(#REF!,"AAAAAG9v/8Y=")</f>
        <v>#REF!</v>
      </c>
      <c r="GR89" t="e">
        <f>AND(#REF!,"AAAAAG9v/8c=")</f>
        <v>#REF!</v>
      </c>
      <c r="GS89" t="e">
        <f>AND(#REF!,"AAAAAG9v/8g=")</f>
        <v>#REF!</v>
      </c>
      <c r="GT89" t="e">
        <f>AND(#REF!,"AAAAAG9v/8k=")</f>
        <v>#REF!</v>
      </c>
      <c r="GU89" t="e">
        <f>AND(#REF!,"AAAAAG9v/8o=")</f>
        <v>#REF!</v>
      </c>
      <c r="GV89" t="e">
        <f>AND(#REF!,"AAAAAG9v/8s=")</f>
        <v>#REF!</v>
      </c>
      <c r="GW89" t="e">
        <f>AND(#REF!,"AAAAAG9v/8w=")</f>
        <v>#REF!</v>
      </c>
      <c r="GX89" t="e">
        <f>AND(#REF!,"AAAAAG9v/80=")</f>
        <v>#REF!</v>
      </c>
      <c r="GY89" t="e">
        <f>IF(#REF!,"AAAAAG9v/84=",0)</f>
        <v>#REF!</v>
      </c>
      <c r="GZ89" t="e">
        <f>AND(#REF!,"AAAAAG9v/88=")</f>
        <v>#REF!</v>
      </c>
      <c r="HA89" t="e">
        <f>AND(#REF!,"AAAAAG9v/9A=")</f>
        <v>#REF!</v>
      </c>
      <c r="HB89" t="e">
        <f>AND(#REF!,"AAAAAG9v/9E=")</f>
        <v>#REF!</v>
      </c>
      <c r="HC89" t="e">
        <f>AND(#REF!,"AAAAAG9v/9I=")</f>
        <v>#REF!</v>
      </c>
      <c r="HD89" t="e">
        <f>AND(#REF!,"AAAAAG9v/9M=")</f>
        <v>#REF!</v>
      </c>
      <c r="HE89" t="e">
        <f>AND(#REF!,"AAAAAG9v/9Q=")</f>
        <v>#REF!</v>
      </c>
      <c r="HF89" t="e">
        <f>AND(#REF!,"AAAAAG9v/9U=")</f>
        <v>#REF!</v>
      </c>
      <c r="HG89" t="e">
        <f>AND(#REF!,"AAAAAG9v/9Y=")</f>
        <v>#REF!</v>
      </c>
      <c r="HH89" t="e">
        <f>IF(#REF!,"AAAAAG9v/9c=",0)</f>
        <v>#REF!</v>
      </c>
      <c r="HI89" t="e">
        <f>AND(#REF!,"AAAAAG9v/9g=")</f>
        <v>#REF!</v>
      </c>
      <c r="HJ89" t="e">
        <f>AND(#REF!,"AAAAAG9v/9k=")</f>
        <v>#REF!</v>
      </c>
      <c r="HK89" t="e">
        <f>AND(#REF!,"AAAAAG9v/9o=")</f>
        <v>#REF!</v>
      </c>
      <c r="HL89" t="e">
        <f>AND(#REF!,"AAAAAG9v/9s=")</f>
        <v>#REF!</v>
      </c>
      <c r="HM89" t="e">
        <f>AND(#REF!,"AAAAAG9v/9w=")</f>
        <v>#REF!</v>
      </c>
      <c r="HN89" t="e">
        <f>AND(#REF!,"AAAAAG9v/90=")</f>
        <v>#REF!</v>
      </c>
      <c r="HO89" t="e">
        <f>AND(#REF!,"AAAAAG9v/94=")</f>
        <v>#REF!</v>
      </c>
      <c r="HP89" t="e">
        <f>AND(#REF!,"AAAAAG9v/98=")</f>
        <v>#REF!</v>
      </c>
      <c r="HQ89" t="e">
        <f>IF(#REF!,"AAAAAG9v/+A=",0)</f>
        <v>#REF!</v>
      </c>
      <c r="HR89" t="e">
        <f>AND(#REF!,"AAAAAG9v/+E=")</f>
        <v>#REF!</v>
      </c>
      <c r="HS89" t="e">
        <f>AND(#REF!,"AAAAAG9v/+I=")</f>
        <v>#REF!</v>
      </c>
      <c r="HT89" t="e">
        <f>AND(#REF!,"AAAAAG9v/+M=")</f>
        <v>#REF!</v>
      </c>
      <c r="HU89" t="e">
        <f>AND(#REF!,"AAAAAG9v/+Q=")</f>
        <v>#REF!</v>
      </c>
      <c r="HV89" t="e">
        <f>AND(#REF!,"AAAAAG9v/+U=")</f>
        <v>#REF!</v>
      </c>
      <c r="HW89" t="e">
        <f>AND(#REF!,"AAAAAG9v/+Y=")</f>
        <v>#REF!</v>
      </c>
      <c r="HX89" t="e">
        <f>AND(#REF!,"AAAAAG9v/+c=")</f>
        <v>#REF!</v>
      </c>
      <c r="HY89" t="e">
        <f>AND(#REF!,"AAAAAG9v/+g=")</f>
        <v>#REF!</v>
      </c>
      <c r="HZ89" t="e">
        <f>IF(#REF!,"AAAAAG9v/+k=",0)</f>
        <v>#REF!</v>
      </c>
      <c r="IA89" t="e">
        <f>AND(#REF!,"AAAAAG9v/+o=")</f>
        <v>#REF!</v>
      </c>
      <c r="IB89" t="e">
        <f>AND(#REF!,"AAAAAG9v/+s=")</f>
        <v>#REF!</v>
      </c>
      <c r="IC89" t="e">
        <f>AND(#REF!,"AAAAAG9v/+w=")</f>
        <v>#REF!</v>
      </c>
      <c r="ID89" t="e">
        <f>AND(#REF!,"AAAAAG9v/+0=")</f>
        <v>#REF!</v>
      </c>
      <c r="IE89" t="e">
        <f>AND(#REF!,"AAAAAG9v/+4=")</f>
        <v>#REF!</v>
      </c>
      <c r="IF89" t="e">
        <f>AND(#REF!,"AAAAAG9v/+8=")</f>
        <v>#REF!</v>
      </c>
      <c r="IG89" t="e">
        <f>AND(#REF!,"AAAAAG9v//A=")</f>
        <v>#REF!</v>
      </c>
      <c r="IH89" t="e">
        <f>AND(#REF!,"AAAAAG9v//E=")</f>
        <v>#REF!</v>
      </c>
      <c r="II89" t="e">
        <f>IF(#REF!,"AAAAAG9v//I=",0)</f>
        <v>#REF!</v>
      </c>
      <c r="IJ89" t="e">
        <f>AND(#REF!,"AAAAAG9v//M=")</f>
        <v>#REF!</v>
      </c>
      <c r="IK89" t="e">
        <f>AND(#REF!,"AAAAAG9v//Q=")</f>
        <v>#REF!</v>
      </c>
      <c r="IL89" t="e">
        <f>AND(#REF!,"AAAAAG9v//U=")</f>
        <v>#REF!</v>
      </c>
      <c r="IM89" t="e">
        <f>AND(#REF!,"AAAAAG9v//Y=")</f>
        <v>#REF!</v>
      </c>
      <c r="IN89" t="e">
        <f>AND(#REF!,"AAAAAG9v//c=")</f>
        <v>#REF!</v>
      </c>
      <c r="IO89" t="e">
        <f>AND(#REF!,"AAAAAG9v//g=")</f>
        <v>#REF!</v>
      </c>
      <c r="IP89" t="e">
        <f>AND(#REF!,"AAAAAG9v//k=")</f>
        <v>#REF!</v>
      </c>
      <c r="IQ89" t="e">
        <f>AND(#REF!,"AAAAAG9v//o=")</f>
        <v>#REF!</v>
      </c>
      <c r="IR89" t="e">
        <f>IF(#REF!,"AAAAAG9v//s=",0)</f>
        <v>#REF!</v>
      </c>
      <c r="IS89" t="e">
        <f>AND(#REF!,"AAAAAG9v//w=")</f>
        <v>#REF!</v>
      </c>
      <c r="IT89" t="e">
        <f>AND(#REF!,"AAAAAG9v//0=")</f>
        <v>#REF!</v>
      </c>
      <c r="IU89" t="e">
        <f>AND(#REF!,"AAAAAG9v//4=")</f>
        <v>#REF!</v>
      </c>
      <c r="IV89" t="e">
        <f>AND(#REF!,"AAAAAG9v//8=")</f>
        <v>#REF!</v>
      </c>
    </row>
    <row r="90" spans="1:256" x14ac:dyDescent="0.25">
      <c r="A90" t="e">
        <f>AND(#REF!,"AAAAADnrqQA=")</f>
        <v>#REF!</v>
      </c>
      <c r="B90" t="e">
        <f>AND(#REF!,"AAAAADnrqQE=")</f>
        <v>#REF!</v>
      </c>
      <c r="C90" t="e">
        <f>AND(#REF!,"AAAAADnrqQI=")</f>
        <v>#REF!</v>
      </c>
      <c r="D90" t="e">
        <f>AND(#REF!,"AAAAADnrqQM=")</f>
        <v>#REF!</v>
      </c>
      <c r="E90" t="e">
        <f>IF(#REF!,"AAAAADnrqQQ=",0)</f>
        <v>#REF!</v>
      </c>
      <c r="F90" t="e">
        <f>AND(#REF!,"AAAAADnrqQU=")</f>
        <v>#REF!</v>
      </c>
      <c r="G90" t="e">
        <f>AND(#REF!,"AAAAADnrqQY=")</f>
        <v>#REF!</v>
      </c>
      <c r="H90" t="e">
        <f>AND(#REF!,"AAAAADnrqQc=")</f>
        <v>#REF!</v>
      </c>
      <c r="I90" t="e">
        <f>AND(#REF!,"AAAAADnrqQg=")</f>
        <v>#REF!</v>
      </c>
      <c r="J90" t="e">
        <f>AND(#REF!,"AAAAADnrqQk=")</f>
        <v>#REF!</v>
      </c>
      <c r="K90" t="e">
        <f>AND(#REF!,"AAAAADnrqQo=")</f>
        <v>#REF!</v>
      </c>
      <c r="L90" t="e">
        <f>AND(#REF!,"AAAAADnrqQs=")</f>
        <v>#REF!</v>
      </c>
      <c r="M90" t="e">
        <f>AND(#REF!,"AAAAADnrqQw=")</f>
        <v>#REF!</v>
      </c>
      <c r="N90" t="e">
        <f>IF(#REF!,"AAAAADnrqQ0=",0)</f>
        <v>#REF!</v>
      </c>
      <c r="O90" t="e">
        <f>AND(#REF!,"AAAAADnrqQ4=")</f>
        <v>#REF!</v>
      </c>
      <c r="P90" t="e">
        <f>AND(#REF!,"AAAAADnrqQ8=")</f>
        <v>#REF!</v>
      </c>
      <c r="Q90" t="e">
        <f>AND(#REF!,"AAAAADnrqRA=")</f>
        <v>#REF!</v>
      </c>
      <c r="R90" t="e">
        <f>AND(#REF!,"AAAAADnrqRE=")</f>
        <v>#REF!</v>
      </c>
      <c r="S90" t="e">
        <f>AND(#REF!,"AAAAADnrqRI=")</f>
        <v>#REF!</v>
      </c>
      <c r="T90" t="e">
        <f>AND(#REF!,"AAAAADnrqRM=")</f>
        <v>#REF!</v>
      </c>
      <c r="U90" t="e">
        <f>AND(#REF!,"AAAAADnrqRQ=")</f>
        <v>#REF!</v>
      </c>
      <c r="V90" t="e">
        <f>AND(#REF!,"AAAAADnrqRU=")</f>
        <v>#REF!</v>
      </c>
      <c r="W90" t="e">
        <f>IF(#REF!,"AAAAADnrqRY=",0)</f>
        <v>#REF!</v>
      </c>
      <c r="X90" t="e">
        <f>AND(#REF!,"AAAAADnrqRc=")</f>
        <v>#REF!</v>
      </c>
      <c r="Y90" t="e">
        <f>AND(#REF!,"AAAAADnrqRg=")</f>
        <v>#REF!</v>
      </c>
      <c r="Z90" t="e">
        <f>AND(#REF!,"AAAAADnrqRk=")</f>
        <v>#REF!</v>
      </c>
      <c r="AA90" t="e">
        <f>AND(#REF!,"AAAAADnrqRo=")</f>
        <v>#REF!</v>
      </c>
      <c r="AB90" t="e">
        <f>AND(#REF!,"AAAAADnrqRs=")</f>
        <v>#REF!</v>
      </c>
      <c r="AC90" t="e">
        <f>AND(#REF!,"AAAAADnrqRw=")</f>
        <v>#REF!</v>
      </c>
      <c r="AD90" t="e">
        <f>AND(#REF!,"AAAAADnrqR0=")</f>
        <v>#REF!</v>
      </c>
      <c r="AE90" t="e">
        <f>AND(#REF!,"AAAAADnrqR4=")</f>
        <v>#REF!</v>
      </c>
      <c r="AF90" t="e">
        <f>IF(#REF!,"AAAAADnrqR8=",0)</f>
        <v>#REF!</v>
      </c>
      <c r="AG90" t="e">
        <f>AND(#REF!,"AAAAADnrqSA=")</f>
        <v>#REF!</v>
      </c>
      <c r="AH90" t="e">
        <f>AND(#REF!,"AAAAADnrqSE=")</f>
        <v>#REF!</v>
      </c>
      <c r="AI90" t="e">
        <f>AND(#REF!,"AAAAADnrqSI=")</f>
        <v>#REF!</v>
      </c>
      <c r="AJ90" t="e">
        <f>AND(#REF!,"AAAAADnrqSM=")</f>
        <v>#REF!</v>
      </c>
      <c r="AK90" t="e">
        <f>AND(#REF!,"AAAAADnrqSQ=")</f>
        <v>#REF!</v>
      </c>
      <c r="AL90" t="e">
        <f>AND(#REF!,"AAAAADnrqSU=")</f>
        <v>#REF!</v>
      </c>
      <c r="AM90" t="e">
        <f>AND(#REF!,"AAAAADnrqSY=")</f>
        <v>#REF!</v>
      </c>
      <c r="AN90" t="e">
        <f>AND(#REF!,"AAAAADnrqSc=")</f>
        <v>#REF!</v>
      </c>
      <c r="AO90" t="e">
        <f>IF(#REF!,"AAAAADnrqSg=",0)</f>
        <v>#REF!</v>
      </c>
      <c r="AP90" t="e">
        <f>AND(#REF!,"AAAAADnrqSk=")</f>
        <v>#REF!</v>
      </c>
      <c r="AQ90" t="e">
        <f>AND(#REF!,"AAAAADnrqSo=")</f>
        <v>#REF!</v>
      </c>
      <c r="AR90" t="e">
        <f>AND(#REF!,"AAAAADnrqSs=")</f>
        <v>#REF!</v>
      </c>
      <c r="AS90" t="e">
        <f>AND(#REF!,"AAAAADnrqSw=")</f>
        <v>#REF!</v>
      </c>
      <c r="AT90" t="e">
        <f>AND(#REF!,"AAAAADnrqS0=")</f>
        <v>#REF!</v>
      </c>
      <c r="AU90" t="e">
        <f>AND(#REF!,"AAAAADnrqS4=")</f>
        <v>#REF!</v>
      </c>
      <c r="AV90" t="e">
        <f>AND(#REF!,"AAAAADnrqS8=")</f>
        <v>#REF!</v>
      </c>
      <c r="AW90" t="e">
        <f>AND(#REF!,"AAAAADnrqTA=")</f>
        <v>#REF!</v>
      </c>
      <c r="AX90" t="e">
        <f>IF(#REF!,"AAAAADnrqTE=",0)</f>
        <v>#REF!</v>
      </c>
      <c r="AY90" t="e">
        <f>AND(#REF!,"AAAAADnrqTI=")</f>
        <v>#REF!</v>
      </c>
      <c r="AZ90" t="e">
        <f>AND(#REF!,"AAAAADnrqTM=")</f>
        <v>#REF!</v>
      </c>
      <c r="BA90" t="e">
        <f>AND(#REF!,"AAAAADnrqTQ=")</f>
        <v>#REF!</v>
      </c>
      <c r="BB90" t="e">
        <f>AND(#REF!,"AAAAADnrqTU=")</f>
        <v>#REF!</v>
      </c>
      <c r="BC90" t="e">
        <f>AND(#REF!,"AAAAADnrqTY=")</f>
        <v>#REF!</v>
      </c>
      <c r="BD90" t="e">
        <f>AND(#REF!,"AAAAADnrqTc=")</f>
        <v>#REF!</v>
      </c>
      <c r="BE90" t="e">
        <f>AND(#REF!,"AAAAADnrqTg=")</f>
        <v>#REF!</v>
      </c>
      <c r="BF90" t="e">
        <f>AND(#REF!,"AAAAADnrqTk=")</f>
        <v>#REF!</v>
      </c>
      <c r="BG90" t="e">
        <f>IF(#REF!,"AAAAADnrqTo=",0)</f>
        <v>#REF!</v>
      </c>
      <c r="BH90" t="e">
        <f>AND(#REF!,"AAAAADnrqTs=")</f>
        <v>#REF!</v>
      </c>
      <c r="BI90" t="e">
        <f>AND(#REF!,"AAAAADnrqTw=")</f>
        <v>#REF!</v>
      </c>
      <c r="BJ90" t="e">
        <f>AND(#REF!,"AAAAADnrqT0=")</f>
        <v>#REF!</v>
      </c>
      <c r="BK90" t="e">
        <f>AND(#REF!,"AAAAADnrqT4=")</f>
        <v>#REF!</v>
      </c>
      <c r="BL90" t="e">
        <f>AND(#REF!,"AAAAADnrqT8=")</f>
        <v>#REF!</v>
      </c>
      <c r="BM90" t="e">
        <f>AND(#REF!,"AAAAADnrqUA=")</f>
        <v>#REF!</v>
      </c>
      <c r="BN90" t="e">
        <f>AND(#REF!,"AAAAADnrqUE=")</f>
        <v>#REF!</v>
      </c>
      <c r="BO90" t="e">
        <f>AND(#REF!,"AAAAADnrqUI=")</f>
        <v>#REF!</v>
      </c>
      <c r="BP90" t="e">
        <f>IF(#REF!,"AAAAADnrqUM=",0)</f>
        <v>#REF!</v>
      </c>
      <c r="BQ90" t="e">
        <f>AND(#REF!,"AAAAADnrqUQ=")</f>
        <v>#REF!</v>
      </c>
      <c r="BR90" t="e">
        <f>AND(#REF!,"AAAAADnrqUU=")</f>
        <v>#REF!</v>
      </c>
      <c r="BS90" t="e">
        <f>AND(#REF!,"AAAAADnrqUY=")</f>
        <v>#REF!</v>
      </c>
      <c r="BT90" t="e">
        <f>AND(#REF!,"AAAAADnrqUc=")</f>
        <v>#REF!</v>
      </c>
      <c r="BU90" t="e">
        <f>AND(#REF!,"AAAAADnrqUg=")</f>
        <v>#REF!</v>
      </c>
      <c r="BV90" t="e">
        <f>AND(#REF!,"AAAAADnrqUk=")</f>
        <v>#REF!</v>
      </c>
      <c r="BW90" t="e">
        <f>AND(#REF!,"AAAAADnrqUo=")</f>
        <v>#REF!</v>
      </c>
      <c r="BX90" t="e">
        <f>AND(#REF!,"AAAAADnrqUs=")</f>
        <v>#REF!</v>
      </c>
      <c r="BY90" t="e">
        <f>IF(#REF!,"AAAAADnrqUw=",0)</f>
        <v>#REF!</v>
      </c>
      <c r="BZ90" t="e">
        <f>AND(#REF!,"AAAAADnrqU0=")</f>
        <v>#REF!</v>
      </c>
      <c r="CA90" t="e">
        <f>AND(#REF!,"AAAAADnrqU4=")</f>
        <v>#REF!</v>
      </c>
      <c r="CB90" t="e">
        <f>AND(#REF!,"AAAAADnrqU8=")</f>
        <v>#REF!</v>
      </c>
      <c r="CC90" t="e">
        <f>AND(#REF!,"AAAAADnrqVA=")</f>
        <v>#REF!</v>
      </c>
      <c r="CD90" t="e">
        <f>AND(#REF!,"AAAAADnrqVE=")</f>
        <v>#REF!</v>
      </c>
      <c r="CE90" t="e">
        <f>AND(#REF!,"AAAAADnrqVI=")</f>
        <v>#REF!</v>
      </c>
      <c r="CF90" t="e">
        <f>AND(#REF!,"AAAAADnrqVM=")</f>
        <v>#REF!</v>
      </c>
      <c r="CG90" t="e">
        <f>AND(#REF!,"AAAAADnrqVQ=")</f>
        <v>#REF!</v>
      </c>
      <c r="CH90" t="e">
        <f>IF(#REF!,"AAAAADnrqVU=",0)</f>
        <v>#REF!</v>
      </c>
      <c r="CI90" t="e">
        <f>AND(#REF!,"AAAAADnrqVY=")</f>
        <v>#REF!</v>
      </c>
      <c r="CJ90" t="e">
        <f>AND(#REF!,"AAAAADnrqVc=")</f>
        <v>#REF!</v>
      </c>
      <c r="CK90" t="e">
        <f>AND(#REF!,"AAAAADnrqVg=")</f>
        <v>#REF!</v>
      </c>
      <c r="CL90" t="e">
        <f>AND(#REF!,"AAAAADnrqVk=")</f>
        <v>#REF!</v>
      </c>
      <c r="CM90" t="e">
        <f>AND(#REF!,"AAAAADnrqVo=")</f>
        <v>#REF!</v>
      </c>
      <c r="CN90" t="e">
        <f>AND(#REF!,"AAAAADnrqVs=")</f>
        <v>#REF!</v>
      </c>
      <c r="CO90" t="e">
        <f>AND(#REF!,"AAAAADnrqVw=")</f>
        <v>#REF!</v>
      </c>
      <c r="CP90" t="e">
        <f>AND(#REF!,"AAAAADnrqV0=")</f>
        <v>#REF!</v>
      </c>
      <c r="CQ90" t="e">
        <f>IF(#REF!,"AAAAADnrqV4=",0)</f>
        <v>#REF!</v>
      </c>
      <c r="CR90" t="e">
        <f>AND(#REF!,"AAAAADnrqV8=")</f>
        <v>#REF!</v>
      </c>
      <c r="CS90" t="e">
        <f>AND(#REF!,"AAAAADnrqWA=")</f>
        <v>#REF!</v>
      </c>
      <c r="CT90" t="e">
        <f>AND(#REF!,"AAAAADnrqWE=")</f>
        <v>#REF!</v>
      </c>
      <c r="CU90" t="e">
        <f>AND(#REF!,"AAAAADnrqWI=")</f>
        <v>#REF!</v>
      </c>
      <c r="CV90" t="e">
        <f>AND(#REF!,"AAAAADnrqWM=")</f>
        <v>#REF!</v>
      </c>
      <c r="CW90" t="e">
        <f>AND(#REF!,"AAAAADnrqWQ=")</f>
        <v>#REF!</v>
      </c>
      <c r="CX90" t="e">
        <f>AND(#REF!,"AAAAADnrqWU=")</f>
        <v>#REF!</v>
      </c>
      <c r="CY90" t="e">
        <f>AND(#REF!,"AAAAADnrqWY=")</f>
        <v>#REF!</v>
      </c>
      <c r="CZ90" t="e">
        <f>IF(#REF!,"AAAAADnrqWc=",0)</f>
        <v>#REF!</v>
      </c>
      <c r="DA90" t="e">
        <f>AND(#REF!,"AAAAADnrqWg=")</f>
        <v>#REF!</v>
      </c>
      <c r="DB90" t="e">
        <f>AND(#REF!,"AAAAADnrqWk=")</f>
        <v>#REF!</v>
      </c>
      <c r="DC90" t="e">
        <f>AND(#REF!,"AAAAADnrqWo=")</f>
        <v>#REF!</v>
      </c>
      <c r="DD90" t="e">
        <f>AND(#REF!,"AAAAADnrqWs=")</f>
        <v>#REF!</v>
      </c>
      <c r="DE90" t="e">
        <f>AND(#REF!,"AAAAADnrqWw=")</f>
        <v>#REF!</v>
      </c>
      <c r="DF90" t="e">
        <f>AND(#REF!,"AAAAADnrqW0=")</f>
        <v>#REF!</v>
      </c>
      <c r="DG90" t="e">
        <f>AND(#REF!,"AAAAADnrqW4=")</f>
        <v>#REF!</v>
      </c>
      <c r="DH90" t="e">
        <f>AND(#REF!,"AAAAADnrqW8=")</f>
        <v>#REF!</v>
      </c>
      <c r="DI90" t="e">
        <f>IF(#REF!,"AAAAADnrqXA=",0)</f>
        <v>#REF!</v>
      </c>
      <c r="DJ90" t="e">
        <f>AND(#REF!,"AAAAADnrqXE=")</f>
        <v>#REF!</v>
      </c>
      <c r="DK90" t="e">
        <f>AND(#REF!,"AAAAADnrqXI=")</f>
        <v>#REF!</v>
      </c>
      <c r="DL90" t="e">
        <f>AND(#REF!,"AAAAADnrqXM=")</f>
        <v>#REF!</v>
      </c>
      <c r="DM90" t="e">
        <f>AND(#REF!,"AAAAADnrqXQ=")</f>
        <v>#REF!</v>
      </c>
      <c r="DN90" t="e">
        <f>AND(#REF!,"AAAAADnrqXU=")</f>
        <v>#REF!</v>
      </c>
      <c r="DO90" t="e">
        <f>AND(#REF!,"AAAAADnrqXY=")</f>
        <v>#REF!</v>
      </c>
      <c r="DP90" t="e">
        <f>AND(#REF!,"AAAAADnrqXc=")</f>
        <v>#REF!</v>
      </c>
      <c r="DQ90" t="e">
        <f>AND(#REF!,"AAAAADnrqXg=")</f>
        <v>#REF!</v>
      </c>
      <c r="DR90" t="e">
        <f>IF(#REF!,"AAAAADnrqXk=",0)</f>
        <v>#REF!</v>
      </c>
      <c r="DS90" t="e">
        <f>AND(#REF!,"AAAAADnrqXo=")</f>
        <v>#REF!</v>
      </c>
      <c r="DT90" t="e">
        <f>AND(#REF!,"AAAAADnrqXs=")</f>
        <v>#REF!</v>
      </c>
      <c r="DU90" t="e">
        <f>AND(#REF!,"AAAAADnrqXw=")</f>
        <v>#REF!</v>
      </c>
      <c r="DV90" t="e">
        <f>AND(#REF!,"AAAAADnrqX0=")</f>
        <v>#REF!</v>
      </c>
      <c r="DW90" t="e">
        <f>AND(#REF!,"AAAAADnrqX4=")</f>
        <v>#REF!</v>
      </c>
      <c r="DX90" t="e">
        <f>AND(#REF!,"AAAAADnrqX8=")</f>
        <v>#REF!</v>
      </c>
      <c r="DY90" t="e">
        <f>AND(#REF!,"AAAAADnrqYA=")</f>
        <v>#REF!</v>
      </c>
      <c r="DZ90" t="e">
        <f>AND(#REF!,"AAAAADnrqYE=")</f>
        <v>#REF!</v>
      </c>
      <c r="EA90" t="e">
        <f>IF(#REF!,"AAAAADnrqYI=",0)</f>
        <v>#REF!</v>
      </c>
      <c r="EB90" t="e">
        <f>AND(#REF!,"AAAAADnrqYM=")</f>
        <v>#REF!</v>
      </c>
      <c r="EC90" t="e">
        <f>AND(#REF!,"AAAAADnrqYQ=")</f>
        <v>#REF!</v>
      </c>
      <c r="ED90" t="e">
        <f>AND(#REF!,"AAAAADnrqYU=")</f>
        <v>#REF!</v>
      </c>
      <c r="EE90" t="e">
        <f>AND(#REF!,"AAAAADnrqYY=")</f>
        <v>#REF!</v>
      </c>
      <c r="EF90" t="e">
        <f>AND(#REF!,"AAAAADnrqYc=")</f>
        <v>#REF!</v>
      </c>
      <c r="EG90" t="e">
        <f>AND(#REF!,"AAAAADnrqYg=")</f>
        <v>#REF!</v>
      </c>
      <c r="EH90" t="e">
        <f>AND(#REF!,"AAAAADnrqYk=")</f>
        <v>#REF!</v>
      </c>
      <c r="EI90" t="e">
        <f>AND(#REF!,"AAAAADnrqYo=")</f>
        <v>#REF!</v>
      </c>
      <c r="EJ90" t="e">
        <f>IF(#REF!,"AAAAADnrqYs=",0)</f>
        <v>#REF!</v>
      </c>
      <c r="EK90" t="e">
        <f>AND(#REF!,"AAAAADnrqYw=")</f>
        <v>#REF!</v>
      </c>
      <c r="EL90" t="e">
        <f>AND(#REF!,"AAAAADnrqY0=")</f>
        <v>#REF!</v>
      </c>
      <c r="EM90" t="e">
        <f>AND(#REF!,"AAAAADnrqY4=")</f>
        <v>#REF!</v>
      </c>
      <c r="EN90" t="e">
        <f>AND(#REF!,"AAAAADnrqY8=")</f>
        <v>#REF!</v>
      </c>
      <c r="EO90" t="e">
        <f>AND(#REF!,"AAAAADnrqZA=")</f>
        <v>#REF!</v>
      </c>
      <c r="EP90" t="e">
        <f>AND(#REF!,"AAAAADnrqZE=")</f>
        <v>#REF!</v>
      </c>
      <c r="EQ90" t="e">
        <f>AND(#REF!,"AAAAADnrqZI=")</f>
        <v>#REF!</v>
      </c>
      <c r="ER90" t="e">
        <f>AND(#REF!,"AAAAADnrqZM=")</f>
        <v>#REF!</v>
      </c>
      <c r="ES90" t="e">
        <f>IF(#REF!,"AAAAADnrqZQ=",0)</f>
        <v>#REF!</v>
      </c>
      <c r="ET90" t="e">
        <f>AND(#REF!,"AAAAADnrqZU=")</f>
        <v>#REF!</v>
      </c>
      <c r="EU90" t="e">
        <f>AND(#REF!,"AAAAADnrqZY=")</f>
        <v>#REF!</v>
      </c>
      <c r="EV90" t="e">
        <f>AND(#REF!,"AAAAADnrqZc=")</f>
        <v>#REF!</v>
      </c>
      <c r="EW90" t="e">
        <f>AND(#REF!,"AAAAADnrqZg=")</f>
        <v>#REF!</v>
      </c>
      <c r="EX90" t="e">
        <f>AND(#REF!,"AAAAADnrqZk=")</f>
        <v>#REF!</v>
      </c>
      <c r="EY90" t="e">
        <f>AND(#REF!,"AAAAADnrqZo=")</f>
        <v>#REF!</v>
      </c>
      <c r="EZ90" t="e">
        <f>AND(#REF!,"AAAAADnrqZs=")</f>
        <v>#REF!</v>
      </c>
      <c r="FA90" t="e">
        <f>AND(#REF!,"AAAAADnrqZw=")</f>
        <v>#REF!</v>
      </c>
      <c r="FB90" t="e">
        <f>IF(#REF!,"AAAAADnrqZ0=",0)</f>
        <v>#REF!</v>
      </c>
      <c r="FC90" t="e">
        <f>AND(#REF!,"AAAAADnrqZ4=")</f>
        <v>#REF!</v>
      </c>
      <c r="FD90" t="e">
        <f>AND(#REF!,"AAAAADnrqZ8=")</f>
        <v>#REF!</v>
      </c>
      <c r="FE90" t="e">
        <f>AND(#REF!,"AAAAADnrqaA=")</f>
        <v>#REF!</v>
      </c>
      <c r="FF90" t="e">
        <f>AND(#REF!,"AAAAADnrqaE=")</f>
        <v>#REF!</v>
      </c>
      <c r="FG90" t="e">
        <f>AND(#REF!,"AAAAADnrqaI=")</f>
        <v>#REF!</v>
      </c>
      <c r="FH90" t="e">
        <f>AND(#REF!,"AAAAADnrqaM=")</f>
        <v>#REF!</v>
      </c>
      <c r="FI90" t="e">
        <f>AND(#REF!,"AAAAADnrqaQ=")</f>
        <v>#REF!</v>
      </c>
      <c r="FJ90" t="e">
        <f>AND(#REF!,"AAAAADnrqaU=")</f>
        <v>#REF!</v>
      </c>
      <c r="FK90" t="e">
        <f>IF(#REF!,"AAAAADnrqaY=",0)</f>
        <v>#REF!</v>
      </c>
      <c r="FL90" t="e">
        <f>AND(#REF!,"AAAAADnrqac=")</f>
        <v>#REF!</v>
      </c>
      <c r="FM90" t="e">
        <f>AND(#REF!,"AAAAADnrqag=")</f>
        <v>#REF!</v>
      </c>
      <c r="FN90" t="e">
        <f>AND(#REF!,"AAAAADnrqak=")</f>
        <v>#REF!</v>
      </c>
      <c r="FO90" t="e">
        <f>AND(#REF!,"AAAAADnrqao=")</f>
        <v>#REF!</v>
      </c>
      <c r="FP90" t="e">
        <f>AND(#REF!,"AAAAADnrqas=")</f>
        <v>#REF!</v>
      </c>
      <c r="FQ90" t="e">
        <f>AND(#REF!,"AAAAADnrqaw=")</f>
        <v>#REF!</v>
      </c>
      <c r="FR90" t="e">
        <f>AND(#REF!,"AAAAADnrqa0=")</f>
        <v>#REF!</v>
      </c>
      <c r="FS90" t="e">
        <f>AND(#REF!,"AAAAADnrqa4=")</f>
        <v>#REF!</v>
      </c>
      <c r="FT90" t="e">
        <f>IF(#REF!,"AAAAADnrqa8=",0)</f>
        <v>#REF!</v>
      </c>
      <c r="FU90" t="e">
        <f>AND(#REF!,"AAAAADnrqbA=")</f>
        <v>#REF!</v>
      </c>
      <c r="FV90" t="e">
        <f>AND(#REF!,"AAAAADnrqbE=")</f>
        <v>#REF!</v>
      </c>
      <c r="FW90" t="e">
        <f>AND(#REF!,"AAAAADnrqbI=")</f>
        <v>#REF!</v>
      </c>
      <c r="FX90" t="e">
        <f>AND(#REF!,"AAAAADnrqbM=")</f>
        <v>#REF!</v>
      </c>
      <c r="FY90" t="e">
        <f>AND(#REF!,"AAAAADnrqbQ=")</f>
        <v>#REF!</v>
      </c>
      <c r="FZ90" t="e">
        <f>AND(#REF!,"AAAAADnrqbU=")</f>
        <v>#REF!</v>
      </c>
      <c r="GA90" t="e">
        <f>AND(#REF!,"AAAAADnrqbY=")</f>
        <v>#REF!</v>
      </c>
      <c r="GB90" t="e">
        <f>AND(#REF!,"AAAAADnrqbc=")</f>
        <v>#REF!</v>
      </c>
      <c r="GC90" t="e">
        <f>IF(#REF!,"AAAAADnrqbg=",0)</f>
        <v>#REF!</v>
      </c>
      <c r="GD90" t="e">
        <f>AND(#REF!,"AAAAADnrqbk=")</f>
        <v>#REF!</v>
      </c>
      <c r="GE90" t="e">
        <f>AND(#REF!,"AAAAADnrqbo=")</f>
        <v>#REF!</v>
      </c>
      <c r="GF90" t="e">
        <f>AND(#REF!,"AAAAADnrqbs=")</f>
        <v>#REF!</v>
      </c>
      <c r="GG90" t="e">
        <f>AND(#REF!,"AAAAADnrqbw=")</f>
        <v>#REF!</v>
      </c>
      <c r="GH90" t="e">
        <f>AND(#REF!,"AAAAADnrqb0=")</f>
        <v>#REF!</v>
      </c>
      <c r="GI90" t="e">
        <f>AND(#REF!,"AAAAADnrqb4=")</f>
        <v>#REF!</v>
      </c>
      <c r="GJ90" t="e">
        <f>AND(#REF!,"AAAAADnrqb8=")</f>
        <v>#REF!</v>
      </c>
      <c r="GK90" t="e">
        <f>AND(#REF!,"AAAAADnrqcA=")</f>
        <v>#REF!</v>
      </c>
      <c r="GL90" t="e">
        <f>IF(#REF!,"AAAAADnrqcE=",0)</f>
        <v>#REF!</v>
      </c>
      <c r="GM90" t="e">
        <f>AND(#REF!,"AAAAADnrqcI=")</f>
        <v>#REF!</v>
      </c>
      <c r="GN90" t="e">
        <f>AND(#REF!,"AAAAADnrqcM=")</f>
        <v>#REF!</v>
      </c>
      <c r="GO90" t="e">
        <f>AND(#REF!,"AAAAADnrqcQ=")</f>
        <v>#REF!</v>
      </c>
      <c r="GP90" t="e">
        <f>AND(#REF!,"AAAAADnrqcU=")</f>
        <v>#REF!</v>
      </c>
      <c r="GQ90" t="e">
        <f>AND(#REF!,"AAAAADnrqcY=")</f>
        <v>#REF!</v>
      </c>
      <c r="GR90" t="e">
        <f>AND(#REF!,"AAAAADnrqcc=")</f>
        <v>#REF!</v>
      </c>
      <c r="GS90" t="e">
        <f>AND(#REF!,"AAAAADnrqcg=")</f>
        <v>#REF!</v>
      </c>
      <c r="GT90" t="e">
        <f>AND(#REF!,"AAAAADnrqck=")</f>
        <v>#REF!</v>
      </c>
      <c r="GU90" t="e">
        <f>IF(#REF!,"AAAAADnrqco=",0)</f>
        <v>#REF!</v>
      </c>
      <c r="GV90" t="e">
        <f>AND(#REF!,"AAAAADnrqcs=")</f>
        <v>#REF!</v>
      </c>
      <c r="GW90" t="e">
        <f>AND(#REF!,"AAAAADnrqcw=")</f>
        <v>#REF!</v>
      </c>
      <c r="GX90" t="e">
        <f>AND(#REF!,"AAAAADnrqc0=")</f>
        <v>#REF!</v>
      </c>
      <c r="GY90" t="e">
        <f>AND(#REF!,"AAAAADnrqc4=")</f>
        <v>#REF!</v>
      </c>
      <c r="GZ90" t="e">
        <f>AND(#REF!,"AAAAADnrqc8=")</f>
        <v>#REF!</v>
      </c>
      <c r="HA90" t="e">
        <f>AND(#REF!,"AAAAADnrqdA=")</f>
        <v>#REF!</v>
      </c>
      <c r="HB90" t="e">
        <f>AND(#REF!,"AAAAADnrqdE=")</f>
        <v>#REF!</v>
      </c>
      <c r="HC90" t="e">
        <f>AND(#REF!,"AAAAADnrqdI=")</f>
        <v>#REF!</v>
      </c>
      <c r="HD90" t="e">
        <f>IF(#REF!,"AAAAADnrqdM=",0)</f>
        <v>#REF!</v>
      </c>
      <c r="HE90" t="e">
        <f>AND(#REF!,"AAAAADnrqdQ=")</f>
        <v>#REF!</v>
      </c>
      <c r="HF90" t="e">
        <f>AND(#REF!,"AAAAADnrqdU=")</f>
        <v>#REF!</v>
      </c>
      <c r="HG90" t="e">
        <f>AND(#REF!,"AAAAADnrqdY=")</f>
        <v>#REF!</v>
      </c>
      <c r="HH90" t="e">
        <f>AND(#REF!,"AAAAADnrqdc=")</f>
        <v>#REF!</v>
      </c>
      <c r="HI90" t="e">
        <f>AND(#REF!,"AAAAADnrqdg=")</f>
        <v>#REF!</v>
      </c>
      <c r="HJ90" t="e">
        <f>AND(#REF!,"AAAAADnrqdk=")</f>
        <v>#REF!</v>
      </c>
      <c r="HK90" t="e">
        <f>AND(#REF!,"AAAAADnrqdo=")</f>
        <v>#REF!</v>
      </c>
      <c r="HL90" t="e">
        <f>AND(#REF!,"AAAAADnrqds=")</f>
        <v>#REF!</v>
      </c>
      <c r="HM90" t="e">
        <f>IF(#REF!,"AAAAADnrqdw=",0)</f>
        <v>#REF!</v>
      </c>
      <c r="HN90" t="e">
        <f>AND(#REF!,"AAAAADnrqd0=")</f>
        <v>#REF!</v>
      </c>
      <c r="HO90" t="e">
        <f>AND(#REF!,"AAAAADnrqd4=")</f>
        <v>#REF!</v>
      </c>
      <c r="HP90" t="e">
        <f>AND(#REF!,"AAAAADnrqd8=")</f>
        <v>#REF!</v>
      </c>
      <c r="HQ90" t="e">
        <f>AND(#REF!,"AAAAADnrqeA=")</f>
        <v>#REF!</v>
      </c>
      <c r="HR90" t="e">
        <f>AND(#REF!,"AAAAADnrqeE=")</f>
        <v>#REF!</v>
      </c>
      <c r="HS90" t="e">
        <f>AND(#REF!,"AAAAADnrqeI=")</f>
        <v>#REF!</v>
      </c>
      <c r="HT90" t="e">
        <f>AND(#REF!,"AAAAADnrqeM=")</f>
        <v>#REF!</v>
      </c>
      <c r="HU90" t="e">
        <f>AND(#REF!,"AAAAADnrqeQ=")</f>
        <v>#REF!</v>
      </c>
      <c r="HV90" t="e">
        <f>IF(#REF!,"AAAAADnrqeU=",0)</f>
        <v>#REF!</v>
      </c>
      <c r="HW90" t="e">
        <f>AND(#REF!,"AAAAADnrqeY=")</f>
        <v>#REF!</v>
      </c>
      <c r="HX90" t="e">
        <f>AND(#REF!,"AAAAADnrqec=")</f>
        <v>#REF!</v>
      </c>
      <c r="HY90" t="e">
        <f>AND(#REF!,"AAAAADnrqeg=")</f>
        <v>#REF!</v>
      </c>
      <c r="HZ90" t="e">
        <f>AND(#REF!,"AAAAADnrqek=")</f>
        <v>#REF!</v>
      </c>
      <c r="IA90" t="e">
        <f>AND(#REF!,"AAAAADnrqeo=")</f>
        <v>#REF!</v>
      </c>
      <c r="IB90" t="e">
        <f>AND(#REF!,"AAAAADnrqes=")</f>
        <v>#REF!</v>
      </c>
      <c r="IC90" t="e">
        <f>AND(#REF!,"AAAAADnrqew=")</f>
        <v>#REF!</v>
      </c>
      <c r="ID90" t="e">
        <f>AND(#REF!,"AAAAADnrqe0=")</f>
        <v>#REF!</v>
      </c>
      <c r="IE90" t="e">
        <f>IF(#REF!,"AAAAADnrqe4=",0)</f>
        <v>#REF!</v>
      </c>
      <c r="IF90" t="e">
        <f>AND(#REF!,"AAAAADnrqe8=")</f>
        <v>#REF!</v>
      </c>
      <c r="IG90" t="e">
        <f>AND(#REF!,"AAAAADnrqfA=")</f>
        <v>#REF!</v>
      </c>
      <c r="IH90" t="e">
        <f>AND(#REF!,"AAAAADnrqfE=")</f>
        <v>#REF!</v>
      </c>
      <c r="II90" t="e">
        <f>AND(#REF!,"AAAAADnrqfI=")</f>
        <v>#REF!</v>
      </c>
      <c r="IJ90" t="e">
        <f>AND(#REF!,"AAAAADnrqfM=")</f>
        <v>#REF!</v>
      </c>
      <c r="IK90" t="e">
        <f>AND(#REF!,"AAAAADnrqfQ=")</f>
        <v>#REF!</v>
      </c>
      <c r="IL90" t="e">
        <f>AND(#REF!,"AAAAADnrqfU=")</f>
        <v>#REF!</v>
      </c>
      <c r="IM90" t="e">
        <f>AND(#REF!,"AAAAADnrqfY=")</f>
        <v>#REF!</v>
      </c>
      <c r="IN90" t="e">
        <f>IF(#REF!,"AAAAADnrqfc=",0)</f>
        <v>#REF!</v>
      </c>
      <c r="IO90" t="e">
        <f>AND(#REF!,"AAAAADnrqfg=")</f>
        <v>#REF!</v>
      </c>
      <c r="IP90" t="e">
        <f>AND(#REF!,"AAAAADnrqfk=")</f>
        <v>#REF!</v>
      </c>
      <c r="IQ90" t="e">
        <f>AND(#REF!,"AAAAADnrqfo=")</f>
        <v>#REF!</v>
      </c>
      <c r="IR90" t="e">
        <f>AND(#REF!,"AAAAADnrqfs=")</f>
        <v>#REF!</v>
      </c>
      <c r="IS90" t="e">
        <f>AND(#REF!,"AAAAADnrqfw=")</f>
        <v>#REF!</v>
      </c>
      <c r="IT90" t="e">
        <f>AND(#REF!,"AAAAADnrqf0=")</f>
        <v>#REF!</v>
      </c>
      <c r="IU90" t="e">
        <f>AND(#REF!,"AAAAADnrqf4=")</f>
        <v>#REF!</v>
      </c>
      <c r="IV90" t="e">
        <f>AND(#REF!,"AAAAADnrqf8=")</f>
        <v>#REF!</v>
      </c>
    </row>
    <row r="91" spans="1:256" x14ac:dyDescent="0.25">
      <c r="A91" t="e">
        <f>IF(#REF!,"AAAAAH97awA=",0)</f>
        <v>#REF!</v>
      </c>
      <c r="B91" t="e">
        <f>AND(#REF!,"AAAAAH97awE=")</f>
        <v>#REF!</v>
      </c>
      <c r="C91" t="e">
        <f>AND(#REF!,"AAAAAH97awI=")</f>
        <v>#REF!</v>
      </c>
      <c r="D91" t="e">
        <f>AND(#REF!,"AAAAAH97awM=")</f>
        <v>#REF!</v>
      </c>
      <c r="E91" t="e">
        <f>AND(#REF!,"AAAAAH97awQ=")</f>
        <v>#REF!</v>
      </c>
      <c r="F91" t="e">
        <f>AND(#REF!,"AAAAAH97awU=")</f>
        <v>#REF!</v>
      </c>
      <c r="G91" t="e">
        <f>AND(#REF!,"AAAAAH97awY=")</f>
        <v>#REF!</v>
      </c>
      <c r="H91" t="e">
        <f>AND(#REF!,"AAAAAH97awc=")</f>
        <v>#REF!</v>
      </c>
      <c r="I91" t="e">
        <f>AND(#REF!,"AAAAAH97awg=")</f>
        <v>#REF!</v>
      </c>
      <c r="J91" t="e">
        <f>IF(#REF!,"AAAAAH97awk=",0)</f>
        <v>#REF!</v>
      </c>
      <c r="K91" t="e">
        <f>AND(#REF!,"AAAAAH97awo=")</f>
        <v>#REF!</v>
      </c>
      <c r="L91" t="e">
        <f>AND(#REF!,"AAAAAH97aws=")</f>
        <v>#REF!</v>
      </c>
      <c r="M91" t="e">
        <f>AND(#REF!,"AAAAAH97aww=")</f>
        <v>#REF!</v>
      </c>
      <c r="N91" t="e">
        <f>AND(#REF!,"AAAAAH97aw0=")</f>
        <v>#REF!</v>
      </c>
      <c r="O91" t="e">
        <f>AND(#REF!,"AAAAAH97aw4=")</f>
        <v>#REF!</v>
      </c>
      <c r="P91" t="e">
        <f>AND(#REF!,"AAAAAH97aw8=")</f>
        <v>#REF!</v>
      </c>
      <c r="Q91" t="e">
        <f>AND(#REF!,"AAAAAH97axA=")</f>
        <v>#REF!</v>
      </c>
      <c r="R91" t="e">
        <f>AND(#REF!,"AAAAAH97axE=")</f>
        <v>#REF!</v>
      </c>
      <c r="S91" t="e">
        <f>IF(#REF!,"AAAAAH97axI=",0)</f>
        <v>#REF!</v>
      </c>
      <c r="T91" t="e">
        <f>AND(#REF!,"AAAAAH97axM=")</f>
        <v>#REF!</v>
      </c>
      <c r="U91" t="e">
        <f>AND(#REF!,"AAAAAH97axQ=")</f>
        <v>#REF!</v>
      </c>
      <c r="V91" t="e">
        <f>AND(#REF!,"AAAAAH97axU=")</f>
        <v>#REF!</v>
      </c>
      <c r="W91" t="e">
        <f>AND(#REF!,"AAAAAH97axY=")</f>
        <v>#REF!</v>
      </c>
      <c r="X91" t="e">
        <f>AND(#REF!,"AAAAAH97axc=")</f>
        <v>#REF!</v>
      </c>
      <c r="Y91" t="e">
        <f>AND(#REF!,"AAAAAH97axg=")</f>
        <v>#REF!</v>
      </c>
      <c r="Z91" t="e">
        <f>AND(#REF!,"AAAAAH97axk=")</f>
        <v>#REF!</v>
      </c>
      <c r="AA91" t="e">
        <f>AND(#REF!,"AAAAAH97axo=")</f>
        <v>#REF!</v>
      </c>
      <c r="AB91" t="e">
        <f>IF(#REF!,"AAAAAH97axs=",0)</f>
        <v>#REF!</v>
      </c>
      <c r="AC91" t="e">
        <f>AND(#REF!,"AAAAAH97axw=")</f>
        <v>#REF!</v>
      </c>
      <c r="AD91" t="e">
        <f>AND(#REF!,"AAAAAH97ax0=")</f>
        <v>#REF!</v>
      </c>
      <c r="AE91" t="e">
        <f>AND(#REF!,"AAAAAH97ax4=")</f>
        <v>#REF!</v>
      </c>
      <c r="AF91" t="e">
        <f>AND(#REF!,"AAAAAH97ax8=")</f>
        <v>#REF!</v>
      </c>
      <c r="AG91" t="e">
        <f>AND(#REF!,"AAAAAH97ayA=")</f>
        <v>#REF!</v>
      </c>
      <c r="AH91" t="e">
        <f>AND(#REF!,"AAAAAH97ayE=")</f>
        <v>#REF!</v>
      </c>
      <c r="AI91" t="e">
        <f>AND(#REF!,"AAAAAH97ayI=")</f>
        <v>#REF!</v>
      </c>
      <c r="AJ91" t="e">
        <f>AND(#REF!,"AAAAAH97ayM=")</f>
        <v>#REF!</v>
      </c>
      <c r="AK91" t="e">
        <f>IF(#REF!,"AAAAAH97ayQ=",0)</f>
        <v>#REF!</v>
      </c>
      <c r="AL91" t="e">
        <f>AND(#REF!,"AAAAAH97ayU=")</f>
        <v>#REF!</v>
      </c>
      <c r="AM91" t="e">
        <f>AND(#REF!,"AAAAAH97ayY=")</f>
        <v>#REF!</v>
      </c>
      <c r="AN91" t="e">
        <f>AND(#REF!,"AAAAAH97ayc=")</f>
        <v>#REF!</v>
      </c>
      <c r="AO91" t="e">
        <f>AND(#REF!,"AAAAAH97ayg=")</f>
        <v>#REF!</v>
      </c>
      <c r="AP91" t="e">
        <f>AND(#REF!,"AAAAAH97ayk=")</f>
        <v>#REF!</v>
      </c>
      <c r="AQ91" t="e">
        <f>AND(#REF!,"AAAAAH97ayo=")</f>
        <v>#REF!</v>
      </c>
      <c r="AR91" t="e">
        <f>AND(#REF!,"AAAAAH97ays=")</f>
        <v>#REF!</v>
      </c>
      <c r="AS91" t="e">
        <f>AND(#REF!,"AAAAAH97ayw=")</f>
        <v>#REF!</v>
      </c>
      <c r="AT91" t="e">
        <f>IF(#REF!,"AAAAAH97ay0=",0)</f>
        <v>#REF!</v>
      </c>
      <c r="AU91" t="e">
        <f>AND(#REF!,"AAAAAH97ay4=")</f>
        <v>#REF!</v>
      </c>
      <c r="AV91" t="e">
        <f>AND(#REF!,"AAAAAH97ay8=")</f>
        <v>#REF!</v>
      </c>
      <c r="AW91" t="e">
        <f>AND(#REF!,"AAAAAH97azA=")</f>
        <v>#REF!</v>
      </c>
      <c r="AX91" t="e">
        <f>AND(#REF!,"AAAAAH97azE=")</f>
        <v>#REF!</v>
      </c>
      <c r="AY91" t="e">
        <f>AND(#REF!,"AAAAAH97azI=")</f>
        <v>#REF!</v>
      </c>
      <c r="AZ91" t="e">
        <f>AND(#REF!,"AAAAAH97azM=")</f>
        <v>#REF!</v>
      </c>
      <c r="BA91" t="e">
        <f>AND(#REF!,"AAAAAH97azQ=")</f>
        <v>#REF!</v>
      </c>
      <c r="BB91" t="e">
        <f>AND(#REF!,"AAAAAH97azU=")</f>
        <v>#REF!</v>
      </c>
      <c r="BC91" t="e">
        <f>IF(#REF!,"AAAAAH97azY=",0)</f>
        <v>#REF!</v>
      </c>
      <c r="BD91" t="e">
        <f>AND(#REF!,"AAAAAH97azc=")</f>
        <v>#REF!</v>
      </c>
      <c r="BE91" t="e">
        <f>AND(#REF!,"AAAAAH97azg=")</f>
        <v>#REF!</v>
      </c>
      <c r="BF91" t="e">
        <f>AND(#REF!,"AAAAAH97azk=")</f>
        <v>#REF!</v>
      </c>
      <c r="BG91" t="e">
        <f>AND(#REF!,"AAAAAH97azo=")</f>
        <v>#REF!</v>
      </c>
      <c r="BH91" t="e">
        <f>AND(#REF!,"AAAAAH97azs=")</f>
        <v>#REF!</v>
      </c>
      <c r="BI91" t="e">
        <f>AND(#REF!,"AAAAAH97azw=")</f>
        <v>#REF!</v>
      </c>
      <c r="BJ91" t="e">
        <f>AND(#REF!,"AAAAAH97az0=")</f>
        <v>#REF!</v>
      </c>
      <c r="BK91" t="e">
        <f>AND(#REF!,"AAAAAH97az4=")</f>
        <v>#REF!</v>
      </c>
      <c r="BL91" t="e">
        <f>IF(#REF!,"AAAAAH97az8=",0)</f>
        <v>#REF!</v>
      </c>
      <c r="BM91" t="e">
        <f>AND(#REF!,"AAAAAH97a0A=")</f>
        <v>#REF!</v>
      </c>
      <c r="BN91" t="e">
        <f>AND(#REF!,"AAAAAH97a0E=")</f>
        <v>#REF!</v>
      </c>
      <c r="BO91" t="e">
        <f>AND(#REF!,"AAAAAH97a0I=")</f>
        <v>#REF!</v>
      </c>
      <c r="BP91" t="e">
        <f>AND(#REF!,"AAAAAH97a0M=")</f>
        <v>#REF!</v>
      </c>
      <c r="BQ91" t="e">
        <f>AND(#REF!,"AAAAAH97a0Q=")</f>
        <v>#REF!</v>
      </c>
      <c r="BR91" t="e">
        <f>AND(#REF!,"AAAAAH97a0U=")</f>
        <v>#REF!</v>
      </c>
      <c r="BS91" t="e">
        <f>AND(#REF!,"AAAAAH97a0Y=")</f>
        <v>#REF!</v>
      </c>
      <c r="BT91" t="e">
        <f>AND(#REF!,"AAAAAH97a0c=")</f>
        <v>#REF!</v>
      </c>
      <c r="BU91" t="e">
        <f>IF(#REF!,"AAAAAH97a0g=",0)</f>
        <v>#REF!</v>
      </c>
      <c r="BV91" t="e">
        <f>AND(#REF!,"AAAAAH97a0k=")</f>
        <v>#REF!</v>
      </c>
      <c r="BW91" t="e">
        <f>AND(#REF!,"AAAAAH97a0o=")</f>
        <v>#REF!</v>
      </c>
      <c r="BX91" t="e">
        <f>AND(#REF!,"AAAAAH97a0s=")</f>
        <v>#REF!</v>
      </c>
      <c r="BY91" t="e">
        <f>AND(#REF!,"AAAAAH97a0w=")</f>
        <v>#REF!</v>
      </c>
      <c r="BZ91" t="e">
        <f>AND(#REF!,"AAAAAH97a00=")</f>
        <v>#REF!</v>
      </c>
      <c r="CA91" t="e">
        <f>AND(#REF!,"AAAAAH97a04=")</f>
        <v>#REF!</v>
      </c>
      <c r="CB91" t="e">
        <f>AND(#REF!,"AAAAAH97a08=")</f>
        <v>#REF!</v>
      </c>
      <c r="CC91" t="e">
        <f>AND(#REF!,"AAAAAH97a1A=")</f>
        <v>#REF!</v>
      </c>
      <c r="CD91" t="e">
        <f>IF(#REF!,"AAAAAH97a1E=",0)</f>
        <v>#REF!</v>
      </c>
      <c r="CE91" t="e">
        <f>AND(#REF!,"AAAAAH97a1I=")</f>
        <v>#REF!</v>
      </c>
      <c r="CF91" t="e">
        <f>AND(#REF!,"AAAAAH97a1M=")</f>
        <v>#REF!</v>
      </c>
      <c r="CG91" t="e">
        <f>AND(#REF!,"AAAAAH97a1Q=")</f>
        <v>#REF!</v>
      </c>
      <c r="CH91" t="e">
        <f>AND(#REF!,"AAAAAH97a1U=")</f>
        <v>#REF!</v>
      </c>
      <c r="CI91" t="e">
        <f>AND(#REF!,"AAAAAH97a1Y=")</f>
        <v>#REF!</v>
      </c>
      <c r="CJ91" t="e">
        <f>AND(#REF!,"AAAAAH97a1c=")</f>
        <v>#REF!</v>
      </c>
      <c r="CK91" t="e">
        <f>AND(#REF!,"AAAAAH97a1g=")</f>
        <v>#REF!</v>
      </c>
      <c r="CL91" t="e">
        <f>AND(#REF!,"AAAAAH97a1k=")</f>
        <v>#REF!</v>
      </c>
      <c r="CM91" t="e">
        <f>IF(#REF!,"AAAAAH97a1o=",0)</f>
        <v>#REF!</v>
      </c>
      <c r="CN91" t="e">
        <f>AND(#REF!,"AAAAAH97a1s=")</f>
        <v>#REF!</v>
      </c>
      <c r="CO91" t="e">
        <f>AND(#REF!,"AAAAAH97a1w=")</f>
        <v>#REF!</v>
      </c>
      <c r="CP91" t="e">
        <f>AND(#REF!,"AAAAAH97a10=")</f>
        <v>#REF!</v>
      </c>
      <c r="CQ91" t="e">
        <f>AND(#REF!,"AAAAAH97a14=")</f>
        <v>#REF!</v>
      </c>
      <c r="CR91" t="e">
        <f>AND(#REF!,"AAAAAH97a18=")</f>
        <v>#REF!</v>
      </c>
      <c r="CS91" t="e">
        <f>AND(#REF!,"AAAAAH97a2A=")</f>
        <v>#REF!</v>
      </c>
      <c r="CT91" t="e">
        <f>AND(#REF!,"AAAAAH97a2E=")</f>
        <v>#REF!</v>
      </c>
      <c r="CU91" t="e">
        <f>AND(#REF!,"AAAAAH97a2I=")</f>
        <v>#REF!</v>
      </c>
      <c r="CV91" t="e">
        <f>IF(#REF!,"AAAAAH97a2M=",0)</f>
        <v>#REF!</v>
      </c>
      <c r="CW91" t="e">
        <f>AND(#REF!,"AAAAAH97a2Q=")</f>
        <v>#REF!</v>
      </c>
      <c r="CX91" t="e">
        <f>AND(#REF!,"AAAAAH97a2U=")</f>
        <v>#REF!</v>
      </c>
      <c r="CY91" t="e">
        <f>AND(#REF!,"AAAAAH97a2Y=")</f>
        <v>#REF!</v>
      </c>
      <c r="CZ91" t="e">
        <f>AND(#REF!,"AAAAAH97a2c=")</f>
        <v>#REF!</v>
      </c>
      <c r="DA91" t="e">
        <f>AND(#REF!,"AAAAAH97a2g=")</f>
        <v>#REF!</v>
      </c>
      <c r="DB91" t="e">
        <f>AND(#REF!,"AAAAAH97a2k=")</f>
        <v>#REF!</v>
      </c>
      <c r="DC91" t="e">
        <f>AND(#REF!,"AAAAAH97a2o=")</f>
        <v>#REF!</v>
      </c>
      <c r="DD91" t="e">
        <f>AND(#REF!,"AAAAAH97a2s=")</f>
        <v>#REF!</v>
      </c>
      <c r="DE91" t="e">
        <f>IF(#REF!,"AAAAAH97a2w=",0)</f>
        <v>#REF!</v>
      </c>
      <c r="DF91" t="e">
        <f>AND(#REF!,"AAAAAH97a20=")</f>
        <v>#REF!</v>
      </c>
      <c r="DG91" t="e">
        <f>AND(#REF!,"AAAAAH97a24=")</f>
        <v>#REF!</v>
      </c>
      <c r="DH91" t="e">
        <f>AND(#REF!,"AAAAAH97a28=")</f>
        <v>#REF!</v>
      </c>
      <c r="DI91" t="e">
        <f>AND(#REF!,"AAAAAH97a3A=")</f>
        <v>#REF!</v>
      </c>
      <c r="DJ91" t="e">
        <f>AND(#REF!,"AAAAAH97a3E=")</f>
        <v>#REF!</v>
      </c>
      <c r="DK91" t="e">
        <f>AND(#REF!,"AAAAAH97a3I=")</f>
        <v>#REF!</v>
      </c>
      <c r="DL91" t="e">
        <f>AND(#REF!,"AAAAAH97a3M=")</f>
        <v>#REF!</v>
      </c>
      <c r="DM91" t="e">
        <f>AND(#REF!,"AAAAAH97a3Q=")</f>
        <v>#REF!</v>
      </c>
      <c r="DN91" t="e">
        <f>IF(#REF!,"AAAAAH97a3U=",0)</f>
        <v>#REF!</v>
      </c>
      <c r="DO91" t="e">
        <f>AND(#REF!,"AAAAAH97a3Y=")</f>
        <v>#REF!</v>
      </c>
      <c r="DP91" t="e">
        <f>AND(#REF!,"AAAAAH97a3c=")</f>
        <v>#REF!</v>
      </c>
      <c r="DQ91" t="e">
        <f>AND(#REF!,"AAAAAH97a3g=")</f>
        <v>#REF!</v>
      </c>
      <c r="DR91" t="e">
        <f>AND(#REF!,"AAAAAH97a3k=")</f>
        <v>#REF!</v>
      </c>
      <c r="DS91" t="e">
        <f>AND(#REF!,"AAAAAH97a3o=")</f>
        <v>#REF!</v>
      </c>
      <c r="DT91" t="e">
        <f>AND(#REF!,"AAAAAH97a3s=")</f>
        <v>#REF!</v>
      </c>
      <c r="DU91" t="e">
        <f>AND(#REF!,"AAAAAH97a3w=")</f>
        <v>#REF!</v>
      </c>
      <c r="DV91" t="e">
        <f>AND(#REF!,"AAAAAH97a30=")</f>
        <v>#REF!</v>
      </c>
      <c r="DW91" t="e">
        <f>IF(#REF!,"AAAAAH97a34=",0)</f>
        <v>#REF!</v>
      </c>
      <c r="DX91" t="e">
        <f>AND(#REF!,"AAAAAH97a38=")</f>
        <v>#REF!</v>
      </c>
      <c r="DY91" t="e">
        <f>AND(#REF!,"AAAAAH97a4A=")</f>
        <v>#REF!</v>
      </c>
      <c r="DZ91" t="e">
        <f>AND(#REF!,"AAAAAH97a4E=")</f>
        <v>#REF!</v>
      </c>
      <c r="EA91" t="e">
        <f>AND(#REF!,"AAAAAH97a4I=")</f>
        <v>#REF!</v>
      </c>
      <c r="EB91" t="e">
        <f>AND(#REF!,"AAAAAH97a4M=")</f>
        <v>#REF!</v>
      </c>
      <c r="EC91" t="e">
        <f>AND(#REF!,"AAAAAH97a4Q=")</f>
        <v>#REF!</v>
      </c>
      <c r="ED91" t="e">
        <f>AND(#REF!,"AAAAAH97a4U=")</f>
        <v>#REF!</v>
      </c>
      <c r="EE91" t="e">
        <f>AND(#REF!,"AAAAAH97a4Y=")</f>
        <v>#REF!</v>
      </c>
      <c r="EF91" t="e">
        <f>IF(#REF!,"AAAAAH97a4c=",0)</f>
        <v>#REF!</v>
      </c>
      <c r="EG91" t="e">
        <f>AND(#REF!,"AAAAAH97a4g=")</f>
        <v>#REF!</v>
      </c>
      <c r="EH91" t="e">
        <f>AND(#REF!,"AAAAAH97a4k=")</f>
        <v>#REF!</v>
      </c>
      <c r="EI91" t="e">
        <f>AND(#REF!,"AAAAAH97a4o=")</f>
        <v>#REF!</v>
      </c>
      <c r="EJ91" t="e">
        <f>AND(#REF!,"AAAAAH97a4s=")</f>
        <v>#REF!</v>
      </c>
      <c r="EK91" t="e">
        <f>AND(#REF!,"AAAAAH97a4w=")</f>
        <v>#REF!</v>
      </c>
      <c r="EL91" t="e">
        <f>AND(#REF!,"AAAAAH97a40=")</f>
        <v>#REF!</v>
      </c>
      <c r="EM91" t="e">
        <f>AND(#REF!,"AAAAAH97a44=")</f>
        <v>#REF!</v>
      </c>
      <c r="EN91" t="e">
        <f>AND(#REF!,"AAAAAH97a48=")</f>
        <v>#REF!</v>
      </c>
      <c r="EO91" t="e">
        <f>IF(#REF!,"AAAAAH97a5A=",0)</f>
        <v>#REF!</v>
      </c>
      <c r="EP91" t="e">
        <f>AND(#REF!,"AAAAAH97a5E=")</f>
        <v>#REF!</v>
      </c>
      <c r="EQ91" t="e">
        <f>AND(#REF!,"AAAAAH97a5I=")</f>
        <v>#REF!</v>
      </c>
      <c r="ER91" t="e">
        <f>AND(#REF!,"AAAAAH97a5M=")</f>
        <v>#REF!</v>
      </c>
      <c r="ES91" t="e">
        <f>AND(#REF!,"AAAAAH97a5Q=")</f>
        <v>#REF!</v>
      </c>
      <c r="ET91" t="e">
        <f>AND(#REF!,"AAAAAH97a5U=")</f>
        <v>#REF!</v>
      </c>
      <c r="EU91" t="e">
        <f>AND(#REF!,"AAAAAH97a5Y=")</f>
        <v>#REF!</v>
      </c>
      <c r="EV91" t="e">
        <f>AND(#REF!,"AAAAAH97a5c=")</f>
        <v>#REF!</v>
      </c>
      <c r="EW91" t="e">
        <f>AND(#REF!,"AAAAAH97a5g=")</f>
        <v>#REF!</v>
      </c>
      <c r="EX91" t="e">
        <f>IF(#REF!,"AAAAAH97a5k=",0)</f>
        <v>#REF!</v>
      </c>
      <c r="EY91" t="e">
        <f>AND(#REF!,"AAAAAH97a5o=")</f>
        <v>#REF!</v>
      </c>
      <c r="EZ91" t="e">
        <f>AND(#REF!,"AAAAAH97a5s=")</f>
        <v>#REF!</v>
      </c>
      <c r="FA91" t="e">
        <f>AND(#REF!,"AAAAAH97a5w=")</f>
        <v>#REF!</v>
      </c>
      <c r="FB91" t="e">
        <f>AND(#REF!,"AAAAAH97a50=")</f>
        <v>#REF!</v>
      </c>
      <c r="FC91" t="e">
        <f>AND(#REF!,"AAAAAH97a54=")</f>
        <v>#REF!</v>
      </c>
      <c r="FD91" t="e">
        <f>AND(#REF!,"AAAAAH97a58=")</f>
        <v>#REF!</v>
      </c>
      <c r="FE91" t="e">
        <f>AND(#REF!,"AAAAAH97a6A=")</f>
        <v>#REF!</v>
      </c>
      <c r="FF91" t="e">
        <f>AND(#REF!,"AAAAAH97a6E=")</f>
        <v>#REF!</v>
      </c>
      <c r="FG91" t="e">
        <f>IF(#REF!,"AAAAAH97a6I=",0)</f>
        <v>#REF!</v>
      </c>
      <c r="FH91" t="e">
        <f>AND(#REF!,"AAAAAH97a6M=")</f>
        <v>#REF!</v>
      </c>
      <c r="FI91" t="e">
        <f>AND(#REF!,"AAAAAH97a6Q=")</f>
        <v>#REF!</v>
      </c>
      <c r="FJ91" t="e">
        <f>AND(#REF!,"AAAAAH97a6U=")</f>
        <v>#REF!</v>
      </c>
      <c r="FK91" t="e">
        <f>AND(#REF!,"AAAAAH97a6Y=")</f>
        <v>#REF!</v>
      </c>
      <c r="FL91" t="e">
        <f>AND(#REF!,"AAAAAH97a6c=")</f>
        <v>#REF!</v>
      </c>
      <c r="FM91" t="e">
        <f>AND(#REF!,"AAAAAH97a6g=")</f>
        <v>#REF!</v>
      </c>
      <c r="FN91" t="e">
        <f>AND(#REF!,"AAAAAH97a6k=")</f>
        <v>#REF!</v>
      </c>
      <c r="FO91" t="e">
        <f>AND(#REF!,"AAAAAH97a6o=")</f>
        <v>#REF!</v>
      </c>
      <c r="FP91" t="e">
        <f>IF(#REF!,"AAAAAH97a6s=",0)</f>
        <v>#REF!</v>
      </c>
      <c r="FQ91" t="e">
        <f>AND(#REF!,"AAAAAH97a6w=")</f>
        <v>#REF!</v>
      </c>
      <c r="FR91" t="e">
        <f>AND(#REF!,"AAAAAH97a60=")</f>
        <v>#REF!</v>
      </c>
      <c r="FS91" t="e">
        <f>AND(#REF!,"AAAAAH97a64=")</f>
        <v>#REF!</v>
      </c>
      <c r="FT91" t="e">
        <f>AND(#REF!,"AAAAAH97a68=")</f>
        <v>#REF!</v>
      </c>
      <c r="FU91" t="e">
        <f>AND(#REF!,"AAAAAH97a7A=")</f>
        <v>#REF!</v>
      </c>
      <c r="FV91" t="e">
        <f>AND(#REF!,"AAAAAH97a7E=")</f>
        <v>#REF!</v>
      </c>
      <c r="FW91" t="e">
        <f>AND(#REF!,"AAAAAH97a7I=")</f>
        <v>#REF!</v>
      </c>
      <c r="FX91" t="e">
        <f>AND(#REF!,"AAAAAH97a7M=")</f>
        <v>#REF!</v>
      </c>
      <c r="FY91" t="e">
        <f>IF(#REF!,"AAAAAH97a7Q=",0)</f>
        <v>#REF!</v>
      </c>
      <c r="FZ91" t="e">
        <f>AND(#REF!,"AAAAAH97a7U=")</f>
        <v>#REF!</v>
      </c>
      <c r="GA91" t="e">
        <f>AND(#REF!,"AAAAAH97a7Y=")</f>
        <v>#REF!</v>
      </c>
      <c r="GB91" t="e">
        <f>AND(#REF!,"AAAAAH97a7c=")</f>
        <v>#REF!</v>
      </c>
      <c r="GC91" t="e">
        <f>AND(#REF!,"AAAAAH97a7g=")</f>
        <v>#REF!</v>
      </c>
      <c r="GD91" t="e">
        <f>AND(#REF!,"AAAAAH97a7k=")</f>
        <v>#REF!</v>
      </c>
      <c r="GE91" t="e">
        <f>AND(#REF!,"AAAAAH97a7o=")</f>
        <v>#REF!</v>
      </c>
      <c r="GF91" t="e">
        <f>AND(#REF!,"AAAAAH97a7s=")</f>
        <v>#REF!</v>
      </c>
      <c r="GG91" t="e">
        <f>AND(#REF!,"AAAAAH97a7w=")</f>
        <v>#REF!</v>
      </c>
      <c r="GH91" t="e">
        <f>IF(#REF!,"AAAAAH97a70=",0)</f>
        <v>#REF!</v>
      </c>
      <c r="GI91" t="e">
        <f>AND(#REF!,"AAAAAH97a74=")</f>
        <v>#REF!</v>
      </c>
      <c r="GJ91" t="e">
        <f>AND(#REF!,"AAAAAH97a78=")</f>
        <v>#REF!</v>
      </c>
      <c r="GK91" t="e">
        <f>AND(#REF!,"AAAAAH97a8A=")</f>
        <v>#REF!</v>
      </c>
      <c r="GL91" t="e">
        <f>AND(#REF!,"AAAAAH97a8E=")</f>
        <v>#REF!</v>
      </c>
      <c r="GM91" t="e">
        <f>AND(#REF!,"AAAAAH97a8I=")</f>
        <v>#REF!</v>
      </c>
      <c r="GN91" t="e">
        <f>AND(#REF!,"AAAAAH97a8M=")</f>
        <v>#REF!</v>
      </c>
      <c r="GO91" t="e">
        <f>AND(#REF!,"AAAAAH97a8Q=")</f>
        <v>#REF!</v>
      </c>
      <c r="GP91" t="e">
        <f>AND(#REF!,"AAAAAH97a8U=")</f>
        <v>#REF!</v>
      </c>
      <c r="GQ91" t="e">
        <f>IF(#REF!,"AAAAAH97a8Y=",0)</f>
        <v>#REF!</v>
      </c>
      <c r="GR91" t="e">
        <f>AND(#REF!,"AAAAAH97a8c=")</f>
        <v>#REF!</v>
      </c>
      <c r="GS91" t="e">
        <f>AND(#REF!,"AAAAAH97a8g=")</f>
        <v>#REF!</v>
      </c>
      <c r="GT91" t="e">
        <f>AND(#REF!,"AAAAAH97a8k=")</f>
        <v>#REF!</v>
      </c>
      <c r="GU91" t="e">
        <f>AND(#REF!,"AAAAAH97a8o=")</f>
        <v>#REF!</v>
      </c>
      <c r="GV91" t="e">
        <f>AND(#REF!,"AAAAAH97a8s=")</f>
        <v>#REF!</v>
      </c>
      <c r="GW91" t="e">
        <f>AND(#REF!,"AAAAAH97a8w=")</f>
        <v>#REF!</v>
      </c>
      <c r="GX91" t="e">
        <f>AND(#REF!,"AAAAAH97a80=")</f>
        <v>#REF!</v>
      </c>
      <c r="GY91" t="e">
        <f>AND(#REF!,"AAAAAH97a84=")</f>
        <v>#REF!</v>
      </c>
      <c r="GZ91" t="e">
        <f>IF(#REF!,"AAAAAH97a88=",0)</f>
        <v>#REF!</v>
      </c>
      <c r="HA91" t="e">
        <f>AND(#REF!,"AAAAAH97a9A=")</f>
        <v>#REF!</v>
      </c>
      <c r="HB91" t="e">
        <f>AND(#REF!,"AAAAAH97a9E=")</f>
        <v>#REF!</v>
      </c>
      <c r="HC91" t="e">
        <f>AND(#REF!,"AAAAAH97a9I=")</f>
        <v>#REF!</v>
      </c>
      <c r="HD91" t="e">
        <f>AND(#REF!,"AAAAAH97a9M=")</f>
        <v>#REF!</v>
      </c>
      <c r="HE91" t="e">
        <f>AND(#REF!,"AAAAAH97a9Q=")</f>
        <v>#REF!</v>
      </c>
      <c r="HF91" t="e">
        <f>AND(#REF!,"AAAAAH97a9U=")</f>
        <v>#REF!</v>
      </c>
      <c r="HG91" t="e">
        <f>AND(#REF!,"AAAAAH97a9Y=")</f>
        <v>#REF!</v>
      </c>
      <c r="HH91" t="e">
        <f>AND(#REF!,"AAAAAH97a9c=")</f>
        <v>#REF!</v>
      </c>
      <c r="HI91" t="e">
        <f>IF(#REF!,"AAAAAH97a9g=",0)</f>
        <v>#REF!</v>
      </c>
      <c r="HJ91" t="e">
        <f>AND(#REF!,"AAAAAH97a9k=")</f>
        <v>#REF!</v>
      </c>
      <c r="HK91" t="e">
        <f>AND(#REF!,"AAAAAH97a9o=")</f>
        <v>#REF!</v>
      </c>
      <c r="HL91" t="e">
        <f>AND(#REF!,"AAAAAH97a9s=")</f>
        <v>#REF!</v>
      </c>
      <c r="HM91" t="e">
        <f>AND(#REF!,"AAAAAH97a9w=")</f>
        <v>#REF!</v>
      </c>
      <c r="HN91" t="e">
        <f>AND(#REF!,"AAAAAH97a90=")</f>
        <v>#REF!</v>
      </c>
      <c r="HO91" t="e">
        <f>AND(#REF!,"AAAAAH97a94=")</f>
        <v>#REF!</v>
      </c>
      <c r="HP91" t="e">
        <f>AND(#REF!,"AAAAAH97a98=")</f>
        <v>#REF!</v>
      </c>
      <c r="HQ91" t="e">
        <f>AND(#REF!,"AAAAAH97a+A=")</f>
        <v>#REF!</v>
      </c>
      <c r="HR91" t="e">
        <f>IF(#REF!,"AAAAAH97a+E=",0)</f>
        <v>#REF!</v>
      </c>
      <c r="HS91" t="e">
        <f>AND(#REF!,"AAAAAH97a+I=")</f>
        <v>#REF!</v>
      </c>
      <c r="HT91" t="e">
        <f>AND(#REF!,"AAAAAH97a+M=")</f>
        <v>#REF!</v>
      </c>
      <c r="HU91" t="e">
        <f>AND(#REF!,"AAAAAH97a+Q=")</f>
        <v>#REF!</v>
      </c>
      <c r="HV91" t="e">
        <f>AND(#REF!,"AAAAAH97a+U=")</f>
        <v>#REF!</v>
      </c>
      <c r="HW91" t="e">
        <f>AND(#REF!,"AAAAAH97a+Y=")</f>
        <v>#REF!</v>
      </c>
      <c r="HX91" t="e">
        <f>AND(#REF!,"AAAAAH97a+c=")</f>
        <v>#REF!</v>
      </c>
      <c r="HY91" t="e">
        <f>AND(#REF!,"AAAAAH97a+g=")</f>
        <v>#REF!</v>
      </c>
      <c r="HZ91" t="e">
        <f>AND(#REF!,"AAAAAH97a+k=")</f>
        <v>#REF!</v>
      </c>
      <c r="IA91" t="e">
        <f>IF(#REF!,"AAAAAH97a+o=",0)</f>
        <v>#REF!</v>
      </c>
      <c r="IB91" t="e">
        <f>AND(#REF!,"AAAAAH97a+s=")</f>
        <v>#REF!</v>
      </c>
      <c r="IC91" t="e">
        <f>AND(#REF!,"AAAAAH97a+w=")</f>
        <v>#REF!</v>
      </c>
      <c r="ID91" t="e">
        <f>AND(#REF!,"AAAAAH97a+0=")</f>
        <v>#REF!</v>
      </c>
      <c r="IE91" t="e">
        <f>AND(#REF!,"AAAAAH97a+4=")</f>
        <v>#REF!</v>
      </c>
      <c r="IF91" t="e">
        <f>AND(#REF!,"AAAAAH97a+8=")</f>
        <v>#REF!</v>
      </c>
      <c r="IG91" t="e">
        <f>AND(#REF!,"AAAAAH97a/A=")</f>
        <v>#REF!</v>
      </c>
      <c r="IH91" t="e">
        <f>AND(#REF!,"AAAAAH97a/E=")</f>
        <v>#REF!</v>
      </c>
      <c r="II91" t="e">
        <f>AND(#REF!,"AAAAAH97a/I=")</f>
        <v>#REF!</v>
      </c>
      <c r="IJ91" t="e">
        <f>IF(#REF!,"AAAAAH97a/M=",0)</f>
        <v>#REF!</v>
      </c>
      <c r="IK91" t="e">
        <f>AND(#REF!,"AAAAAH97a/Q=")</f>
        <v>#REF!</v>
      </c>
      <c r="IL91" t="e">
        <f>AND(#REF!,"AAAAAH97a/U=")</f>
        <v>#REF!</v>
      </c>
      <c r="IM91" t="e">
        <f>AND(#REF!,"AAAAAH97a/Y=")</f>
        <v>#REF!</v>
      </c>
      <c r="IN91" t="e">
        <f>AND(#REF!,"AAAAAH97a/c=")</f>
        <v>#REF!</v>
      </c>
      <c r="IO91" t="e">
        <f>AND(#REF!,"AAAAAH97a/g=")</f>
        <v>#REF!</v>
      </c>
      <c r="IP91" t="e">
        <f>AND(#REF!,"AAAAAH97a/k=")</f>
        <v>#REF!</v>
      </c>
      <c r="IQ91" t="e">
        <f>AND(#REF!,"AAAAAH97a/o=")</f>
        <v>#REF!</v>
      </c>
      <c r="IR91" t="e">
        <f>AND(#REF!,"AAAAAH97a/s=")</f>
        <v>#REF!</v>
      </c>
      <c r="IS91" t="e">
        <f>IF(#REF!,"AAAAAH97a/w=",0)</f>
        <v>#REF!</v>
      </c>
      <c r="IT91" t="e">
        <f>AND(#REF!,"AAAAAH97a/0=")</f>
        <v>#REF!</v>
      </c>
      <c r="IU91" t="e">
        <f>AND(#REF!,"AAAAAH97a/4=")</f>
        <v>#REF!</v>
      </c>
      <c r="IV91" t="e">
        <f>AND(#REF!,"AAAAAH97a/8=")</f>
        <v>#REF!</v>
      </c>
    </row>
    <row r="92" spans="1:256" x14ac:dyDescent="0.25">
      <c r="A92" t="e">
        <f>AND(#REF!,"AAAAAEv+9wA=")</f>
        <v>#REF!</v>
      </c>
      <c r="B92" t="e">
        <f>AND(#REF!,"AAAAAEv+9wE=")</f>
        <v>#REF!</v>
      </c>
      <c r="C92" t="e">
        <f>AND(#REF!,"AAAAAEv+9wI=")</f>
        <v>#REF!</v>
      </c>
      <c r="D92" t="e">
        <f>AND(#REF!,"AAAAAEv+9wM=")</f>
        <v>#REF!</v>
      </c>
      <c r="E92" t="e">
        <f>AND(#REF!,"AAAAAEv+9wQ=")</f>
        <v>#REF!</v>
      </c>
      <c r="F92" t="e">
        <f>IF(#REF!,"AAAAAEv+9wU=",0)</f>
        <v>#REF!</v>
      </c>
      <c r="G92" t="e">
        <f>AND(#REF!,"AAAAAEv+9wY=")</f>
        <v>#REF!</v>
      </c>
      <c r="H92" t="e">
        <f>AND(#REF!,"AAAAAEv+9wc=")</f>
        <v>#REF!</v>
      </c>
      <c r="I92" t="e">
        <f>AND(#REF!,"AAAAAEv+9wg=")</f>
        <v>#REF!</v>
      </c>
      <c r="J92" t="e">
        <f>AND(#REF!,"AAAAAEv+9wk=")</f>
        <v>#REF!</v>
      </c>
      <c r="K92" t="e">
        <f>AND(#REF!,"AAAAAEv+9wo=")</f>
        <v>#REF!</v>
      </c>
      <c r="L92" t="e">
        <f>AND(#REF!,"AAAAAEv+9ws=")</f>
        <v>#REF!</v>
      </c>
      <c r="M92" t="e">
        <f>AND(#REF!,"AAAAAEv+9ww=")</f>
        <v>#REF!</v>
      </c>
      <c r="N92" t="e">
        <f>AND(#REF!,"AAAAAEv+9w0=")</f>
        <v>#REF!</v>
      </c>
      <c r="O92" t="e">
        <f>IF(#REF!,"AAAAAEv+9w4=",0)</f>
        <v>#REF!</v>
      </c>
      <c r="P92" t="e">
        <f>AND(#REF!,"AAAAAEv+9w8=")</f>
        <v>#REF!</v>
      </c>
      <c r="Q92" t="e">
        <f>AND(#REF!,"AAAAAEv+9xA=")</f>
        <v>#REF!</v>
      </c>
      <c r="R92" t="e">
        <f>AND(#REF!,"AAAAAEv+9xE=")</f>
        <v>#REF!</v>
      </c>
      <c r="S92" t="e">
        <f>AND(#REF!,"AAAAAEv+9xI=")</f>
        <v>#REF!</v>
      </c>
      <c r="T92" t="e">
        <f>AND(#REF!,"AAAAAEv+9xM=")</f>
        <v>#REF!</v>
      </c>
      <c r="U92" t="e">
        <f>AND(#REF!,"AAAAAEv+9xQ=")</f>
        <v>#REF!</v>
      </c>
      <c r="V92" t="e">
        <f>AND(#REF!,"AAAAAEv+9xU=")</f>
        <v>#REF!</v>
      </c>
      <c r="W92" t="e">
        <f>AND(#REF!,"AAAAAEv+9xY=")</f>
        <v>#REF!</v>
      </c>
      <c r="X92" t="e">
        <f>IF(#REF!,"AAAAAEv+9xc=",0)</f>
        <v>#REF!</v>
      </c>
      <c r="Y92" t="e">
        <f>AND(#REF!,"AAAAAEv+9xg=")</f>
        <v>#REF!</v>
      </c>
      <c r="Z92" t="e">
        <f>AND(#REF!,"AAAAAEv+9xk=")</f>
        <v>#REF!</v>
      </c>
      <c r="AA92" t="e">
        <f>AND(#REF!,"AAAAAEv+9xo=")</f>
        <v>#REF!</v>
      </c>
      <c r="AB92" t="e">
        <f>AND(#REF!,"AAAAAEv+9xs=")</f>
        <v>#REF!</v>
      </c>
      <c r="AC92" t="e">
        <f>AND(#REF!,"AAAAAEv+9xw=")</f>
        <v>#REF!</v>
      </c>
      <c r="AD92" t="e">
        <f>AND(#REF!,"AAAAAEv+9x0=")</f>
        <v>#REF!</v>
      </c>
      <c r="AE92" t="e">
        <f>AND(#REF!,"AAAAAEv+9x4=")</f>
        <v>#REF!</v>
      </c>
      <c r="AF92" t="e">
        <f>AND(#REF!,"AAAAAEv+9x8=")</f>
        <v>#REF!</v>
      </c>
      <c r="AG92" t="e">
        <f>IF(#REF!,"AAAAAEv+9yA=",0)</f>
        <v>#REF!</v>
      </c>
      <c r="AH92" t="e">
        <f>AND(#REF!,"AAAAAEv+9yE=")</f>
        <v>#REF!</v>
      </c>
      <c r="AI92" t="e">
        <f>AND(#REF!,"AAAAAEv+9yI=")</f>
        <v>#REF!</v>
      </c>
      <c r="AJ92" t="e">
        <f>AND(#REF!,"AAAAAEv+9yM=")</f>
        <v>#REF!</v>
      </c>
      <c r="AK92" t="e">
        <f>AND(#REF!,"AAAAAEv+9yQ=")</f>
        <v>#REF!</v>
      </c>
      <c r="AL92" t="e">
        <f>AND(#REF!,"AAAAAEv+9yU=")</f>
        <v>#REF!</v>
      </c>
      <c r="AM92" t="e">
        <f>AND(#REF!,"AAAAAEv+9yY=")</f>
        <v>#REF!</v>
      </c>
      <c r="AN92" t="e">
        <f>AND(#REF!,"AAAAAEv+9yc=")</f>
        <v>#REF!</v>
      </c>
      <c r="AO92" t="e">
        <f>AND(#REF!,"AAAAAEv+9yg=")</f>
        <v>#REF!</v>
      </c>
      <c r="AP92" t="e">
        <f>IF(#REF!,"AAAAAEv+9yk=",0)</f>
        <v>#REF!</v>
      </c>
      <c r="AQ92" t="e">
        <f>AND(#REF!,"AAAAAEv+9yo=")</f>
        <v>#REF!</v>
      </c>
      <c r="AR92" t="e">
        <f>AND(#REF!,"AAAAAEv+9ys=")</f>
        <v>#REF!</v>
      </c>
      <c r="AS92" t="e">
        <f>AND(#REF!,"AAAAAEv+9yw=")</f>
        <v>#REF!</v>
      </c>
      <c r="AT92" t="e">
        <f>AND(#REF!,"AAAAAEv+9y0=")</f>
        <v>#REF!</v>
      </c>
      <c r="AU92" t="e">
        <f>AND(#REF!,"AAAAAEv+9y4=")</f>
        <v>#REF!</v>
      </c>
      <c r="AV92" t="e">
        <f>AND(#REF!,"AAAAAEv+9y8=")</f>
        <v>#REF!</v>
      </c>
      <c r="AW92" t="e">
        <f>AND(#REF!,"AAAAAEv+9zA=")</f>
        <v>#REF!</v>
      </c>
      <c r="AX92" t="e">
        <f>AND(#REF!,"AAAAAEv+9zE=")</f>
        <v>#REF!</v>
      </c>
      <c r="AY92" t="e">
        <f>IF(#REF!,"AAAAAEv+9zI=",0)</f>
        <v>#REF!</v>
      </c>
      <c r="AZ92" t="e">
        <f>AND(#REF!,"AAAAAEv+9zM=")</f>
        <v>#REF!</v>
      </c>
      <c r="BA92" t="e">
        <f>AND(#REF!,"AAAAAEv+9zQ=")</f>
        <v>#REF!</v>
      </c>
      <c r="BB92" t="e">
        <f>AND(#REF!,"AAAAAEv+9zU=")</f>
        <v>#REF!</v>
      </c>
      <c r="BC92" t="e">
        <f>AND(#REF!,"AAAAAEv+9zY=")</f>
        <v>#REF!</v>
      </c>
      <c r="BD92" t="e">
        <f>AND(#REF!,"AAAAAEv+9zc=")</f>
        <v>#REF!</v>
      </c>
      <c r="BE92" t="e">
        <f>AND(#REF!,"AAAAAEv+9zg=")</f>
        <v>#REF!</v>
      </c>
      <c r="BF92" t="e">
        <f>AND(#REF!,"AAAAAEv+9zk=")</f>
        <v>#REF!</v>
      </c>
      <c r="BG92" t="e">
        <f>AND(#REF!,"AAAAAEv+9zo=")</f>
        <v>#REF!</v>
      </c>
      <c r="BH92" t="e">
        <f>IF(#REF!,"AAAAAEv+9zs=",0)</f>
        <v>#REF!</v>
      </c>
      <c r="BI92" t="e">
        <f>AND(#REF!,"AAAAAEv+9zw=")</f>
        <v>#REF!</v>
      </c>
      <c r="BJ92" t="e">
        <f>AND(#REF!,"AAAAAEv+9z0=")</f>
        <v>#REF!</v>
      </c>
      <c r="BK92" t="e">
        <f>AND(#REF!,"AAAAAEv+9z4=")</f>
        <v>#REF!</v>
      </c>
      <c r="BL92" t="e">
        <f>AND(#REF!,"AAAAAEv+9z8=")</f>
        <v>#REF!</v>
      </c>
      <c r="BM92" t="e">
        <f>AND(#REF!,"AAAAAEv+90A=")</f>
        <v>#REF!</v>
      </c>
      <c r="BN92" t="e">
        <f>AND(#REF!,"AAAAAEv+90E=")</f>
        <v>#REF!</v>
      </c>
      <c r="BO92" t="e">
        <f>AND(#REF!,"AAAAAEv+90I=")</f>
        <v>#REF!</v>
      </c>
      <c r="BP92" t="e">
        <f>AND(#REF!,"AAAAAEv+90M=")</f>
        <v>#REF!</v>
      </c>
      <c r="BQ92" t="e">
        <f>IF(#REF!,"AAAAAEv+90Q=",0)</f>
        <v>#REF!</v>
      </c>
      <c r="BR92" t="e">
        <f>AND(#REF!,"AAAAAEv+90U=")</f>
        <v>#REF!</v>
      </c>
      <c r="BS92" t="e">
        <f>AND(#REF!,"AAAAAEv+90Y=")</f>
        <v>#REF!</v>
      </c>
      <c r="BT92" t="e">
        <f>AND(#REF!,"AAAAAEv+90c=")</f>
        <v>#REF!</v>
      </c>
      <c r="BU92" t="e">
        <f>AND(#REF!,"AAAAAEv+90g=")</f>
        <v>#REF!</v>
      </c>
      <c r="BV92" t="e">
        <f>AND(#REF!,"AAAAAEv+90k=")</f>
        <v>#REF!</v>
      </c>
      <c r="BW92" t="e">
        <f>AND(#REF!,"AAAAAEv+90o=")</f>
        <v>#REF!</v>
      </c>
      <c r="BX92" t="e">
        <f>AND(#REF!,"AAAAAEv+90s=")</f>
        <v>#REF!</v>
      </c>
      <c r="BY92" t="e">
        <f>AND(#REF!,"AAAAAEv+90w=")</f>
        <v>#REF!</v>
      </c>
      <c r="BZ92" t="e">
        <f>IF(#REF!,"AAAAAEv+900=",0)</f>
        <v>#REF!</v>
      </c>
      <c r="CA92" t="e">
        <f>AND(#REF!,"AAAAAEv+904=")</f>
        <v>#REF!</v>
      </c>
      <c r="CB92" t="e">
        <f>AND(#REF!,"AAAAAEv+908=")</f>
        <v>#REF!</v>
      </c>
      <c r="CC92" t="e">
        <f>AND(#REF!,"AAAAAEv+91A=")</f>
        <v>#REF!</v>
      </c>
      <c r="CD92" t="e">
        <f>AND(#REF!,"AAAAAEv+91E=")</f>
        <v>#REF!</v>
      </c>
      <c r="CE92" t="e">
        <f>AND(#REF!,"AAAAAEv+91I=")</f>
        <v>#REF!</v>
      </c>
      <c r="CF92" t="e">
        <f>AND(#REF!,"AAAAAEv+91M=")</f>
        <v>#REF!</v>
      </c>
      <c r="CG92" t="e">
        <f>AND(#REF!,"AAAAAEv+91Q=")</f>
        <v>#REF!</v>
      </c>
      <c r="CH92" t="e">
        <f>AND(#REF!,"AAAAAEv+91U=")</f>
        <v>#REF!</v>
      </c>
      <c r="CI92" t="e">
        <f>IF(#REF!,"AAAAAEv+91Y=",0)</f>
        <v>#REF!</v>
      </c>
      <c r="CJ92" t="e">
        <f>AND(#REF!,"AAAAAEv+91c=")</f>
        <v>#REF!</v>
      </c>
      <c r="CK92" t="e">
        <f>AND(#REF!,"AAAAAEv+91g=")</f>
        <v>#REF!</v>
      </c>
      <c r="CL92" t="e">
        <f>AND(#REF!,"AAAAAEv+91k=")</f>
        <v>#REF!</v>
      </c>
      <c r="CM92" t="e">
        <f>AND(#REF!,"AAAAAEv+91o=")</f>
        <v>#REF!</v>
      </c>
      <c r="CN92" t="e">
        <f>AND(#REF!,"AAAAAEv+91s=")</f>
        <v>#REF!</v>
      </c>
      <c r="CO92" t="e">
        <f>AND(#REF!,"AAAAAEv+91w=")</f>
        <v>#REF!</v>
      </c>
      <c r="CP92" t="e">
        <f>AND(#REF!,"AAAAAEv+910=")</f>
        <v>#REF!</v>
      </c>
      <c r="CQ92" t="e">
        <f>AND(#REF!,"AAAAAEv+914=")</f>
        <v>#REF!</v>
      </c>
      <c r="CR92" t="e">
        <f>IF(#REF!,"AAAAAEv+918=",0)</f>
        <v>#REF!</v>
      </c>
      <c r="CS92" t="e">
        <f>AND(#REF!,"AAAAAEv+92A=")</f>
        <v>#REF!</v>
      </c>
      <c r="CT92" t="e">
        <f>AND(#REF!,"AAAAAEv+92E=")</f>
        <v>#REF!</v>
      </c>
      <c r="CU92" t="e">
        <f>AND(#REF!,"AAAAAEv+92I=")</f>
        <v>#REF!</v>
      </c>
      <c r="CV92" t="e">
        <f>AND(#REF!,"AAAAAEv+92M=")</f>
        <v>#REF!</v>
      </c>
      <c r="CW92" t="e">
        <f>AND(#REF!,"AAAAAEv+92Q=")</f>
        <v>#REF!</v>
      </c>
      <c r="CX92" t="e">
        <f>AND(#REF!,"AAAAAEv+92U=")</f>
        <v>#REF!</v>
      </c>
      <c r="CY92" t="e">
        <f>AND(#REF!,"AAAAAEv+92Y=")</f>
        <v>#REF!</v>
      </c>
      <c r="CZ92" t="e">
        <f>AND(#REF!,"AAAAAEv+92c=")</f>
        <v>#REF!</v>
      </c>
      <c r="DA92" t="e">
        <f>IF(#REF!,"AAAAAEv+92g=",0)</f>
        <v>#REF!</v>
      </c>
      <c r="DB92" t="e">
        <f>AND(#REF!,"AAAAAEv+92k=")</f>
        <v>#REF!</v>
      </c>
      <c r="DC92" t="e">
        <f>AND(#REF!,"AAAAAEv+92o=")</f>
        <v>#REF!</v>
      </c>
      <c r="DD92" t="e">
        <f>AND(#REF!,"AAAAAEv+92s=")</f>
        <v>#REF!</v>
      </c>
      <c r="DE92" t="e">
        <f>AND(#REF!,"AAAAAEv+92w=")</f>
        <v>#REF!</v>
      </c>
      <c r="DF92" t="e">
        <f>AND(#REF!,"AAAAAEv+920=")</f>
        <v>#REF!</v>
      </c>
      <c r="DG92" t="e">
        <f>AND(#REF!,"AAAAAEv+924=")</f>
        <v>#REF!</v>
      </c>
      <c r="DH92" t="e">
        <f>AND(#REF!,"AAAAAEv+928=")</f>
        <v>#REF!</v>
      </c>
      <c r="DI92" t="e">
        <f>AND(#REF!,"AAAAAEv+93A=")</f>
        <v>#REF!</v>
      </c>
      <c r="DJ92" t="e">
        <f>IF(#REF!,"AAAAAEv+93E=",0)</f>
        <v>#REF!</v>
      </c>
      <c r="DK92" t="e">
        <f>AND(#REF!,"AAAAAEv+93I=")</f>
        <v>#REF!</v>
      </c>
      <c r="DL92" t="e">
        <f>AND(#REF!,"AAAAAEv+93M=")</f>
        <v>#REF!</v>
      </c>
      <c r="DM92" t="e">
        <f>AND(#REF!,"AAAAAEv+93Q=")</f>
        <v>#REF!</v>
      </c>
      <c r="DN92" t="e">
        <f>AND(#REF!,"AAAAAEv+93U=")</f>
        <v>#REF!</v>
      </c>
      <c r="DO92" t="e">
        <f>AND(#REF!,"AAAAAEv+93Y=")</f>
        <v>#REF!</v>
      </c>
      <c r="DP92" t="e">
        <f>AND(#REF!,"AAAAAEv+93c=")</f>
        <v>#REF!</v>
      </c>
      <c r="DQ92" t="e">
        <f>AND(#REF!,"AAAAAEv+93g=")</f>
        <v>#REF!</v>
      </c>
      <c r="DR92" t="e">
        <f>AND(#REF!,"AAAAAEv+93k=")</f>
        <v>#REF!</v>
      </c>
      <c r="DS92" t="e">
        <f>IF(#REF!,"AAAAAEv+93o=",0)</f>
        <v>#REF!</v>
      </c>
      <c r="DT92" t="e">
        <f>AND(#REF!,"AAAAAEv+93s=")</f>
        <v>#REF!</v>
      </c>
      <c r="DU92" t="e">
        <f>AND(#REF!,"AAAAAEv+93w=")</f>
        <v>#REF!</v>
      </c>
      <c r="DV92" t="e">
        <f>AND(#REF!,"AAAAAEv+930=")</f>
        <v>#REF!</v>
      </c>
      <c r="DW92" t="e">
        <f>AND(#REF!,"AAAAAEv+934=")</f>
        <v>#REF!</v>
      </c>
      <c r="DX92" t="e">
        <f>AND(#REF!,"AAAAAEv+938=")</f>
        <v>#REF!</v>
      </c>
      <c r="DY92" t="e">
        <f>AND(#REF!,"AAAAAEv+94A=")</f>
        <v>#REF!</v>
      </c>
      <c r="DZ92" t="e">
        <f>AND(#REF!,"AAAAAEv+94E=")</f>
        <v>#REF!</v>
      </c>
      <c r="EA92" t="e">
        <f>AND(#REF!,"AAAAAEv+94I=")</f>
        <v>#REF!</v>
      </c>
      <c r="EB92" t="e">
        <f>IF(#REF!,"AAAAAEv+94M=",0)</f>
        <v>#REF!</v>
      </c>
      <c r="EC92" t="e">
        <f>AND(#REF!,"AAAAAEv+94Q=")</f>
        <v>#REF!</v>
      </c>
      <c r="ED92" t="e">
        <f>AND(#REF!,"AAAAAEv+94U=")</f>
        <v>#REF!</v>
      </c>
      <c r="EE92" t="e">
        <f>AND(#REF!,"AAAAAEv+94Y=")</f>
        <v>#REF!</v>
      </c>
      <c r="EF92" t="e">
        <f>AND(#REF!,"AAAAAEv+94c=")</f>
        <v>#REF!</v>
      </c>
      <c r="EG92" t="e">
        <f>AND(#REF!,"AAAAAEv+94g=")</f>
        <v>#REF!</v>
      </c>
      <c r="EH92" t="e">
        <f>AND(#REF!,"AAAAAEv+94k=")</f>
        <v>#REF!</v>
      </c>
      <c r="EI92" t="e">
        <f>AND(#REF!,"AAAAAEv+94o=")</f>
        <v>#REF!</v>
      </c>
      <c r="EJ92" t="e">
        <f>AND(#REF!,"AAAAAEv+94s=")</f>
        <v>#REF!</v>
      </c>
      <c r="EK92" t="e">
        <f>IF(#REF!,"AAAAAEv+94w=",0)</f>
        <v>#REF!</v>
      </c>
      <c r="EL92" t="e">
        <f>AND(#REF!,"AAAAAEv+940=")</f>
        <v>#REF!</v>
      </c>
      <c r="EM92" t="e">
        <f>AND(#REF!,"AAAAAEv+944=")</f>
        <v>#REF!</v>
      </c>
      <c r="EN92" t="e">
        <f>AND(#REF!,"AAAAAEv+948=")</f>
        <v>#REF!</v>
      </c>
      <c r="EO92" t="e">
        <f>AND(#REF!,"AAAAAEv+95A=")</f>
        <v>#REF!</v>
      </c>
      <c r="EP92" t="e">
        <f>AND(#REF!,"AAAAAEv+95E=")</f>
        <v>#REF!</v>
      </c>
      <c r="EQ92" t="e">
        <f>AND(#REF!,"AAAAAEv+95I=")</f>
        <v>#REF!</v>
      </c>
      <c r="ER92" t="e">
        <f>AND(#REF!,"AAAAAEv+95M=")</f>
        <v>#REF!</v>
      </c>
      <c r="ES92" t="e">
        <f>AND(#REF!,"AAAAAEv+95Q=")</f>
        <v>#REF!</v>
      </c>
      <c r="ET92" t="e">
        <f>IF(#REF!,"AAAAAEv+95U=",0)</f>
        <v>#REF!</v>
      </c>
      <c r="EU92" t="e">
        <f>AND(#REF!,"AAAAAEv+95Y=")</f>
        <v>#REF!</v>
      </c>
      <c r="EV92" t="e">
        <f>AND(#REF!,"AAAAAEv+95c=")</f>
        <v>#REF!</v>
      </c>
      <c r="EW92" t="e">
        <f>AND(#REF!,"AAAAAEv+95g=")</f>
        <v>#REF!</v>
      </c>
      <c r="EX92" t="e">
        <f>AND(#REF!,"AAAAAEv+95k=")</f>
        <v>#REF!</v>
      </c>
      <c r="EY92" t="e">
        <f>AND(#REF!,"AAAAAEv+95o=")</f>
        <v>#REF!</v>
      </c>
      <c r="EZ92" t="e">
        <f>AND(#REF!,"AAAAAEv+95s=")</f>
        <v>#REF!</v>
      </c>
      <c r="FA92" t="e">
        <f>AND(#REF!,"AAAAAEv+95w=")</f>
        <v>#REF!</v>
      </c>
      <c r="FB92" t="e">
        <f>AND(#REF!,"AAAAAEv+950=")</f>
        <v>#REF!</v>
      </c>
      <c r="FC92" t="e">
        <f>IF(#REF!,"AAAAAEv+954=",0)</f>
        <v>#REF!</v>
      </c>
      <c r="FD92" t="e">
        <f>AND(#REF!,"AAAAAEv+958=")</f>
        <v>#REF!</v>
      </c>
      <c r="FE92" t="e">
        <f>AND(#REF!,"AAAAAEv+96A=")</f>
        <v>#REF!</v>
      </c>
      <c r="FF92" t="e">
        <f>AND(#REF!,"AAAAAEv+96E=")</f>
        <v>#REF!</v>
      </c>
      <c r="FG92" t="e">
        <f>AND(#REF!,"AAAAAEv+96I=")</f>
        <v>#REF!</v>
      </c>
      <c r="FH92" t="e">
        <f>AND(#REF!,"AAAAAEv+96M=")</f>
        <v>#REF!</v>
      </c>
      <c r="FI92" t="e">
        <f>AND(#REF!,"AAAAAEv+96Q=")</f>
        <v>#REF!</v>
      </c>
      <c r="FJ92" t="e">
        <f>AND(#REF!,"AAAAAEv+96U=")</f>
        <v>#REF!</v>
      </c>
      <c r="FK92" t="e">
        <f>AND(#REF!,"AAAAAEv+96Y=")</f>
        <v>#REF!</v>
      </c>
      <c r="FL92" t="e">
        <f>IF(#REF!,"AAAAAEv+96c=",0)</f>
        <v>#REF!</v>
      </c>
      <c r="FM92" t="e">
        <f>AND(#REF!,"AAAAAEv+96g=")</f>
        <v>#REF!</v>
      </c>
      <c r="FN92" t="e">
        <f>AND(#REF!,"AAAAAEv+96k=")</f>
        <v>#REF!</v>
      </c>
      <c r="FO92" t="e">
        <f>AND(#REF!,"AAAAAEv+96o=")</f>
        <v>#REF!</v>
      </c>
      <c r="FP92" t="e">
        <f>AND(#REF!,"AAAAAEv+96s=")</f>
        <v>#REF!</v>
      </c>
      <c r="FQ92" t="e">
        <f>AND(#REF!,"AAAAAEv+96w=")</f>
        <v>#REF!</v>
      </c>
      <c r="FR92" t="e">
        <f>AND(#REF!,"AAAAAEv+960=")</f>
        <v>#REF!</v>
      </c>
      <c r="FS92" t="e">
        <f>AND(#REF!,"AAAAAEv+964=")</f>
        <v>#REF!</v>
      </c>
      <c r="FT92" t="e">
        <f>AND(#REF!,"AAAAAEv+968=")</f>
        <v>#REF!</v>
      </c>
      <c r="FU92" t="e">
        <f>IF(#REF!,"AAAAAEv+97A=",0)</f>
        <v>#REF!</v>
      </c>
      <c r="FV92" t="e">
        <f>AND(#REF!,"AAAAAEv+97E=")</f>
        <v>#REF!</v>
      </c>
      <c r="FW92" t="e">
        <f>AND(#REF!,"AAAAAEv+97I=")</f>
        <v>#REF!</v>
      </c>
      <c r="FX92" t="e">
        <f>AND(#REF!,"AAAAAEv+97M=")</f>
        <v>#REF!</v>
      </c>
      <c r="FY92" t="e">
        <f>AND(#REF!,"AAAAAEv+97Q=")</f>
        <v>#REF!</v>
      </c>
      <c r="FZ92" t="e">
        <f>AND(#REF!,"AAAAAEv+97U=")</f>
        <v>#REF!</v>
      </c>
      <c r="GA92" t="e">
        <f>AND(#REF!,"AAAAAEv+97Y=")</f>
        <v>#REF!</v>
      </c>
      <c r="GB92" t="e">
        <f>AND(#REF!,"AAAAAEv+97c=")</f>
        <v>#REF!</v>
      </c>
      <c r="GC92" t="e">
        <f>AND(#REF!,"AAAAAEv+97g=")</f>
        <v>#REF!</v>
      </c>
      <c r="GD92" t="e">
        <f>IF(#REF!,"AAAAAEv+97k=",0)</f>
        <v>#REF!</v>
      </c>
      <c r="GE92" t="e">
        <f>AND(#REF!,"AAAAAEv+97o=")</f>
        <v>#REF!</v>
      </c>
      <c r="GF92" t="e">
        <f>AND(#REF!,"AAAAAEv+97s=")</f>
        <v>#REF!</v>
      </c>
      <c r="GG92" t="e">
        <f>AND(#REF!,"AAAAAEv+97w=")</f>
        <v>#REF!</v>
      </c>
      <c r="GH92" t="e">
        <f>AND(#REF!,"AAAAAEv+970=")</f>
        <v>#REF!</v>
      </c>
      <c r="GI92" t="e">
        <f>AND(#REF!,"AAAAAEv+974=")</f>
        <v>#REF!</v>
      </c>
      <c r="GJ92" t="e">
        <f>AND(#REF!,"AAAAAEv+978=")</f>
        <v>#REF!</v>
      </c>
      <c r="GK92" t="e">
        <f>AND(#REF!,"AAAAAEv+98A=")</f>
        <v>#REF!</v>
      </c>
      <c r="GL92" t="e">
        <f>AND(#REF!,"AAAAAEv+98E=")</f>
        <v>#REF!</v>
      </c>
      <c r="GM92" t="e">
        <f>IF(#REF!,"AAAAAEv+98I=",0)</f>
        <v>#REF!</v>
      </c>
      <c r="GN92" t="e">
        <f>AND(#REF!,"AAAAAEv+98M=")</f>
        <v>#REF!</v>
      </c>
      <c r="GO92" t="e">
        <f>AND(#REF!,"AAAAAEv+98Q=")</f>
        <v>#REF!</v>
      </c>
      <c r="GP92" t="e">
        <f>AND(#REF!,"AAAAAEv+98U=")</f>
        <v>#REF!</v>
      </c>
      <c r="GQ92" t="e">
        <f>AND(#REF!,"AAAAAEv+98Y=")</f>
        <v>#REF!</v>
      </c>
      <c r="GR92" t="e">
        <f>AND(#REF!,"AAAAAEv+98c=")</f>
        <v>#REF!</v>
      </c>
      <c r="GS92" t="e">
        <f>AND(#REF!,"AAAAAEv+98g=")</f>
        <v>#REF!</v>
      </c>
      <c r="GT92" t="e">
        <f>AND(#REF!,"AAAAAEv+98k=")</f>
        <v>#REF!</v>
      </c>
      <c r="GU92" t="e">
        <f>AND(#REF!,"AAAAAEv+98o=")</f>
        <v>#REF!</v>
      </c>
      <c r="GV92" t="e">
        <f>IF(#REF!,"AAAAAEv+98s=",0)</f>
        <v>#REF!</v>
      </c>
      <c r="GW92" t="e">
        <f>AND(#REF!,"AAAAAEv+98w=")</f>
        <v>#REF!</v>
      </c>
      <c r="GX92" t="e">
        <f>AND(#REF!,"AAAAAEv+980=")</f>
        <v>#REF!</v>
      </c>
      <c r="GY92" t="e">
        <f>AND(#REF!,"AAAAAEv+984=")</f>
        <v>#REF!</v>
      </c>
      <c r="GZ92" t="e">
        <f>AND(#REF!,"AAAAAEv+988=")</f>
        <v>#REF!</v>
      </c>
      <c r="HA92" t="e">
        <f>AND(#REF!,"AAAAAEv+99A=")</f>
        <v>#REF!</v>
      </c>
      <c r="HB92" t="e">
        <f>AND(#REF!,"AAAAAEv+99E=")</f>
        <v>#REF!</v>
      </c>
      <c r="HC92" t="e">
        <f>AND(#REF!,"AAAAAEv+99I=")</f>
        <v>#REF!</v>
      </c>
      <c r="HD92" t="e">
        <f>AND(#REF!,"AAAAAEv+99M=")</f>
        <v>#REF!</v>
      </c>
      <c r="HE92" t="e">
        <f>IF(#REF!,"AAAAAEv+99Q=",0)</f>
        <v>#REF!</v>
      </c>
      <c r="HF92" t="e">
        <f>AND(#REF!,"AAAAAEv+99U=")</f>
        <v>#REF!</v>
      </c>
      <c r="HG92" t="e">
        <f>AND(#REF!,"AAAAAEv+99Y=")</f>
        <v>#REF!</v>
      </c>
      <c r="HH92" t="e">
        <f>AND(#REF!,"AAAAAEv+99c=")</f>
        <v>#REF!</v>
      </c>
      <c r="HI92" t="e">
        <f>AND(#REF!,"AAAAAEv+99g=")</f>
        <v>#REF!</v>
      </c>
      <c r="HJ92" t="e">
        <f>AND(#REF!,"AAAAAEv+99k=")</f>
        <v>#REF!</v>
      </c>
      <c r="HK92" t="e">
        <f>AND(#REF!,"AAAAAEv+99o=")</f>
        <v>#REF!</v>
      </c>
      <c r="HL92" t="e">
        <f>AND(#REF!,"AAAAAEv+99s=")</f>
        <v>#REF!</v>
      </c>
      <c r="HM92" t="e">
        <f>AND(#REF!,"AAAAAEv+99w=")</f>
        <v>#REF!</v>
      </c>
      <c r="HN92" t="e">
        <f>IF(#REF!,"AAAAAEv+990=",0)</f>
        <v>#REF!</v>
      </c>
      <c r="HO92" t="e">
        <f>AND(#REF!,"AAAAAEv+994=")</f>
        <v>#REF!</v>
      </c>
      <c r="HP92" t="e">
        <f>AND(#REF!,"AAAAAEv+998=")</f>
        <v>#REF!</v>
      </c>
      <c r="HQ92" t="e">
        <f>AND(#REF!,"AAAAAEv+9+A=")</f>
        <v>#REF!</v>
      </c>
      <c r="HR92" t="e">
        <f>AND(#REF!,"AAAAAEv+9+E=")</f>
        <v>#REF!</v>
      </c>
      <c r="HS92" t="e">
        <f>AND(#REF!,"AAAAAEv+9+I=")</f>
        <v>#REF!</v>
      </c>
      <c r="HT92" t="e">
        <f>AND(#REF!,"AAAAAEv+9+M=")</f>
        <v>#REF!</v>
      </c>
      <c r="HU92" t="e">
        <f>AND(#REF!,"AAAAAEv+9+Q=")</f>
        <v>#REF!</v>
      </c>
      <c r="HV92" t="e">
        <f>AND(#REF!,"AAAAAEv+9+U=")</f>
        <v>#REF!</v>
      </c>
      <c r="HW92" t="e">
        <f>IF(#REF!,"AAAAAEv+9+Y=",0)</f>
        <v>#REF!</v>
      </c>
      <c r="HX92" t="e">
        <f>AND(#REF!,"AAAAAEv+9+c=")</f>
        <v>#REF!</v>
      </c>
      <c r="HY92" t="e">
        <f>AND(#REF!,"AAAAAEv+9+g=")</f>
        <v>#REF!</v>
      </c>
      <c r="HZ92" t="e">
        <f>AND(#REF!,"AAAAAEv+9+k=")</f>
        <v>#REF!</v>
      </c>
      <c r="IA92" t="e">
        <f>AND(#REF!,"AAAAAEv+9+o=")</f>
        <v>#REF!</v>
      </c>
      <c r="IB92" t="e">
        <f>AND(#REF!,"AAAAAEv+9+s=")</f>
        <v>#REF!</v>
      </c>
      <c r="IC92" t="e">
        <f>AND(#REF!,"AAAAAEv+9+w=")</f>
        <v>#REF!</v>
      </c>
      <c r="ID92" t="e">
        <f>AND(#REF!,"AAAAAEv+9+0=")</f>
        <v>#REF!</v>
      </c>
      <c r="IE92" t="e">
        <f>AND(#REF!,"AAAAAEv+9+4=")</f>
        <v>#REF!</v>
      </c>
      <c r="IF92" t="e">
        <f>IF(#REF!,"AAAAAEv+9+8=",0)</f>
        <v>#REF!</v>
      </c>
      <c r="IG92" t="e">
        <f>AND(#REF!,"AAAAAEv+9/A=")</f>
        <v>#REF!</v>
      </c>
      <c r="IH92" t="e">
        <f>AND(#REF!,"AAAAAEv+9/E=")</f>
        <v>#REF!</v>
      </c>
      <c r="II92" t="e">
        <f>AND(#REF!,"AAAAAEv+9/I=")</f>
        <v>#REF!</v>
      </c>
      <c r="IJ92" t="e">
        <f>AND(#REF!,"AAAAAEv+9/M=")</f>
        <v>#REF!</v>
      </c>
      <c r="IK92" t="e">
        <f>AND(#REF!,"AAAAAEv+9/Q=")</f>
        <v>#REF!</v>
      </c>
      <c r="IL92" t="e">
        <f>AND(#REF!,"AAAAAEv+9/U=")</f>
        <v>#REF!</v>
      </c>
      <c r="IM92" t="e">
        <f>AND(#REF!,"AAAAAEv+9/Y=")</f>
        <v>#REF!</v>
      </c>
      <c r="IN92" t="e">
        <f>AND(#REF!,"AAAAAEv+9/c=")</f>
        <v>#REF!</v>
      </c>
      <c r="IO92" t="e">
        <f>IF(#REF!,"AAAAAEv+9/g=",0)</f>
        <v>#REF!</v>
      </c>
      <c r="IP92" t="e">
        <f>AND(#REF!,"AAAAAEv+9/k=")</f>
        <v>#REF!</v>
      </c>
      <c r="IQ92" t="e">
        <f>AND(#REF!,"AAAAAEv+9/o=")</f>
        <v>#REF!</v>
      </c>
      <c r="IR92" t="e">
        <f>AND(#REF!,"AAAAAEv+9/s=")</f>
        <v>#REF!</v>
      </c>
      <c r="IS92" t="e">
        <f>AND(#REF!,"AAAAAEv+9/w=")</f>
        <v>#REF!</v>
      </c>
      <c r="IT92" t="e">
        <f>AND(#REF!,"AAAAAEv+9/0=")</f>
        <v>#REF!</v>
      </c>
      <c r="IU92" t="e">
        <f>AND(#REF!,"AAAAAEv+9/4=")</f>
        <v>#REF!</v>
      </c>
      <c r="IV92" t="e">
        <f>AND(#REF!,"AAAAAEv+9/8=")</f>
        <v>#REF!</v>
      </c>
    </row>
    <row r="93" spans="1:256" x14ac:dyDescent="0.25">
      <c r="A93" t="e">
        <f>AND(#REF!,"AAAAAGvb1AA=")</f>
        <v>#REF!</v>
      </c>
      <c r="B93" t="e">
        <f>IF(#REF!,"AAAAAGvb1AE=",0)</f>
        <v>#REF!</v>
      </c>
      <c r="C93" t="e">
        <f>AND(#REF!,"AAAAAGvb1AI=")</f>
        <v>#REF!</v>
      </c>
      <c r="D93" t="e">
        <f>AND(#REF!,"AAAAAGvb1AM=")</f>
        <v>#REF!</v>
      </c>
      <c r="E93" t="e">
        <f>AND(#REF!,"AAAAAGvb1AQ=")</f>
        <v>#REF!</v>
      </c>
      <c r="F93" t="e">
        <f>AND(#REF!,"AAAAAGvb1AU=")</f>
        <v>#REF!</v>
      </c>
      <c r="G93" t="e">
        <f>AND(#REF!,"AAAAAGvb1AY=")</f>
        <v>#REF!</v>
      </c>
      <c r="H93" t="e">
        <f>AND(#REF!,"AAAAAGvb1Ac=")</f>
        <v>#REF!</v>
      </c>
      <c r="I93" t="e">
        <f>AND(#REF!,"AAAAAGvb1Ag=")</f>
        <v>#REF!</v>
      </c>
      <c r="J93" t="e">
        <f>AND(#REF!,"AAAAAGvb1Ak=")</f>
        <v>#REF!</v>
      </c>
      <c r="K93" t="e">
        <f>IF(#REF!,"AAAAAGvb1Ao=",0)</f>
        <v>#REF!</v>
      </c>
      <c r="L93" t="e">
        <f>AND(#REF!,"AAAAAGvb1As=")</f>
        <v>#REF!</v>
      </c>
      <c r="M93" t="e">
        <f>AND(#REF!,"AAAAAGvb1Aw=")</f>
        <v>#REF!</v>
      </c>
      <c r="N93" t="e">
        <f>AND(#REF!,"AAAAAGvb1A0=")</f>
        <v>#REF!</v>
      </c>
      <c r="O93" t="e">
        <f>AND(#REF!,"AAAAAGvb1A4=")</f>
        <v>#REF!</v>
      </c>
      <c r="P93" t="e">
        <f>AND(#REF!,"AAAAAGvb1A8=")</f>
        <v>#REF!</v>
      </c>
      <c r="Q93" t="e">
        <f>AND(#REF!,"AAAAAGvb1BA=")</f>
        <v>#REF!</v>
      </c>
      <c r="R93" t="e">
        <f>AND(#REF!,"AAAAAGvb1BE=")</f>
        <v>#REF!</v>
      </c>
      <c r="S93" t="e">
        <f>AND(#REF!,"AAAAAGvb1BI=")</f>
        <v>#REF!</v>
      </c>
      <c r="T93" t="e">
        <f>IF(#REF!,"AAAAAGvb1BM=",0)</f>
        <v>#REF!</v>
      </c>
      <c r="U93" t="e">
        <f>AND(#REF!,"AAAAAGvb1BQ=")</f>
        <v>#REF!</v>
      </c>
      <c r="V93" t="e">
        <f>AND(#REF!,"AAAAAGvb1BU=")</f>
        <v>#REF!</v>
      </c>
      <c r="W93" t="e">
        <f>AND(#REF!,"AAAAAGvb1BY=")</f>
        <v>#REF!</v>
      </c>
      <c r="X93" t="e">
        <f>AND(#REF!,"AAAAAGvb1Bc=")</f>
        <v>#REF!</v>
      </c>
      <c r="Y93" t="e">
        <f>AND(#REF!,"AAAAAGvb1Bg=")</f>
        <v>#REF!</v>
      </c>
      <c r="Z93" t="e">
        <f>AND(#REF!,"AAAAAGvb1Bk=")</f>
        <v>#REF!</v>
      </c>
      <c r="AA93" t="e">
        <f>AND(#REF!,"AAAAAGvb1Bo=")</f>
        <v>#REF!</v>
      </c>
      <c r="AB93" t="e">
        <f>AND(#REF!,"AAAAAGvb1Bs=")</f>
        <v>#REF!</v>
      </c>
      <c r="AC93" t="e">
        <f>IF(#REF!,"AAAAAGvb1Bw=",0)</f>
        <v>#REF!</v>
      </c>
      <c r="AD93" t="e">
        <f>AND(#REF!,"AAAAAGvb1B0=")</f>
        <v>#REF!</v>
      </c>
      <c r="AE93" t="e">
        <f>AND(#REF!,"AAAAAGvb1B4=")</f>
        <v>#REF!</v>
      </c>
      <c r="AF93" t="e">
        <f>AND(#REF!,"AAAAAGvb1B8=")</f>
        <v>#REF!</v>
      </c>
      <c r="AG93" t="e">
        <f>AND(#REF!,"AAAAAGvb1CA=")</f>
        <v>#REF!</v>
      </c>
      <c r="AH93" t="e">
        <f>AND(#REF!,"AAAAAGvb1CE=")</f>
        <v>#REF!</v>
      </c>
      <c r="AI93" t="e">
        <f>AND(#REF!,"AAAAAGvb1CI=")</f>
        <v>#REF!</v>
      </c>
      <c r="AJ93" t="e">
        <f>AND(#REF!,"AAAAAGvb1CM=")</f>
        <v>#REF!</v>
      </c>
      <c r="AK93" t="e">
        <f>AND(#REF!,"AAAAAGvb1CQ=")</f>
        <v>#REF!</v>
      </c>
      <c r="AL93" t="e">
        <f>IF(#REF!,"AAAAAGvb1CU=",0)</f>
        <v>#REF!</v>
      </c>
      <c r="AM93" t="e">
        <f>AND(#REF!,"AAAAAGvb1CY=")</f>
        <v>#REF!</v>
      </c>
      <c r="AN93" t="e">
        <f>AND(#REF!,"AAAAAGvb1Cc=")</f>
        <v>#REF!</v>
      </c>
      <c r="AO93" t="e">
        <f>AND(#REF!,"AAAAAGvb1Cg=")</f>
        <v>#REF!</v>
      </c>
      <c r="AP93" t="e">
        <f>AND(#REF!,"AAAAAGvb1Ck=")</f>
        <v>#REF!</v>
      </c>
      <c r="AQ93" t="e">
        <f>AND(#REF!,"AAAAAGvb1Co=")</f>
        <v>#REF!</v>
      </c>
      <c r="AR93" t="e">
        <f>AND(#REF!,"AAAAAGvb1Cs=")</f>
        <v>#REF!</v>
      </c>
      <c r="AS93" t="e">
        <f>AND(#REF!,"AAAAAGvb1Cw=")</f>
        <v>#REF!</v>
      </c>
      <c r="AT93" t="e">
        <f>AND(#REF!,"AAAAAGvb1C0=")</f>
        <v>#REF!</v>
      </c>
      <c r="AU93" t="e">
        <f>IF(#REF!,"AAAAAGvb1C4=",0)</f>
        <v>#REF!</v>
      </c>
      <c r="AV93" t="e">
        <f>AND(#REF!,"AAAAAGvb1C8=")</f>
        <v>#REF!</v>
      </c>
      <c r="AW93" t="e">
        <f>AND(#REF!,"AAAAAGvb1DA=")</f>
        <v>#REF!</v>
      </c>
      <c r="AX93" t="e">
        <f>AND(#REF!,"AAAAAGvb1DE=")</f>
        <v>#REF!</v>
      </c>
      <c r="AY93" t="e">
        <f>AND(#REF!,"AAAAAGvb1DI=")</f>
        <v>#REF!</v>
      </c>
      <c r="AZ93" t="e">
        <f>AND(#REF!,"AAAAAGvb1DM=")</f>
        <v>#REF!</v>
      </c>
      <c r="BA93" t="e">
        <f>AND(#REF!,"AAAAAGvb1DQ=")</f>
        <v>#REF!</v>
      </c>
      <c r="BB93" t="e">
        <f>AND(#REF!,"AAAAAGvb1DU=")</f>
        <v>#REF!</v>
      </c>
      <c r="BC93" t="e">
        <f>AND(#REF!,"AAAAAGvb1DY=")</f>
        <v>#REF!</v>
      </c>
      <c r="BD93" t="e">
        <f>IF(#REF!,"AAAAAGvb1Dc=",0)</f>
        <v>#REF!</v>
      </c>
      <c r="BE93" t="e">
        <f>AND(#REF!,"AAAAAGvb1Dg=")</f>
        <v>#REF!</v>
      </c>
      <c r="BF93" t="e">
        <f>AND(#REF!,"AAAAAGvb1Dk=")</f>
        <v>#REF!</v>
      </c>
      <c r="BG93" t="e">
        <f>AND(#REF!,"AAAAAGvb1Do=")</f>
        <v>#REF!</v>
      </c>
      <c r="BH93" t="e">
        <f>AND(#REF!,"AAAAAGvb1Ds=")</f>
        <v>#REF!</v>
      </c>
      <c r="BI93" t="e">
        <f>AND(#REF!,"AAAAAGvb1Dw=")</f>
        <v>#REF!</v>
      </c>
      <c r="BJ93" t="e">
        <f>AND(#REF!,"AAAAAGvb1D0=")</f>
        <v>#REF!</v>
      </c>
      <c r="BK93" t="e">
        <f>AND(#REF!,"AAAAAGvb1D4=")</f>
        <v>#REF!</v>
      </c>
      <c r="BL93" t="e">
        <f>AND(#REF!,"AAAAAGvb1D8=")</f>
        <v>#REF!</v>
      </c>
      <c r="BM93" t="e">
        <f>IF(#REF!,"AAAAAGvb1EA=",0)</f>
        <v>#REF!</v>
      </c>
      <c r="BN93" t="e">
        <f>AND(#REF!,"AAAAAGvb1EE=")</f>
        <v>#REF!</v>
      </c>
      <c r="BO93" t="e">
        <f>AND(#REF!,"AAAAAGvb1EI=")</f>
        <v>#REF!</v>
      </c>
      <c r="BP93" t="e">
        <f>AND(#REF!,"AAAAAGvb1EM=")</f>
        <v>#REF!</v>
      </c>
      <c r="BQ93" t="e">
        <f>AND(#REF!,"AAAAAGvb1EQ=")</f>
        <v>#REF!</v>
      </c>
      <c r="BR93" t="e">
        <f>AND(#REF!,"AAAAAGvb1EU=")</f>
        <v>#REF!</v>
      </c>
      <c r="BS93" t="e">
        <f>AND(#REF!,"AAAAAGvb1EY=")</f>
        <v>#REF!</v>
      </c>
      <c r="BT93" t="e">
        <f>AND(#REF!,"AAAAAGvb1Ec=")</f>
        <v>#REF!</v>
      </c>
      <c r="BU93" t="e">
        <f>AND(#REF!,"AAAAAGvb1Eg=")</f>
        <v>#REF!</v>
      </c>
      <c r="BV93" t="e">
        <f>IF(#REF!,"AAAAAGvb1Ek=",0)</f>
        <v>#REF!</v>
      </c>
      <c r="BW93" t="e">
        <f>AND(#REF!,"AAAAAGvb1Eo=")</f>
        <v>#REF!</v>
      </c>
      <c r="BX93" t="e">
        <f>AND(#REF!,"AAAAAGvb1Es=")</f>
        <v>#REF!</v>
      </c>
      <c r="BY93" t="e">
        <f>AND(#REF!,"AAAAAGvb1Ew=")</f>
        <v>#REF!</v>
      </c>
      <c r="BZ93" t="e">
        <f>AND(#REF!,"AAAAAGvb1E0=")</f>
        <v>#REF!</v>
      </c>
      <c r="CA93" t="e">
        <f>AND(#REF!,"AAAAAGvb1E4=")</f>
        <v>#REF!</v>
      </c>
      <c r="CB93" t="e">
        <f>AND(#REF!,"AAAAAGvb1E8=")</f>
        <v>#REF!</v>
      </c>
      <c r="CC93" t="e">
        <f>AND(#REF!,"AAAAAGvb1FA=")</f>
        <v>#REF!</v>
      </c>
      <c r="CD93" t="e">
        <f>AND(#REF!,"AAAAAGvb1FE=")</f>
        <v>#REF!</v>
      </c>
      <c r="CE93" t="e">
        <f>IF(#REF!,"AAAAAGvb1FI=",0)</f>
        <v>#REF!</v>
      </c>
      <c r="CF93" t="e">
        <f>AND(#REF!,"AAAAAGvb1FM=")</f>
        <v>#REF!</v>
      </c>
      <c r="CG93" t="e">
        <f>AND(#REF!,"AAAAAGvb1FQ=")</f>
        <v>#REF!</v>
      </c>
      <c r="CH93" t="e">
        <f>AND(#REF!,"AAAAAGvb1FU=")</f>
        <v>#REF!</v>
      </c>
      <c r="CI93" t="e">
        <f>AND(#REF!,"AAAAAGvb1FY=")</f>
        <v>#REF!</v>
      </c>
      <c r="CJ93" t="e">
        <f>AND(#REF!,"AAAAAGvb1Fc=")</f>
        <v>#REF!</v>
      </c>
      <c r="CK93" t="e">
        <f>AND(#REF!,"AAAAAGvb1Fg=")</f>
        <v>#REF!</v>
      </c>
      <c r="CL93" t="e">
        <f>AND(#REF!,"AAAAAGvb1Fk=")</f>
        <v>#REF!</v>
      </c>
      <c r="CM93" t="e">
        <f>AND(#REF!,"AAAAAGvb1Fo=")</f>
        <v>#REF!</v>
      </c>
      <c r="CN93" t="e">
        <f>IF(#REF!,"AAAAAGvb1Fs=",0)</f>
        <v>#REF!</v>
      </c>
      <c r="CO93" t="e">
        <f>AND(#REF!,"AAAAAGvb1Fw=")</f>
        <v>#REF!</v>
      </c>
      <c r="CP93" t="e">
        <f>AND(#REF!,"AAAAAGvb1F0=")</f>
        <v>#REF!</v>
      </c>
      <c r="CQ93" t="e">
        <f>AND(#REF!,"AAAAAGvb1F4=")</f>
        <v>#REF!</v>
      </c>
      <c r="CR93" t="e">
        <f>AND(#REF!,"AAAAAGvb1F8=")</f>
        <v>#REF!</v>
      </c>
      <c r="CS93" t="e">
        <f>AND(#REF!,"AAAAAGvb1GA=")</f>
        <v>#REF!</v>
      </c>
      <c r="CT93" t="e">
        <f>AND(#REF!,"AAAAAGvb1GE=")</f>
        <v>#REF!</v>
      </c>
      <c r="CU93" t="e">
        <f>AND(#REF!,"AAAAAGvb1GI=")</f>
        <v>#REF!</v>
      </c>
      <c r="CV93" t="e">
        <f>AND(#REF!,"AAAAAGvb1GM=")</f>
        <v>#REF!</v>
      </c>
      <c r="CW93" t="e">
        <f>IF(#REF!,"AAAAAGvb1GQ=",0)</f>
        <v>#REF!</v>
      </c>
      <c r="CX93" t="e">
        <f>AND(#REF!,"AAAAAGvb1GU=")</f>
        <v>#REF!</v>
      </c>
      <c r="CY93" t="e">
        <f>AND(#REF!,"AAAAAGvb1GY=")</f>
        <v>#REF!</v>
      </c>
      <c r="CZ93" t="e">
        <f>AND(#REF!,"AAAAAGvb1Gc=")</f>
        <v>#REF!</v>
      </c>
      <c r="DA93" t="e">
        <f>AND(#REF!,"AAAAAGvb1Gg=")</f>
        <v>#REF!</v>
      </c>
      <c r="DB93" t="e">
        <f>AND(#REF!,"AAAAAGvb1Gk=")</f>
        <v>#REF!</v>
      </c>
      <c r="DC93" t="e">
        <f>AND(#REF!,"AAAAAGvb1Go=")</f>
        <v>#REF!</v>
      </c>
      <c r="DD93" t="e">
        <f>AND(#REF!,"AAAAAGvb1Gs=")</f>
        <v>#REF!</v>
      </c>
      <c r="DE93" t="e">
        <f>AND(#REF!,"AAAAAGvb1Gw=")</f>
        <v>#REF!</v>
      </c>
      <c r="DF93" t="e">
        <f>IF(#REF!,"AAAAAGvb1G0=",0)</f>
        <v>#REF!</v>
      </c>
      <c r="DG93" t="e">
        <f>AND(#REF!,"AAAAAGvb1G4=")</f>
        <v>#REF!</v>
      </c>
      <c r="DH93" t="e">
        <f>AND(#REF!,"AAAAAGvb1G8=")</f>
        <v>#REF!</v>
      </c>
      <c r="DI93" t="e">
        <f>AND(#REF!,"AAAAAGvb1HA=")</f>
        <v>#REF!</v>
      </c>
      <c r="DJ93" t="e">
        <f>AND(#REF!,"AAAAAGvb1HE=")</f>
        <v>#REF!</v>
      </c>
      <c r="DK93" t="e">
        <f>AND(#REF!,"AAAAAGvb1HI=")</f>
        <v>#REF!</v>
      </c>
      <c r="DL93" t="e">
        <f>AND(#REF!,"AAAAAGvb1HM=")</f>
        <v>#REF!</v>
      </c>
      <c r="DM93" t="e">
        <f>AND(#REF!,"AAAAAGvb1HQ=")</f>
        <v>#REF!</v>
      </c>
      <c r="DN93" t="e">
        <f>AND(#REF!,"AAAAAGvb1HU=")</f>
        <v>#REF!</v>
      </c>
      <c r="DO93" t="e">
        <f>IF(#REF!,"AAAAAGvb1HY=",0)</f>
        <v>#REF!</v>
      </c>
      <c r="DP93" t="e">
        <f>AND(#REF!,"AAAAAGvb1Hc=")</f>
        <v>#REF!</v>
      </c>
      <c r="DQ93" t="e">
        <f>AND(#REF!,"AAAAAGvb1Hg=")</f>
        <v>#REF!</v>
      </c>
      <c r="DR93" t="e">
        <f>AND(#REF!,"AAAAAGvb1Hk=")</f>
        <v>#REF!</v>
      </c>
      <c r="DS93" t="e">
        <f>AND(#REF!,"AAAAAGvb1Ho=")</f>
        <v>#REF!</v>
      </c>
      <c r="DT93" t="e">
        <f>AND(#REF!,"AAAAAGvb1Hs=")</f>
        <v>#REF!</v>
      </c>
      <c r="DU93" t="e">
        <f>AND(#REF!,"AAAAAGvb1Hw=")</f>
        <v>#REF!</v>
      </c>
      <c r="DV93" t="e">
        <f>AND(#REF!,"AAAAAGvb1H0=")</f>
        <v>#REF!</v>
      </c>
      <c r="DW93" t="e">
        <f>AND(#REF!,"AAAAAGvb1H4=")</f>
        <v>#REF!</v>
      </c>
      <c r="DX93" t="e">
        <f>IF(#REF!,"AAAAAGvb1H8=",0)</f>
        <v>#REF!</v>
      </c>
      <c r="DY93" t="e">
        <f>AND(#REF!,"AAAAAGvb1IA=")</f>
        <v>#REF!</v>
      </c>
      <c r="DZ93" t="e">
        <f>AND(#REF!,"AAAAAGvb1IE=")</f>
        <v>#REF!</v>
      </c>
      <c r="EA93" t="e">
        <f>AND(#REF!,"AAAAAGvb1II=")</f>
        <v>#REF!</v>
      </c>
      <c r="EB93" t="e">
        <f>AND(#REF!,"AAAAAGvb1IM=")</f>
        <v>#REF!</v>
      </c>
      <c r="EC93" t="e">
        <f>AND(#REF!,"AAAAAGvb1IQ=")</f>
        <v>#REF!</v>
      </c>
      <c r="ED93" t="e">
        <f>AND(#REF!,"AAAAAGvb1IU=")</f>
        <v>#REF!</v>
      </c>
      <c r="EE93" t="e">
        <f>AND(#REF!,"AAAAAGvb1IY=")</f>
        <v>#REF!</v>
      </c>
      <c r="EF93" t="e">
        <f>AND(#REF!,"AAAAAGvb1Ic=")</f>
        <v>#REF!</v>
      </c>
      <c r="EG93" t="e">
        <f>IF(#REF!,"AAAAAGvb1Ig=",0)</f>
        <v>#REF!</v>
      </c>
      <c r="EH93" t="e">
        <f>AND(#REF!,"AAAAAGvb1Ik=")</f>
        <v>#REF!</v>
      </c>
      <c r="EI93" t="e">
        <f>AND(#REF!,"AAAAAGvb1Io=")</f>
        <v>#REF!</v>
      </c>
      <c r="EJ93" t="e">
        <f>AND(#REF!,"AAAAAGvb1Is=")</f>
        <v>#REF!</v>
      </c>
      <c r="EK93" t="e">
        <f>AND(#REF!,"AAAAAGvb1Iw=")</f>
        <v>#REF!</v>
      </c>
      <c r="EL93" t="e">
        <f>AND(#REF!,"AAAAAGvb1I0=")</f>
        <v>#REF!</v>
      </c>
      <c r="EM93" t="e">
        <f>AND(#REF!,"AAAAAGvb1I4=")</f>
        <v>#REF!</v>
      </c>
      <c r="EN93" t="e">
        <f>AND(#REF!,"AAAAAGvb1I8=")</f>
        <v>#REF!</v>
      </c>
      <c r="EO93" t="e">
        <f>AND(#REF!,"AAAAAGvb1JA=")</f>
        <v>#REF!</v>
      </c>
      <c r="EP93" t="e">
        <f>IF(#REF!,"AAAAAGvb1JE=",0)</f>
        <v>#REF!</v>
      </c>
      <c r="EQ93" t="e">
        <f>AND(#REF!,"AAAAAGvb1JI=")</f>
        <v>#REF!</v>
      </c>
      <c r="ER93" t="e">
        <f>AND(#REF!,"AAAAAGvb1JM=")</f>
        <v>#REF!</v>
      </c>
      <c r="ES93" t="e">
        <f>AND(#REF!,"AAAAAGvb1JQ=")</f>
        <v>#REF!</v>
      </c>
      <c r="ET93" t="e">
        <f>AND(#REF!,"AAAAAGvb1JU=")</f>
        <v>#REF!</v>
      </c>
      <c r="EU93" t="e">
        <f>AND(#REF!,"AAAAAGvb1JY=")</f>
        <v>#REF!</v>
      </c>
      <c r="EV93" t="e">
        <f>AND(#REF!,"AAAAAGvb1Jc=")</f>
        <v>#REF!</v>
      </c>
      <c r="EW93" t="e">
        <f>AND(#REF!,"AAAAAGvb1Jg=")</f>
        <v>#REF!</v>
      </c>
      <c r="EX93" t="e">
        <f>AND(#REF!,"AAAAAGvb1Jk=")</f>
        <v>#REF!</v>
      </c>
      <c r="EY93" t="e">
        <f>IF(#REF!,"AAAAAGvb1Jo=",0)</f>
        <v>#REF!</v>
      </c>
      <c r="EZ93" t="e">
        <f>AND(#REF!,"AAAAAGvb1Js=")</f>
        <v>#REF!</v>
      </c>
      <c r="FA93" t="e">
        <f>AND(#REF!,"AAAAAGvb1Jw=")</f>
        <v>#REF!</v>
      </c>
      <c r="FB93" t="e">
        <f>AND(#REF!,"AAAAAGvb1J0=")</f>
        <v>#REF!</v>
      </c>
      <c r="FC93" t="e">
        <f>AND(#REF!,"AAAAAGvb1J4=")</f>
        <v>#REF!</v>
      </c>
      <c r="FD93" t="e">
        <f>AND(#REF!,"AAAAAGvb1J8=")</f>
        <v>#REF!</v>
      </c>
      <c r="FE93" t="e">
        <f>AND(#REF!,"AAAAAGvb1KA=")</f>
        <v>#REF!</v>
      </c>
      <c r="FF93" t="e">
        <f>AND(#REF!,"AAAAAGvb1KE=")</f>
        <v>#REF!</v>
      </c>
      <c r="FG93" t="e">
        <f>AND(#REF!,"AAAAAGvb1KI=")</f>
        <v>#REF!</v>
      </c>
      <c r="FH93" t="e">
        <f>IF(#REF!,"AAAAAGvb1KM=",0)</f>
        <v>#REF!</v>
      </c>
      <c r="FI93" t="e">
        <f>AND(#REF!,"AAAAAGvb1KQ=")</f>
        <v>#REF!</v>
      </c>
      <c r="FJ93" t="e">
        <f>AND(#REF!,"AAAAAGvb1KU=")</f>
        <v>#REF!</v>
      </c>
      <c r="FK93" t="e">
        <f>AND(#REF!,"AAAAAGvb1KY=")</f>
        <v>#REF!</v>
      </c>
      <c r="FL93" t="e">
        <f>AND(#REF!,"AAAAAGvb1Kc=")</f>
        <v>#REF!</v>
      </c>
      <c r="FM93" t="e">
        <f>AND(#REF!,"AAAAAGvb1Kg=")</f>
        <v>#REF!</v>
      </c>
      <c r="FN93" t="e">
        <f>AND(#REF!,"AAAAAGvb1Kk=")</f>
        <v>#REF!</v>
      </c>
      <c r="FO93" t="e">
        <f>AND(#REF!,"AAAAAGvb1Ko=")</f>
        <v>#REF!</v>
      </c>
      <c r="FP93" t="e">
        <f>AND(#REF!,"AAAAAGvb1Ks=")</f>
        <v>#REF!</v>
      </c>
      <c r="FQ93" t="e">
        <f>IF(#REF!,"AAAAAGvb1Kw=",0)</f>
        <v>#REF!</v>
      </c>
      <c r="FR93" t="e">
        <f>AND(#REF!,"AAAAAGvb1K0=")</f>
        <v>#REF!</v>
      </c>
      <c r="FS93" t="e">
        <f>AND(#REF!,"AAAAAGvb1K4=")</f>
        <v>#REF!</v>
      </c>
      <c r="FT93" t="e">
        <f>AND(#REF!,"AAAAAGvb1K8=")</f>
        <v>#REF!</v>
      </c>
      <c r="FU93" t="e">
        <f>AND(#REF!,"AAAAAGvb1LA=")</f>
        <v>#REF!</v>
      </c>
      <c r="FV93" t="e">
        <f>AND(#REF!,"AAAAAGvb1LE=")</f>
        <v>#REF!</v>
      </c>
      <c r="FW93" t="e">
        <f>AND(#REF!,"AAAAAGvb1LI=")</f>
        <v>#REF!</v>
      </c>
      <c r="FX93" t="e">
        <f>AND(#REF!,"AAAAAGvb1LM=")</f>
        <v>#REF!</v>
      </c>
      <c r="FY93" t="e">
        <f>AND(#REF!,"AAAAAGvb1LQ=")</f>
        <v>#REF!</v>
      </c>
      <c r="FZ93" t="e">
        <f>IF(#REF!,"AAAAAGvb1LU=",0)</f>
        <v>#REF!</v>
      </c>
      <c r="GA93" t="e">
        <f>AND(#REF!,"AAAAAGvb1LY=")</f>
        <v>#REF!</v>
      </c>
      <c r="GB93" t="e">
        <f>AND(#REF!,"AAAAAGvb1Lc=")</f>
        <v>#REF!</v>
      </c>
      <c r="GC93" t="e">
        <f>AND(#REF!,"AAAAAGvb1Lg=")</f>
        <v>#REF!</v>
      </c>
      <c r="GD93" t="e">
        <f>AND(#REF!,"AAAAAGvb1Lk=")</f>
        <v>#REF!</v>
      </c>
      <c r="GE93" t="e">
        <f>AND(#REF!,"AAAAAGvb1Lo=")</f>
        <v>#REF!</v>
      </c>
      <c r="GF93" t="e">
        <f>AND(#REF!,"AAAAAGvb1Ls=")</f>
        <v>#REF!</v>
      </c>
      <c r="GG93" t="e">
        <f>AND(#REF!,"AAAAAGvb1Lw=")</f>
        <v>#REF!</v>
      </c>
      <c r="GH93" t="e">
        <f>AND(#REF!,"AAAAAGvb1L0=")</f>
        <v>#REF!</v>
      </c>
      <c r="GI93" t="e">
        <f>IF(#REF!,"AAAAAGvb1L4=",0)</f>
        <v>#REF!</v>
      </c>
      <c r="GJ93" t="e">
        <f>AND(#REF!,"AAAAAGvb1L8=")</f>
        <v>#REF!</v>
      </c>
      <c r="GK93" t="e">
        <f>AND(#REF!,"AAAAAGvb1MA=")</f>
        <v>#REF!</v>
      </c>
      <c r="GL93" t="e">
        <f>AND(#REF!,"AAAAAGvb1ME=")</f>
        <v>#REF!</v>
      </c>
      <c r="GM93" t="e">
        <f>AND(#REF!,"AAAAAGvb1MI=")</f>
        <v>#REF!</v>
      </c>
      <c r="GN93" t="e">
        <f>AND(#REF!,"AAAAAGvb1MM=")</f>
        <v>#REF!</v>
      </c>
      <c r="GO93" t="e">
        <f>AND(#REF!,"AAAAAGvb1MQ=")</f>
        <v>#REF!</v>
      </c>
      <c r="GP93" t="e">
        <f>AND(#REF!,"AAAAAGvb1MU=")</f>
        <v>#REF!</v>
      </c>
      <c r="GQ93" t="e">
        <f>AND(#REF!,"AAAAAGvb1MY=")</f>
        <v>#REF!</v>
      </c>
      <c r="GR93" t="e">
        <f>IF(#REF!,"AAAAAGvb1Mc=",0)</f>
        <v>#REF!</v>
      </c>
      <c r="GS93" t="e">
        <f>AND(#REF!,"AAAAAGvb1Mg=")</f>
        <v>#REF!</v>
      </c>
      <c r="GT93" t="e">
        <f>AND(#REF!,"AAAAAGvb1Mk=")</f>
        <v>#REF!</v>
      </c>
      <c r="GU93" t="e">
        <f>AND(#REF!,"AAAAAGvb1Mo=")</f>
        <v>#REF!</v>
      </c>
      <c r="GV93" t="e">
        <f>AND(#REF!,"AAAAAGvb1Ms=")</f>
        <v>#REF!</v>
      </c>
      <c r="GW93" t="e">
        <f>AND(#REF!,"AAAAAGvb1Mw=")</f>
        <v>#REF!</v>
      </c>
      <c r="GX93" t="e">
        <f>AND(#REF!,"AAAAAGvb1M0=")</f>
        <v>#REF!</v>
      </c>
      <c r="GY93" t="e">
        <f>AND(#REF!,"AAAAAGvb1M4=")</f>
        <v>#REF!</v>
      </c>
      <c r="GZ93" t="e">
        <f>AND(#REF!,"AAAAAGvb1M8=")</f>
        <v>#REF!</v>
      </c>
      <c r="HA93" t="e">
        <f>IF(#REF!,"AAAAAGvb1NA=",0)</f>
        <v>#REF!</v>
      </c>
      <c r="HB93" t="e">
        <f>AND(#REF!,"AAAAAGvb1NE=")</f>
        <v>#REF!</v>
      </c>
      <c r="HC93" t="e">
        <f>AND(#REF!,"AAAAAGvb1NI=")</f>
        <v>#REF!</v>
      </c>
      <c r="HD93" t="e">
        <f>AND(#REF!,"AAAAAGvb1NM=")</f>
        <v>#REF!</v>
      </c>
      <c r="HE93" t="e">
        <f>AND(#REF!,"AAAAAGvb1NQ=")</f>
        <v>#REF!</v>
      </c>
      <c r="HF93" t="e">
        <f>AND(#REF!,"AAAAAGvb1NU=")</f>
        <v>#REF!</v>
      </c>
      <c r="HG93" t="e">
        <f>AND(#REF!,"AAAAAGvb1NY=")</f>
        <v>#REF!</v>
      </c>
      <c r="HH93" t="e">
        <f>AND(#REF!,"AAAAAGvb1Nc=")</f>
        <v>#REF!</v>
      </c>
      <c r="HI93" t="e">
        <f>AND(#REF!,"AAAAAGvb1Ng=")</f>
        <v>#REF!</v>
      </c>
      <c r="HJ93" t="e">
        <f>IF(#REF!,"AAAAAGvb1Nk=",0)</f>
        <v>#REF!</v>
      </c>
      <c r="HK93" t="e">
        <f>AND(#REF!,"AAAAAGvb1No=")</f>
        <v>#REF!</v>
      </c>
      <c r="HL93" t="e">
        <f>AND(#REF!,"AAAAAGvb1Ns=")</f>
        <v>#REF!</v>
      </c>
      <c r="HM93" t="e">
        <f>AND(#REF!,"AAAAAGvb1Nw=")</f>
        <v>#REF!</v>
      </c>
      <c r="HN93" t="e">
        <f>AND(#REF!,"AAAAAGvb1N0=")</f>
        <v>#REF!</v>
      </c>
      <c r="HO93" t="e">
        <f>AND(#REF!,"AAAAAGvb1N4=")</f>
        <v>#REF!</v>
      </c>
      <c r="HP93" t="e">
        <f>AND(#REF!,"AAAAAGvb1N8=")</f>
        <v>#REF!</v>
      </c>
      <c r="HQ93" t="e">
        <f>AND(#REF!,"AAAAAGvb1OA=")</f>
        <v>#REF!</v>
      </c>
      <c r="HR93" t="e">
        <f>AND(#REF!,"AAAAAGvb1OE=")</f>
        <v>#REF!</v>
      </c>
      <c r="HS93" t="e">
        <f>IF(#REF!,"AAAAAGvb1OI=",0)</f>
        <v>#REF!</v>
      </c>
      <c r="HT93" t="e">
        <f>AND(#REF!,"AAAAAGvb1OM=")</f>
        <v>#REF!</v>
      </c>
      <c r="HU93" t="e">
        <f>AND(#REF!,"AAAAAGvb1OQ=")</f>
        <v>#REF!</v>
      </c>
      <c r="HV93" t="e">
        <f>AND(#REF!,"AAAAAGvb1OU=")</f>
        <v>#REF!</v>
      </c>
      <c r="HW93" t="e">
        <f>AND(#REF!,"AAAAAGvb1OY=")</f>
        <v>#REF!</v>
      </c>
      <c r="HX93" t="e">
        <f>AND(#REF!,"AAAAAGvb1Oc=")</f>
        <v>#REF!</v>
      </c>
      <c r="HY93" t="e">
        <f>AND(#REF!,"AAAAAGvb1Og=")</f>
        <v>#REF!</v>
      </c>
      <c r="HZ93" t="e">
        <f>AND(#REF!,"AAAAAGvb1Ok=")</f>
        <v>#REF!</v>
      </c>
      <c r="IA93" t="e">
        <f>AND(#REF!,"AAAAAGvb1Oo=")</f>
        <v>#REF!</v>
      </c>
      <c r="IB93" t="e">
        <f>IF(#REF!,"AAAAAGvb1Os=",0)</f>
        <v>#REF!</v>
      </c>
      <c r="IC93" t="e">
        <f>AND(#REF!,"AAAAAGvb1Ow=")</f>
        <v>#REF!</v>
      </c>
      <c r="ID93" t="e">
        <f>AND(#REF!,"AAAAAGvb1O0=")</f>
        <v>#REF!</v>
      </c>
      <c r="IE93" t="e">
        <f>AND(#REF!,"AAAAAGvb1O4=")</f>
        <v>#REF!</v>
      </c>
      <c r="IF93" t="e">
        <f>AND(#REF!,"AAAAAGvb1O8=")</f>
        <v>#REF!</v>
      </c>
      <c r="IG93" t="e">
        <f>AND(#REF!,"AAAAAGvb1PA=")</f>
        <v>#REF!</v>
      </c>
      <c r="IH93" t="e">
        <f>AND(#REF!,"AAAAAGvb1PE=")</f>
        <v>#REF!</v>
      </c>
      <c r="II93" t="e">
        <f>AND(#REF!,"AAAAAGvb1PI=")</f>
        <v>#REF!</v>
      </c>
      <c r="IJ93" t="e">
        <f>AND(#REF!,"AAAAAGvb1PM=")</f>
        <v>#REF!</v>
      </c>
      <c r="IK93" t="e">
        <f>IF(#REF!,"AAAAAGvb1PQ=",0)</f>
        <v>#REF!</v>
      </c>
      <c r="IL93" t="e">
        <f>AND(#REF!,"AAAAAGvb1PU=")</f>
        <v>#REF!</v>
      </c>
      <c r="IM93" t="e">
        <f>AND(#REF!,"AAAAAGvb1PY=")</f>
        <v>#REF!</v>
      </c>
      <c r="IN93" t="e">
        <f>AND(#REF!,"AAAAAGvb1Pc=")</f>
        <v>#REF!</v>
      </c>
      <c r="IO93" t="e">
        <f>AND(#REF!,"AAAAAGvb1Pg=")</f>
        <v>#REF!</v>
      </c>
      <c r="IP93" t="e">
        <f>AND(#REF!,"AAAAAGvb1Pk=")</f>
        <v>#REF!</v>
      </c>
      <c r="IQ93" t="e">
        <f>AND(#REF!,"AAAAAGvb1Po=")</f>
        <v>#REF!</v>
      </c>
      <c r="IR93" t="e">
        <f>AND(#REF!,"AAAAAGvb1Ps=")</f>
        <v>#REF!</v>
      </c>
      <c r="IS93" t="e">
        <f>AND(#REF!,"AAAAAGvb1Pw=")</f>
        <v>#REF!</v>
      </c>
      <c r="IT93" t="e">
        <f>IF(#REF!,"AAAAAGvb1P0=",0)</f>
        <v>#REF!</v>
      </c>
      <c r="IU93" t="e">
        <f>AND(#REF!,"AAAAAGvb1P4=")</f>
        <v>#REF!</v>
      </c>
      <c r="IV93" t="e">
        <f>AND(#REF!,"AAAAAGvb1P8=")</f>
        <v>#REF!</v>
      </c>
    </row>
    <row r="94" spans="1:256" x14ac:dyDescent="0.25">
      <c r="A94" t="e">
        <f>AND(#REF!,"AAAAAHP77wA=")</f>
        <v>#REF!</v>
      </c>
      <c r="B94" t="e">
        <f>AND(#REF!,"AAAAAHP77wE=")</f>
        <v>#REF!</v>
      </c>
      <c r="C94" t="e">
        <f>AND(#REF!,"AAAAAHP77wI=")</f>
        <v>#REF!</v>
      </c>
      <c r="D94" t="e">
        <f>AND(#REF!,"AAAAAHP77wM=")</f>
        <v>#REF!</v>
      </c>
      <c r="E94" t="e">
        <f>AND(#REF!,"AAAAAHP77wQ=")</f>
        <v>#REF!</v>
      </c>
      <c r="F94" t="e">
        <f>AND(#REF!,"AAAAAHP77wU=")</f>
        <v>#REF!</v>
      </c>
      <c r="G94" t="e">
        <f>IF(#REF!,"AAAAAHP77wY=",0)</f>
        <v>#REF!</v>
      </c>
      <c r="H94" t="e">
        <f>AND(#REF!,"AAAAAHP77wc=")</f>
        <v>#REF!</v>
      </c>
      <c r="I94" t="e">
        <f>AND(#REF!,"AAAAAHP77wg=")</f>
        <v>#REF!</v>
      </c>
      <c r="J94" t="e">
        <f>AND(#REF!,"AAAAAHP77wk=")</f>
        <v>#REF!</v>
      </c>
      <c r="K94" t="e">
        <f>AND(#REF!,"AAAAAHP77wo=")</f>
        <v>#REF!</v>
      </c>
      <c r="L94" t="e">
        <f>AND(#REF!,"AAAAAHP77ws=")</f>
        <v>#REF!</v>
      </c>
      <c r="M94" t="e">
        <f>AND(#REF!,"AAAAAHP77ww=")</f>
        <v>#REF!</v>
      </c>
      <c r="N94" t="e">
        <f>AND(#REF!,"AAAAAHP77w0=")</f>
        <v>#REF!</v>
      </c>
      <c r="O94" t="e">
        <f>AND(#REF!,"AAAAAHP77w4=")</f>
        <v>#REF!</v>
      </c>
      <c r="P94" t="e">
        <f>IF(#REF!,"AAAAAHP77w8=",0)</f>
        <v>#REF!</v>
      </c>
      <c r="Q94" t="e">
        <f>AND(#REF!,"AAAAAHP77xA=")</f>
        <v>#REF!</v>
      </c>
      <c r="R94" t="e">
        <f>AND(#REF!,"AAAAAHP77xE=")</f>
        <v>#REF!</v>
      </c>
      <c r="S94" t="e">
        <f>AND(#REF!,"AAAAAHP77xI=")</f>
        <v>#REF!</v>
      </c>
      <c r="T94" t="e">
        <f>AND(#REF!,"AAAAAHP77xM=")</f>
        <v>#REF!</v>
      </c>
      <c r="U94" t="e">
        <f>AND(#REF!,"AAAAAHP77xQ=")</f>
        <v>#REF!</v>
      </c>
      <c r="V94" t="e">
        <f>AND(#REF!,"AAAAAHP77xU=")</f>
        <v>#REF!</v>
      </c>
      <c r="W94" t="e">
        <f>AND(#REF!,"AAAAAHP77xY=")</f>
        <v>#REF!</v>
      </c>
      <c r="X94" t="e">
        <f>AND(#REF!,"AAAAAHP77xc=")</f>
        <v>#REF!</v>
      </c>
      <c r="Y94" t="e">
        <f>IF(#REF!,"AAAAAHP77xg=",0)</f>
        <v>#REF!</v>
      </c>
      <c r="Z94" t="e">
        <f>AND(#REF!,"AAAAAHP77xk=")</f>
        <v>#REF!</v>
      </c>
      <c r="AA94" t="e">
        <f>AND(#REF!,"AAAAAHP77xo=")</f>
        <v>#REF!</v>
      </c>
      <c r="AB94" t="e">
        <f>AND(#REF!,"AAAAAHP77xs=")</f>
        <v>#REF!</v>
      </c>
      <c r="AC94" t="e">
        <f>AND(#REF!,"AAAAAHP77xw=")</f>
        <v>#REF!</v>
      </c>
      <c r="AD94" t="e">
        <f>AND(#REF!,"AAAAAHP77x0=")</f>
        <v>#REF!</v>
      </c>
      <c r="AE94" t="e">
        <f>AND(#REF!,"AAAAAHP77x4=")</f>
        <v>#REF!</v>
      </c>
      <c r="AF94" t="e">
        <f>AND(#REF!,"AAAAAHP77x8=")</f>
        <v>#REF!</v>
      </c>
      <c r="AG94" t="e">
        <f>AND(#REF!,"AAAAAHP77yA=")</f>
        <v>#REF!</v>
      </c>
      <c r="AH94" t="e">
        <f>IF(#REF!,"AAAAAHP77yE=",0)</f>
        <v>#REF!</v>
      </c>
      <c r="AI94" t="e">
        <f>AND(#REF!,"AAAAAHP77yI=")</f>
        <v>#REF!</v>
      </c>
      <c r="AJ94" t="e">
        <f>AND(#REF!,"AAAAAHP77yM=")</f>
        <v>#REF!</v>
      </c>
      <c r="AK94" t="e">
        <f>AND(#REF!,"AAAAAHP77yQ=")</f>
        <v>#REF!</v>
      </c>
      <c r="AL94" t="e">
        <f>AND(#REF!,"AAAAAHP77yU=")</f>
        <v>#REF!</v>
      </c>
      <c r="AM94" t="e">
        <f>AND(#REF!,"AAAAAHP77yY=")</f>
        <v>#REF!</v>
      </c>
      <c r="AN94" t="e">
        <f>AND(#REF!,"AAAAAHP77yc=")</f>
        <v>#REF!</v>
      </c>
      <c r="AO94" t="e">
        <f>AND(#REF!,"AAAAAHP77yg=")</f>
        <v>#REF!</v>
      </c>
      <c r="AP94" t="e">
        <f>AND(#REF!,"AAAAAHP77yk=")</f>
        <v>#REF!</v>
      </c>
      <c r="AQ94" t="e">
        <f>IF(#REF!,"AAAAAHP77yo=",0)</f>
        <v>#REF!</v>
      </c>
      <c r="AR94" t="e">
        <f>AND(#REF!,"AAAAAHP77ys=")</f>
        <v>#REF!</v>
      </c>
      <c r="AS94" t="e">
        <f>AND(#REF!,"AAAAAHP77yw=")</f>
        <v>#REF!</v>
      </c>
      <c r="AT94" t="e">
        <f>AND(#REF!,"AAAAAHP77y0=")</f>
        <v>#REF!</v>
      </c>
      <c r="AU94" t="e">
        <f>AND(#REF!,"AAAAAHP77y4=")</f>
        <v>#REF!</v>
      </c>
      <c r="AV94" t="e">
        <f>AND(#REF!,"AAAAAHP77y8=")</f>
        <v>#REF!</v>
      </c>
      <c r="AW94" t="e">
        <f>AND(#REF!,"AAAAAHP77zA=")</f>
        <v>#REF!</v>
      </c>
      <c r="AX94" t="e">
        <f>AND(#REF!,"AAAAAHP77zE=")</f>
        <v>#REF!</v>
      </c>
      <c r="AY94" t="e">
        <f>AND(#REF!,"AAAAAHP77zI=")</f>
        <v>#REF!</v>
      </c>
      <c r="AZ94" t="e">
        <f>IF(#REF!,"AAAAAHP77zM=",0)</f>
        <v>#REF!</v>
      </c>
      <c r="BA94" t="e">
        <f>AND(#REF!,"AAAAAHP77zQ=")</f>
        <v>#REF!</v>
      </c>
      <c r="BB94" t="e">
        <f>AND(#REF!,"AAAAAHP77zU=")</f>
        <v>#REF!</v>
      </c>
      <c r="BC94" t="e">
        <f>AND(#REF!,"AAAAAHP77zY=")</f>
        <v>#REF!</v>
      </c>
      <c r="BD94" t="e">
        <f>AND(#REF!,"AAAAAHP77zc=")</f>
        <v>#REF!</v>
      </c>
      <c r="BE94" t="e">
        <f>AND(#REF!,"AAAAAHP77zg=")</f>
        <v>#REF!</v>
      </c>
      <c r="BF94" t="e">
        <f>AND(#REF!,"AAAAAHP77zk=")</f>
        <v>#REF!</v>
      </c>
      <c r="BG94" t="e">
        <f>AND(#REF!,"AAAAAHP77zo=")</f>
        <v>#REF!</v>
      </c>
      <c r="BH94" t="e">
        <f>AND(#REF!,"AAAAAHP77zs=")</f>
        <v>#REF!</v>
      </c>
      <c r="BI94" t="e">
        <f>IF(#REF!,"AAAAAHP77zw=",0)</f>
        <v>#REF!</v>
      </c>
      <c r="BJ94" t="e">
        <f>AND(#REF!,"AAAAAHP77z0=")</f>
        <v>#REF!</v>
      </c>
      <c r="BK94" t="e">
        <f>AND(#REF!,"AAAAAHP77z4=")</f>
        <v>#REF!</v>
      </c>
      <c r="BL94" t="e">
        <f>AND(#REF!,"AAAAAHP77z8=")</f>
        <v>#REF!</v>
      </c>
      <c r="BM94" t="e">
        <f>AND(#REF!,"AAAAAHP770A=")</f>
        <v>#REF!</v>
      </c>
      <c r="BN94" t="e">
        <f>AND(#REF!,"AAAAAHP770E=")</f>
        <v>#REF!</v>
      </c>
      <c r="BO94" t="e">
        <f>AND(#REF!,"AAAAAHP770I=")</f>
        <v>#REF!</v>
      </c>
      <c r="BP94" t="e">
        <f>AND(#REF!,"AAAAAHP770M=")</f>
        <v>#REF!</v>
      </c>
      <c r="BQ94" t="e">
        <f>AND(#REF!,"AAAAAHP770Q=")</f>
        <v>#REF!</v>
      </c>
      <c r="BR94" t="e">
        <f>IF(#REF!,"AAAAAHP770U=",0)</f>
        <v>#REF!</v>
      </c>
      <c r="BS94" t="e">
        <f>AND(#REF!,"AAAAAHP770Y=")</f>
        <v>#REF!</v>
      </c>
      <c r="BT94" t="e">
        <f>AND(#REF!,"AAAAAHP770c=")</f>
        <v>#REF!</v>
      </c>
      <c r="BU94" t="e">
        <f>AND(#REF!,"AAAAAHP770g=")</f>
        <v>#REF!</v>
      </c>
      <c r="BV94" t="e">
        <f>AND(#REF!,"AAAAAHP770k=")</f>
        <v>#REF!</v>
      </c>
      <c r="BW94" t="e">
        <f>AND(#REF!,"AAAAAHP770o=")</f>
        <v>#REF!</v>
      </c>
      <c r="BX94" t="e">
        <f>AND(#REF!,"AAAAAHP770s=")</f>
        <v>#REF!</v>
      </c>
      <c r="BY94" t="e">
        <f>AND(#REF!,"AAAAAHP770w=")</f>
        <v>#REF!</v>
      </c>
      <c r="BZ94" t="e">
        <f>AND(#REF!,"AAAAAHP7700=")</f>
        <v>#REF!</v>
      </c>
      <c r="CA94" t="e">
        <f>IF(#REF!,"AAAAAHP7704=",0)</f>
        <v>#REF!</v>
      </c>
      <c r="CB94" t="e">
        <f>AND(#REF!,"AAAAAHP7708=")</f>
        <v>#REF!</v>
      </c>
      <c r="CC94" t="e">
        <f>AND(#REF!,"AAAAAHP771A=")</f>
        <v>#REF!</v>
      </c>
      <c r="CD94" t="e">
        <f>AND(#REF!,"AAAAAHP771E=")</f>
        <v>#REF!</v>
      </c>
      <c r="CE94" t="e">
        <f>AND(#REF!,"AAAAAHP771I=")</f>
        <v>#REF!</v>
      </c>
      <c r="CF94" t="e">
        <f>AND(#REF!,"AAAAAHP771M=")</f>
        <v>#REF!</v>
      </c>
      <c r="CG94" t="e">
        <f>AND(#REF!,"AAAAAHP771Q=")</f>
        <v>#REF!</v>
      </c>
      <c r="CH94" t="e">
        <f>AND(#REF!,"AAAAAHP771U=")</f>
        <v>#REF!</v>
      </c>
      <c r="CI94" t="e">
        <f>AND(#REF!,"AAAAAHP771Y=")</f>
        <v>#REF!</v>
      </c>
      <c r="CJ94" t="e">
        <f>IF(#REF!,"AAAAAHP771c=",0)</f>
        <v>#REF!</v>
      </c>
      <c r="CK94" t="e">
        <f>AND(#REF!,"AAAAAHP771g=")</f>
        <v>#REF!</v>
      </c>
      <c r="CL94" t="e">
        <f>AND(#REF!,"AAAAAHP771k=")</f>
        <v>#REF!</v>
      </c>
      <c r="CM94" t="e">
        <f>AND(#REF!,"AAAAAHP771o=")</f>
        <v>#REF!</v>
      </c>
      <c r="CN94" t="e">
        <f>AND(#REF!,"AAAAAHP771s=")</f>
        <v>#REF!</v>
      </c>
      <c r="CO94" t="e">
        <f>AND(#REF!,"AAAAAHP771w=")</f>
        <v>#REF!</v>
      </c>
      <c r="CP94" t="e">
        <f>AND(#REF!,"AAAAAHP7710=")</f>
        <v>#REF!</v>
      </c>
      <c r="CQ94" t="e">
        <f>AND(#REF!,"AAAAAHP7714=")</f>
        <v>#REF!</v>
      </c>
      <c r="CR94" t="e">
        <f>AND(#REF!,"AAAAAHP7718=")</f>
        <v>#REF!</v>
      </c>
      <c r="CS94" t="e">
        <f>IF(#REF!,"AAAAAHP772A=",0)</f>
        <v>#REF!</v>
      </c>
      <c r="CT94" t="e">
        <f>AND(#REF!,"AAAAAHP772E=")</f>
        <v>#REF!</v>
      </c>
      <c r="CU94" t="e">
        <f>AND(#REF!,"AAAAAHP772I=")</f>
        <v>#REF!</v>
      </c>
      <c r="CV94" t="e">
        <f>AND(#REF!,"AAAAAHP772M=")</f>
        <v>#REF!</v>
      </c>
      <c r="CW94" t="e">
        <f>AND(#REF!,"AAAAAHP772Q=")</f>
        <v>#REF!</v>
      </c>
      <c r="CX94" t="e">
        <f>AND(#REF!,"AAAAAHP772U=")</f>
        <v>#REF!</v>
      </c>
      <c r="CY94" t="e">
        <f>AND(#REF!,"AAAAAHP772Y=")</f>
        <v>#REF!</v>
      </c>
      <c r="CZ94" t="e">
        <f>AND(#REF!,"AAAAAHP772c=")</f>
        <v>#REF!</v>
      </c>
      <c r="DA94" t="e">
        <f>AND(#REF!,"AAAAAHP772g=")</f>
        <v>#REF!</v>
      </c>
      <c r="DB94" t="e">
        <f>IF(#REF!,"AAAAAHP772k=",0)</f>
        <v>#REF!</v>
      </c>
      <c r="DC94" t="e">
        <f>AND(#REF!,"AAAAAHP772o=")</f>
        <v>#REF!</v>
      </c>
      <c r="DD94" t="e">
        <f>AND(#REF!,"AAAAAHP772s=")</f>
        <v>#REF!</v>
      </c>
      <c r="DE94" t="e">
        <f>AND(#REF!,"AAAAAHP772w=")</f>
        <v>#REF!</v>
      </c>
      <c r="DF94" t="e">
        <f>AND(#REF!,"AAAAAHP7720=")</f>
        <v>#REF!</v>
      </c>
      <c r="DG94" t="e">
        <f>AND(#REF!,"AAAAAHP7724=")</f>
        <v>#REF!</v>
      </c>
      <c r="DH94" t="e">
        <f>AND(#REF!,"AAAAAHP7728=")</f>
        <v>#REF!</v>
      </c>
      <c r="DI94" t="e">
        <f>AND(#REF!,"AAAAAHP773A=")</f>
        <v>#REF!</v>
      </c>
      <c r="DJ94" t="e">
        <f>AND(#REF!,"AAAAAHP773E=")</f>
        <v>#REF!</v>
      </c>
      <c r="DK94" t="e">
        <f>IF(#REF!,"AAAAAHP773I=",0)</f>
        <v>#REF!</v>
      </c>
      <c r="DL94" t="e">
        <f>AND(#REF!,"AAAAAHP773M=")</f>
        <v>#REF!</v>
      </c>
      <c r="DM94" t="e">
        <f>AND(#REF!,"AAAAAHP773Q=")</f>
        <v>#REF!</v>
      </c>
      <c r="DN94" t="e">
        <f>AND(#REF!,"AAAAAHP773U=")</f>
        <v>#REF!</v>
      </c>
      <c r="DO94" t="e">
        <f>AND(#REF!,"AAAAAHP773Y=")</f>
        <v>#REF!</v>
      </c>
      <c r="DP94" t="e">
        <f>AND(#REF!,"AAAAAHP773c=")</f>
        <v>#REF!</v>
      </c>
      <c r="DQ94" t="e">
        <f>AND(#REF!,"AAAAAHP773g=")</f>
        <v>#REF!</v>
      </c>
      <c r="DR94" t="e">
        <f>AND(#REF!,"AAAAAHP773k=")</f>
        <v>#REF!</v>
      </c>
      <c r="DS94" t="e">
        <f>AND(#REF!,"AAAAAHP773o=")</f>
        <v>#REF!</v>
      </c>
      <c r="DT94" t="e">
        <f>IF(#REF!,"AAAAAHP773s=",0)</f>
        <v>#REF!</v>
      </c>
      <c r="DU94" t="e">
        <f>AND(#REF!,"AAAAAHP773w=")</f>
        <v>#REF!</v>
      </c>
      <c r="DV94" t="e">
        <f>AND(#REF!,"AAAAAHP7730=")</f>
        <v>#REF!</v>
      </c>
      <c r="DW94" t="e">
        <f>AND(#REF!,"AAAAAHP7734=")</f>
        <v>#REF!</v>
      </c>
      <c r="DX94" t="e">
        <f>AND(#REF!,"AAAAAHP7738=")</f>
        <v>#REF!</v>
      </c>
      <c r="DY94" t="e">
        <f>AND(#REF!,"AAAAAHP774A=")</f>
        <v>#REF!</v>
      </c>
      <c r="DZ94" t="e">
        <f>AND(#REF!,"AAAAAHP774E=")</f>
        <v>#REF!</v>
      </c>
      <c r="EA94" t="e">
        <f>AND(#REF!,"AAAAAHP774I=")</f>
        <v>#REF!</v>
      </c>
      <c r="EB94" t="e">
        <f>AND(#REF!,"AAAAAHP774M=")</f>
        <v>#REF!</v>
      </c>
      <c r="EC94" t="e">
        <f>IF(#REF!,"AAAAAHP774Q=",0)</f>
        <v>#REF!</v>
      </c>
      <c r="ED94" t="e">
        <f>AND(#REF!,"AAAAAHP774U=")</f>
        <v>#REF!</v>
      </c>
      <c r="EE94" t="e">
        <f>AND(#REF!,"AAAAAHP774Y=")</f>
        <v>#REF!</v>
      </c>
      <c r="EF94" t="e">
        <f>AND(#REF!,"AAAAAHP774c=")</f>
        <v>#REF!</v>
      </c>
      <c r="EG94" t="e">
        <f>AND(#REF!,"AAAAAHP774g=")</f>
        <v>#REF!</v>
      </c>
      <c r="EH94" t="e">
        <f>AND(#REF!,"AAAAAHP774k=")</f>
        <v>#REF!</v>
      </c>
      <c r="EI94" t="e">
        <f>AND(#REF!,"AAAAAHP774o=")</f>
        <v>#REF!</v>
      </c>
      <c r="EJ94" t="e">
        <f>AND(#REF!,"AAAAAHP774s=")</f>
        <v>#REF!</v>
      </c>
      <c r="EK94" t="e">
        <f>AND(#REF!,"AAAAAHP774w=")</f>
        <v>#REF!</v>
      </c>
      <c r="EL94" t="e">
        <f>IF(#REF!,"AAAAAHP7740=",0)</f>
        <v>#REF!</v>
      </c>
      <c r="EM94" t="e">
        <f>AND(#REF!,"AAAAAHP7744=")</f>
        <v>#REF!</v>
      </c>
      <c r="EN94" t="e">
        <f>AND(#REF!,"AAAAAHP7748=")</f>
        <v>#REF!</v>
      </c>
      <c r="EO94" t="e">
        <f>AND(#REF!,"AAAAAHP775A=")</f>
        <v>#REF!</v>
      </c>
      <c r="EP94" t="e">
        <f>AND(#REF!,"AAAAAHP775E=")</f>
        <v>#REF!</v>
      </c>
      <c r="EQ94" t="e">
        <f>AND(#REF!,"AAAAAHP775I=")</f>
        <v>#REF!</v>
      </c>
      <c r="ER94" t="e">
        <f>AND(#REF!,"AAAAAHP775M=")</f>
        <v>#REF!</v>
      </c>
      <c r="ES94" t="e">
        <f>AND(#REF!,"AAAAAHP775Q=")</f>
        <v>#REF!</v>
      </c>
      <c r="ET94" t="e">
        <f>AND(#REF!,"AAAAAHP775U=")</f>
        <v>#REF!</v>
      </c>
      <c r="EU94" t="e">
        <f>IF(#REF!,"AAAAAHP775Y=",0)</f>
        <v>#REF!</v>
      </c>
      <c r="EV94" t="e">
        <f>AND(#REF!,"AAAAAHP775c=")</f>
        <v>#REF!</v>
      </c>
      <c r="EW94" t="e">
        <f>AND(#REF!,"AAAAAHP775g=")</f>
        <v>#REF!</v>
      </c>
      <c r="EX94" t="e">
        <f>AND(#REF!,"AAAAAHP775k=")</f>
        <v>#REF!</v>
      </c>
      <c r="EY94" t="e">
        <f>AND(#REF!,"AAAAAHP775o=")</f>
        <v>#REF!</v>
      </c>
      <c r="EZ94" t="e">
        <f>AND(#REF!,"AAAAAHP775s=")</f>
        <v>#REF!</v>
      </c>
      <c r="FA94" t="e">
        <f>AND(#REF!,"AAAAAHP775w=")</f>
        <v>#REF!</v>
      </c>
      <c r="FB94" t="e">
        <f>AND(#REF!,"AAAAAHP7750=")</f>
        <v>#REF!</v>
      </c>
      <c r="FC94" t="e">
        <f>AND(#REF!,"AAAAAHP7754=")</f>
        <v>#REF!</v>
      </c>
      <c r="FD94" t="e">
        <f>IF(#REF!,"AAAAAHP7758=",0)</f>
        <v>#REF!</v>
      </c>
      <c r="FE94" t="e">
        <f>AND(#REF!,"AAAAAHP776A=")</f>
        <v>#REF!</v>
      </c>
      <c r="FF94" t="e">
        <f>AND(#REF!,"AAAAAHP776E=")</f>
        <v>#REF!</v>
      </c>
      <c r="FG94" t="e">
        <f>AND(#REF!,"AAAAAHP776I=")</f>
        <v>#REF!</v>
      </c>
      <c r="FH94" t="e">
        <f>AND(#REF!,"AAAAAHP776M=")</f>
        <v>#REF!</v>
      </c>
      <c r="FI94" t="e">
        <f>AND(#REF!,"AAAAAHP776Q=")</f>
        <v>#REF!</v>
      </c>
      <c r="FJ94" t="e">
        <f>AND(#REF!,"AAAAAHP776U=")</f>
        <v>#REF!</v>
      </c>
      <c r="FK94" t="e">
        <f>AND(#REF!,"AAAAAHP776Y=")</f>
        <v>#REF!</v>
      </c>
      <c r="FL94" t="e">
        <f>AND(#REF!,"AAAAAHP776c=")</f>
        <v>#REF!</v>
      </c>
      <c r="FM94" t="e">
        <f>IF(#REF!,"AAAAAHP776g=",0)</f>
        <v>#REF!</v>
      </c>
      <c r="FN94" t="e">
        <f>AND(#REF!,"AAAAAHP776k=")</f>
        <v>#REF!</v>
      </c>
      <c r="FO94" t="e">
        <f>AND(#REF!,"AAAAAHP776o=")</f>
        <v>#REF!</v>
      </c>
      <c r="FP94" t="e">
        <f>AND(#REF!,"AAAAAHP776s=")</f>
        <v>#REF!</v>
      </c>
      <c r="FQ94" t="e">
        <f>AND(#REF!,"AAAAAHP776w=")</f>
        <v>#REF!</v>
      </c>
      <c r="FR94" t="e">
        <f>AND(#REF!,"AAAAAHP7760=")</f>
        <v>#REF!</v>
      </c>
      <c r="FS94" t="e">
        <f>AND(#REF!,"AAAAAHP7764=")</f>
        <v>#REF!</v>
      </c>
      <c r="FT94" t="e">
        <f>AND(#REF!,"AAAAAHP7768=")</f>
        <v>#REF!</v>
      </c>
      <c r="FU94" t="e">
        <f>AND(#REF!,"AAAAAHP777A=")</f>
        <v>#REF!</v>
      </c>
      <c r="FV94" t="e">
        <f>IF(#REF!,"AAAAAHP777E=",0)</f>
        <v>#REF!</v>
      </c>
      <c r="FW94" t="e">
        <f>AND(#REF!,"AAAAAHP777I=")</f>
        <v>#REF!</v>
      </c>
      <c r="FX94" t="e">
        <f>AND(#REF!,"AAAAAHP777M=")</f>
        <v>#REF!</v>
      </c>
      <c r="FY94" t="e">
        <f>AND(#REF!,"AAAAAHP777Q=")</f>
        <v>#REF!</v>
      </c>
      <c r="FZ94" t="e">
        <f>AND(#REF!,"AAAAAHP777U=")</f>
        <v>#REF!</v>
      </c>
      <c r="GA94" t="e">
        <f>AND(#REF!,"AAAAAHP777Y=")</f>
        <v>#REF!</v>
      </c>
      <c r="GB94" t="e">
        <f>AND(#REF!,"AAAAAHP777c=")</f>
        <v>#REF!</v>
      </c>
      <c r="GC94" t="e">
        <f>AND(#REF!,"AAAAAHP777g=")</f>
        <v>#REF!</v>
      </c>
      <c r="GD94" t="e">
        <f>AND(#REF!,"AAAAAHP777k=")</f>
        <v>#REF!</v>
      </c>
      <c r="GE94" t="e">
        <f>IF(#REF!,"AAAAAHP777o=",0)</f>
        <v>#REF!</v>
      </c>
      <c r="GF94" t="e">
        <f>AND(#REF!,"AAAAAHP777s=")</f>
        <v>#REF!</v>
      </c>
      <c r="GG94" t="e">
        <f>AND(#REF!,"AAAAAHP777w=")</f>
        <v>#REF!</v>
      </c>
      <c r="GH94" t="e">
        <f>AND(#REF!,"AAAAAHP7770=")</f>
        <v>#REF!</v>
      </c>
      <c r="GI94" t="e">
        <f>AND(#REF!,"AAAAAHP7774=")</f>
        <v>#REF!</v>
      </c>
      <c r="GJ94" t="e">
        <f>AND(#REF!,"AAAAAHP7778=")</f>
        <v>#REF!</v>
      </c>
      <c r="GK94" t="e">
        <f>AND(#REF!,"AAAAAHP778A=")</f>
        <v>#REF!</v>
      </c>
      <c r="GL94" t="e">
        <f>AND(#REF!,"AAAAAHP778E=")</f>
        <v>#REF!</v>
      </c>
      <c r="GM94" t="e">
        <f>AND(#REF!,"AAAAAHP778I=")</f>
        <v>#REF!</v>
      </c>
      <c r="GN94" t="e">
        <f>IF(#REF!,"AAAAAHP778M=",0)</f>
        <v>#REF!</v>
      </c>
      <c r="GO94" t="e">
        <f>AND(#REF!,"AAAAAHP778Q=")</f>
        <v>#REF!</v>
      </c>
      <c r="GP94" t="e">
        <f>AND(#REF!,"AAAAAHP778U=")</f>
        <v>#REF!</v>
      </c>
      <c r="GQ94" t="e">
        <f>AND(#REF!,"AAAAAHP778Y=")</f>
        <v>#REF!</v>
      </c>
      <c r="GR94" t="e">
        <f>AND(#REF!,"AAAAAHP778c=")</f>
        <v>#REF!</v>
      </c>
      <c r="GS94" t="e">
        <f>AND(#REF!,"AAAAAHP778g=")</f>
        <v>#REF!</v>
      </c>
      <c r="GT94" t="e">
        <f>AND(#REF!,"AAAAAHP778k=")</f>
        <v>#REF!</v>
      </c>
      <c r="GU94" t="e">
        <f>AND(#REF!,"AAAAAHP778o=")</f>
        <v>#REF!</v>
      </c>
      <c r="GV94" t="e">
        <f>AND(#REF!,"AAAAAHP778s=")</f>
        <v>#REF!</v>
      </c>
      <c r="GW94" t="e">
        <f>IF(#REF!,"AAAAAHP778w=",0)</f>
        <v>#REF!</v>
      </c>
      <c r="GX94" t="e">
        <f>AND(#REF!,"AAAAAHP7780=")</f>
        <v>#REF!</v>
      </c>
      <c r="GY94" t="e">
        <f>AND(#REF!,"AAAAAHP7784=")</f>
        <v>#REF!</v>
      </c>
      <c r="GZ94" t="e">
        <f>AND(#REF!,"AAAAAHP7788=")</f>
        <v>#REF!</v>
      </c>
      <c r="HA94" t="e">
        <f>AND(#REF!,"AAAAAHP779A=")</f>
        <v>#REF!</v>
      </c>
      <c r="HB94" t="e">
        <f>AND(#REF!,"AAAAAHP779E=")</f>
        <v>#REF!</v>
      </c>
      <c r="HC94" t="e">
        <f>AND(#REF!,"AAAAAHP779I=")</f>
        <v>#REF!</v>
      </c>
      <c r="HD94" t="e">
        <f>AND(#REF!,"AAAAAHP779M=")</f>
        <v>#REF!</v>
      </c>
      <c r="HE94" t="e">
        <f>AND(#REF!,"AAAAAHP779Q=")</f>
        <v>#REF!</v>
      </c>
      <c r="HF94" t="e">
        <f>IF(#REF!,"AAAAAHP779U=",0)</f>
        <v>#REF!</v>
      </c>
      <c r="HG94" t="e">
        <f>AND(#REF!,"AAAAAHP779Y=")</f>
        <v>#REF!</v>
      </c>
      <c r="HH94" t="e">
        <f>AND(#REF!,"AAAAAHP779c=")</f>
        <v>#REF!</v>
      </c>
      <c r="HI94" t="e">
        <f>AND(#REF!,"AAAAAHP779g=")</f>
        <v>#REF!</v>
      </c>
      <c r="HJ94" t="e">
        <f>AND(#REF!,"AAAAAHP779k=")</f>
        <v>#REF!</v>
      </c>
      <c r="HK94" t="e">
        <f>AND(#REF!,"AAAAAHP779o=")</f>
        <v>#REF!</v>
      </c>
      <c r="HL94" t="e">
        <f>AND(#REF!,"AAAAAHP779s=")</f>
        <v>#REF!</v>
      </c>
      <c r="HM94" t="e">
        <f>AND(#REF!,"AAAAAHP779w=")</f>
        <v>#REF!</v>
      </c>
      <c r="HN94" t="e">
        <f>AND(#REF!,"AAAAAHP7790=")</f>
        <v>#REF!</v>
      </c>
      <c r="HO94" t="e">
        <f>IF(#REF!,"AAAAAHP7794=",0)</f>
        <v>#REF!</v>
      </c>
      <c r="HP94" t="e">
        <f>AND(#REF!,"AAAAAHP7798=")</f>
        <v>#REF!</v>
      </c>
      <c r="HQ94" t="e">
        <f>AND(#REF!,"AAAAAHP77+A=")</f>
        <v>#REF!</v>
      </c>
      <c r="HR94" t="e">
        <f>AND(#REF!,"AAAAAHP77+E=")</f>
        <v>#REF!</v>
      </c>
      <c r="HS94" t="e">
        <f>AND(#REF!,"AAAAAHP77+I=")</f>
        <v>#REF!</v>
      </c>
      <c r="HT94" t="e">
        <f>AND(#REF!,"AAAAAHP77+M=")</f>
        <v>#REF!</v>
      </c>
      <c r="HU94" t="e">
        <f>AND(#REF!,"AAAAAHP77+Q=")</f>
        <v>#REF!</v>
      </c>
      <c r="HV94" t="e">
        <f>AND(#REF!,"AAAAAHP77+U=")</f>
        <v>#REF!</v>
      </c>
      <c r="HW94" t="e">
        <f>AND(#REF!,"AAAAAHP77+Y=")</f>
        <v>#REF!</v>
      </c>
      <c r="HX94" t="e">
        <f>IF(#REF!,"AAAAAHP77+c=",0)</f>
        <v>#REF!</v>
      </c>
      <c r="HY94" t="e">
        <f>AND(#REF!,"AAAAAHP77+g=")</f>
        <v>#REF!</v>
      </c>
      <c r="HZ94" t="e">
        <f>AND(#REF!,"AAAAAHP77+k=")</f>
        <v>#REF!</v>
      </c>
      <c r="IA94" t="e">
        <f>AND(#REF!,"AAAAAHP77+o=")</f>
        <v>#REF!</v>
      </c>
      <c r="IB94" t="e">
        <f>AND(#REF!,"AAAAAHP77+s=")</f>
        <v>#REF!</v>
      </c>
      <c r="IC94" t="e">
        <f>AND(#REF!,"AAAAAHP77+w=")</f>
        <v>#REF!</v>
      </c>
      <c r="ID94" t="e">
        <f>AND(#REF!,"AAAAAHP77+0=")</f>
        <v>#REF!</v>
      </c>
      <c r="IE94" t="e">
        <f>AND(#REF!,"AAAAAHP77+4=")</f>
        <v>#REF!</v>
      </c>
      <c r="IF94" t="e">
        <f>AND(#REF!,"AAAAAHP77+8=")</f>
        <v>#REF!</v>
      </c>
      <c r="IG94" t="e">
        <f>IF(#REF!,"AAAAAHP77/A=",0)</f>
        <v>#REF!</v>
      </c>
      <c r="IH94" t="e">
        <f>AND(#REF!,"AAAAAHP77/E=")</f>
        <v>#REF!</v>
      </c>
      <c r="II94" t="e">
        <f>AND(#REF!,"AAAAAHP77/I=")</f>
        <v>#REF!</v>
      </c>
      <c r="IJ94" t="e">
        <f>AND(#REF!,"AAAAAHP77/M=")</f>
        <v>#REF!</v>
      </c>
      <c r="IK94" t="e">
        <f>AND(#REF!,"AAAAAHP77/Q=")</f>
        <v>#REF!</v>
      </c>
      <c r="IL94" t="e">
        <f>AND(#REF!,"AAAAAHP77/U=")</f>
        <v>#REF!</v>
      </c>
      <c r="IM94" t="e">
        <f>AND(#REF!,"AAAAAHP77/Y=")</f>
        <v>#REF!</v>
      </c>
      <c r="IN94" t="e">
        <f>AND(#REF!,"AAAAAHP77/c=")</f>
        <v>#REF!</v>
      </c>
      <c r="IO94" t="e">
        <f>AND(#REF!,"AAAAAHP77/g=")</f>
        <v>#REF!</v>
      </c>
      <c r="IP94" t="e">
        <f>IF(#REF!,"AAAAAHP77/k=",0)</f>
        <v>#REF!</v>
      </c>
      <c r="IQ94" t="e">
        <f>AND(#REF!,"AAAAAHP77/o=")</f>
        <v>#REF!</v>
      </c>
      <c r="IR94" t="e">
        <f>AND(#REF!,"AAAAAHP77/s=")</f>
        <v>#REF!</v>
      </c>
      <c r="IS94" t="e">
        <f>AND(#REF!,"AAAAAHP77/w=")</f>
        <v>#REF!</v>
      </c>
      <c r="IT94" t="e">
        <f>AND(#REF!,"AAAAAHP77/0=")</f>
        <v>#REF!</v>
      </c>
      <c r="IU94" t="e">
        <f>AND(#REF!,"AAAAAHP77/4=")</f>
        <v>#REF!</v>
      </c>
      <c r="IV94" t="e">
        <f>AND(#REF!,"AAAAAHP77/8=")</f>
        <v>#REF!</v>
      </c>
    </row>
    <row r="95" spans="1:256" x14ac:dyDescent="0.25">
      <c r="A95" t="e">
        <f>AND(#REF!,"AAAAAD/56gA=")</f>
        <v>#REF!</v>
      </c>
      <c r="B95" t="e">
        <f>AND(#REF!,"AAAAAD/56gE=")</f>
        <v>#REF!</v>
      </c>
      <c r="C95" t="e">
        <f>IF(#REF!,"AAAAAD/56gI=",0)</f>
        <v>#REF!</v>
      </c>
      <c r="D95" t="e">
        <f>AND(#REF!,"AAAAAD/56gM=")</f>
        <v>#REF!</v>
      </c>
      <c r="E95" t="e">
        <f>AND(#REF!,"AAAAAD/56gQ=")</f>
        <v>#REF!</v>
      </c>
      <c r="F95" t="e">
        <f>AND(#REF!,"AAAAAD/56gU=")</f>
        <v>#REF!</v>
      </c>
      <c r="G95" t="e">
        <f>AND(#REF!,"AAAAAD/56gY=")</f>
        <v>#REF!</v>
      </c>
      <c r="H95" t="e">
        <f>AND(#REF!,"AAAAAD/56gc=")</f>
        <v>#REF!</v>
      </c>
      <c r="I95" t="e">
        <f>AND(#REF!,"AAAAAD/56gg=")</f>
        <v>#REF!</v>
      </c>
      <c r="J95" t="e">
        <f>AND(#REF!,"AAAAAD/56gk=")</f>
        <v>#REF!</v>
      </c>
      <c r="K95" t="e">
        <f>AND(#REF!,"AAAAAD/56go=")</f>
        <v>#REF!</v>
      </c>
      <c r="L95" t="e">
        <f>IF(#REF!,"AAAAAD/56gs=",0)</f>
        <v>#REF!</v>
      </c>
      <c r="M95" t="e">
        <f>AND(#REF!,"AAAAAD/56gw=")</f>
        <v>#REF!</v>
      </c>
      <c r="N95" t="e">
        <f>AND(#REF!,"AAAAAD/56g0=")</f>
        <v>#REF!</v>
      </c>
      <c r="O95" t="e">
        <f>AND(#REF!,"AAAAAD/56g4=")</f>
        <v>#REF!</v>
      </c>
      <c r="P95" t="e">
        <f>AND(#REF!,"AAAAAD/56g8=")</f>
        <v>#REF!</v>
      </c>
      <c r="Q95" t="e">
        <f>AND(#REF!,"AAAAAD/56hA=")</f>
        <v>#REF!</v>
      </c>
      <c r="R95" t="e">
        <f>AND(#REF!,"AAAAAD/56hE=")</f>
        <v>#REF!</v>
      </c>
      <c r="S95" t="e">
        <f>AND(#REF!,"AAAAAD/56hI=")</f>
        <v>#REF!</v>
      </c>
      <c r="T95" t="e">
        <f>AND(#REF!,"AAAAAD/56hM=")</f>
        <v>#REF!</v>
      </c>
      <c r="U95" t="e">
        <f>IF(#REF!,"AAAAAD/56hQ=",0)</f>
        <v>#REF!</v>
      </c>
      <c r="V95" t="e">
        <f>AND(#REF!,"AAAAAD/56hU=")</f>
        <v>#REF!</v>
      </c>
      <c r="W95" t="e">
        <f>AND(#REF!,"AAAAAD/56hY=")</f>
        <v>#REF!</v>
      </c>
      <c r="X95" t="e">
        <f>AND(#REF!,"AAAAAD/56hc=")</f>
        <v>#REF!</v>
      </c>
      <c r="Y95" t="e">
        <f>AND(#REF!,"AAAAAD/56hg=")</f>
        <v>#REF!</v>
      </c>
      <c r="Z95" t="e">
        <f>AND(#REF!,"AAAAAD/56hk=")</f>
        <v>#REF!</v>
      </c>
      <c r="AA95" t="e">
        <f>AND(#REF!,"AAAAAD/56ho=")</f>
        <v>#REF!</v>
      </c>
      <c r="AB95" t="e">
        <f>AND(#REF!,"AAAAAD/56hs=")</f>
        <v>#REF!</v>
      </c>
      <c r="AC95" t="e">
        <f>AND(#REF!,"AAAAAD/56hw=")</f>
        <v>#REF!</v>
      </c>
      <c r="AD95" t="e">
        <f>IF(#REF!,"AAAAAD/56h0=",0)</f>
        <v>#REF!</v>
      </c>
      <c r="AE95" t="e">
        <f>AND(#REF!,"AAAAAD/56h4=")</f>
        <v>#REF!</v>
      </c>
      <c r="AF95" t="e">
        <f>AND(#REF!,"AAAAAD/56h8=")</f>
        <v>#REF!</v>
      </c>
      <c r="AG95" t="e">
        <f>AND(#REF!,"AAAAAD/56iA=")</f>
        <v>#REF!</v>
      </c>
      <c r="AH95" t="e">
        <f>AND(#REF!,"AAAAAD/56iE=")</f>
        <v>#REF!</v>
      </c>
      <c r="AI95" t="e">
        <f>AND(#REF!,"AAAAAD/56iI=")</f>
        <v>#REF!</v>
      </c>
      <c r="AJ95" t="e">
        <f>AND(#REF!,"AAAAAD/56iM=")</f>
        <v>#REF!</v>
      </c>
      <c r="AK95" t="e">
        <f>AND(#REF!,"AAAAAD/56iQ=")</f>
        <v>#REF!</v>
      </c>
      <c r="AL95" t="e">
        <f>AND(#REF!,"AAAAAD/56iU=")</f>
        <v>#REF!</v>
      </c>
      <c r="AM95" t="e">
        <f>IF(#REF!,"AAAAAD/56iY=",0)</f>
        <v>#REF!</v>
      </c>
      <c r="AN95" t="e">
        <f>AND(#REF!,"AAAAAD/56ic=")</f>
        <v>#REF!</v>
      </c>
      <c r="AO95" t="e">
        <f>AND(#REF!,"AAAAAD/56ig=")</f>
        <v>#REF!</v>
      </c>
      <c r="AP95" t="e">
        <f>AND(#REF!,"AAAAAD/56ik=")</f>
        <v>#REF!</v>
      </c>
      <c r="AQ95" t="e">
        <f>AND(#REF!,"AAAAAD/56io=")</f>
        <v>#REF!</v>
      </c>
      <c r="AR95" t="e">
        <f>AND(#REF!,"AAAAAD/56is=")</f>
        <v>#REF!</v>
      </c>
      <c r="AS95" t="e">
        <f>AND(#REF!,"AAAAAD/56iw=")</f>
        <v>#REF!</v>
      </c>
      <c r="AT95" t="e">
        <f>AND(#REF!,"AAAAAD/56i0=")</f>
        <v>#REF!</v>
      </c>
      <c r="AU95" t="e">
        <f>AND(#REF!,"AAAAAD/56i4=")</f>
        <v>#REF!</v>
      </c>
      <c r="AV95" t="e">
        <f>IF(#REF!,"AAAAAD/56i8=",0)</f>
        <v>#REF!</v>
      </c>
      <c r="AW95" t="e">
        <f>AND(#REF!,"AAAAAD/56jA=")</f>
        <v>#REF!</v>
      </c>
      <c r="AX95" t="e">
        <f>AND(#REF!,"AAAAAD/56jE=")</f>
        <v>#REF!</v>
      </c>
      <c r="AY95" t="e">
        <f>AND(#REF!,"AAAAAD/56jI=")</f>
        <v>#REF!</v>
      </c>
      <c r="AZ95" t="e">
        <f>AND(#REF!,"AAAAAD/56jM=")</f>
        <v>#REF!</v>
      </c>
      <c r="BA95" t="e">
        <f>AND(#REF!,"AAAAAD/56jQ=")</f>
        <v>#REF!</v>
      </c>
      <c r="BB95" t="e">
        <f>AND(#REF!,"AAAAAD/56jU=")</f>
        <v>#REF!</v>
      </c>
      <c r="BC95" t="e">
        <f>AND(#REF!,"AAAAAD/56jY=")</f>
        <v>#REF!</v>
      </c>
      <c r="BD95" t="e">
        <f>AND(#REF!,"AAAAAD/56jc=")</f>
        <v>#REF!</v>
      </c>
      <c r="BE95" t="e">
        <f>IF(#REF!,"AAAAAD/56jg=",0)</f>
        <v>#REF!</v>
      </c>
      <c r="BF95" t="e">
        <f>AND(#REF!,"AAAAAD/56jk=")</f>
        <v>#REF!</v>
      </c>
      <c r="BG95" t="e">
        <f>AND(#REF!,"AAAAAD/56jo=")</f>
        <v>#REF!</v>
      </c>
      <c r="BH95" t="e">
        <f>AND(#REF!,"AAAAAD/56js=")</f>
        <v>#REF!</v>
      </c>
      <c r="BI95" t="e">
        <f>AND(#REF!,"AAAAAD/56jw=")</f>
        <v>#REF!</v>
      </c>
      <c r="BJ95" t="e">
        <f>AND(#REF!,"AAAAAD/56j0=")</f>
        <v>#REF!</v>
      </c>
      <c r="BK95" t="e">
        <f>AND(#REF!,"AAAAAD/56j4=")</f>
        <v>#REF!</v>
      </c>
      <c r="BL95" t="e">
        <f>AND(#REF!,"AAAAAD/56j8=")</f>
        <v>#REF!</v>
      </c>
      <c r="BM95" t="e">
        <f>AND(#REF!,"AAAAAD/56kA=")</f>
        <v>#REF!</v>
      </c>
      <c r="BN95" t="e">
        <f>IF(#REF!,"AAAAAD/56kE=",0)</f>
        <v>#REF!</v>
      </c>
      <c r="BO95" t="e">
        <f>AND(#REF!,"AAAAAD/56kI=")</f>
        <v>#REF!</v>
      </c>
      <c r="BP95" t="e">
        <f>AND(#REF!,"AAAAAD/56kM=")</f>
        <v>#REF!</v>
      </c>
      <c r="BQ95" t="e">
        <f>AND(#REF!,"AAAAAD/56kQ=")</f>
        <v>#REF!</v>
      </c>
      <c r="BR95" t="e">
        <f>AND(#REF!,"AAAAAD/56kU=")</f>
        <v>#REF!</v>
      </c>
      <c r="BS95" t="e">
        <f>AND(#REF!,"AAAAAD/56kY=")</f>
        <v>#REF!</v>
      </c>
      <c r="BT95" t="e">
        <f>AND(#REF!,"AAAAAD/56kc=")</f>
        <v>#REF!</v>
      </c>
      <c r="BU95" t="e">
        <f>AND(#REF!,"AAAAAD/56kg=")</f>
        <v>#REF!</v>
      </c>
      <c r="BV95" t="e">
        <f>AND(#REF!,"AAAAAD/56kk=")</f>
        <v>#REF!</v>
      </c>
      <c r="BW95" t="e">
        <f>IF(#REF!,"AAAAAD/56ko=",0)</f>
        <v>#REF!</v>
      </c>
      <c r="BX95" t="e">
        <f>AND(#REF!,"AAAAAD/56ks=")</f>
        <v>#REF!</v>
      </c>
      <c r="BY95" t="e">
        <f>AND(#REF!,"AAAAAD/56kw=")</f>
        <v>#REF!</v>
      </c>
      <c r="BZ95" t="e">
        <f>AND(#REF!,"AAAAAD/56k0=")</f>
        <v>#REF!</v>
      </c>
      <c r="CA95" t="e">
        <f>AND(#REF!,"AAAAAD/56k4=")</f>
        <v>#REF!</v>
      </c>
      <c r="CB95" t="e">
        <f>AND(#REF!,"AAAAAD/56k8=")</f>
        <v>#REF!</v>
      </c>
      <c r="CC95" t="e">
        <f>AND(#REF!,"AAAAAD/56lA=")</f>
        <v>#REF!</v>
      </c>
      <c r="CD95" t="e">
        <f>AND(#REF!,"AAAAAD/56lE=")</f>
        <v>#REF!</v>
      </c>
      <c r="CE95" t="e">
        <f>AND(#REF!,"AAAAAD/56lI=")</f>
        <v>#REF!</v>
      </c>
      <c r="CF95" t="e">
        <f>IF(#REF!,"AAAAAD/56lM=",0)</f>
        <v>#REF!</v>
      </c>
      <c r="CG95" t="e">
        <f>AND(#REF!,"AAAAAD/56lQ=")</f>
        <v>#REF!</v>
      </c>
      <c r="CH95" t="e">
        <f>AND(#REF!,"AAAAAD/56lU=")</f>
        <v>#REF!</v>
      </c>
      <c r="CI95" t="e">
        <f>AND(#REF!,"AAAAAD/56lY=")</f>
        <v>#REF!</v>
      </c>
      <c r="CJ95" t="e">
        <f>AND(#REF!,"AAAAAD/56lc=")</f>
        <v>#REF!</v>
      </c>
      <c r="CK95" t="e">
        <f>AND(#REF!,"AAAAAD/56lg=")</f>
        <v>#REF!</v>
      </c>
      <c r="CL95" t="e">
        <f>AND(#REF!,"AAAAAD/56lk=")</f>
        <v>#REF!</v>
      </c>
      <c r="CM95" t="e">
        <f>AND(#REF!,"AAAAAD/56lo=")</f>
        <v>#REF!</v>
      </c>
      <c r="CN95" t="e">
        <f>AND(#REF!,"AAAAAD/56ls=")</f>
        <v>#REF!</v>
      </c>
      <c r="CO95" t="e">
        <f>IF(#REF!,"AAAAAD/56lw=",0)</f>
        <v>#REF!</v>
      </c>
      <c r="CP95" t="e">
        <f>AND(#REF!,"AAAAAD/56l0=")</f>
        <v>#REF!</v>
      </c>
      <c r="CQ95" t="e">
        <f>AND(#REF!,"AAAAAD/56l4=")</f>
        <v>#REF!</v>
      </c>
      <c r="CR95" t="e">
        <f>AND(#REF!,"AAAAAD/56l8=")</f>
        <v>#REF!</v>
      </c>
      <c r="CS95" t="e">
        <f>AND(#REF!,"AAAAAD/56mA=")</f>
        <v>#REF!</v>
      </c>
      <c r="CT95" t="e">
        <f>AND(#REF!,"AAAAAD/56mE=")</f>
        <v>#REF!</v>
      </c>
      <c r="CU95" t="e">
        <f>AND(#REF!,"AAAAAD/56mI=")</f>
        <v>#REF!</v>
      </c>
      <c r="CV95" t="e">
        <f>AND(#REF!,"AAAAAD/56mM=")</f>
        <v>#REF!</v>
      </c>
      <c r="CW95" t="e">
        <f>AND(#REF!,"AAAAAD/56mQ=")</f>
        <v>#REF!</v>
      </c>
      <c r="CX95" t="e">
        <f>IF(#REF!,"AAAAAD/56mU=",0)</f>
        <v>#REF!</v>
      </c>
      <c r="CY95" t="e">
        <f>AND(#REF!,"AAAAAD/56mY=")</f>
        <v>#REF!</v>
      </c>
      <c r="CZ95" t="e">
        <f>AND(#REF!,"AAAAAD/56mc=")</f>
        <v>#REF!</v>
      </c>
      <c r="DA95" t="e">
        <f>AND(#REF!,"AAAAAD/56mg=")</f>
        <v>#REF!</v>
      </c>
      <c r="DB95" t="e">
        <f>AND(#REF!,"AAAAAD/56mk=")</f>
        <v>#REF!</v>
      </c>
      <c r="DC95" t="e">
        <f>AND(#REF!,"AAAAAD/56mo=")</f>
        <v>#REF!</v>
      </c>
      <c r="DD95" t="e">
        <f>AND(#REF!,"AAAAAD/56ms=")</f>
        <v>#REF!</v>
      </c>
      <c r="DE95" t="e">
        <f>AND(#REF!,"AAAAAD/56mw=")</f>
        <v>#REF!</v>
      </c>
      <c r="DF95" t="e">
        <f>AND(#REF!,"AAAAAD/56m0=")</f>
        <v>#REF!</v>
      </c>
      <c r="DG95" t="e">
        <f>IF(#REF!,"AAAAAD/56m4=",0)</f>
        <v>#REF!</v>
      </c>
      <c r="DH95" t="e">
        <f>AND(#REF!,"AAAAAD/56m8=")</f>
        <v>#REF!</v>
      </c>
      <c r="DI95" t="e">
        <f>AND(#REF!,"AAAAAD/56nA=")</f>
        <v>#REF!</v>
      </c>
      <c r="DJ95" t="e">
        <f>AND(#REF!,"AAAAAD/56nE=")</f>
        <v>#REF!</v>
      </c>
      <c r="DK95" t="e">
        <f>AND(#REF!,"AAAAAD/56nI=")</f>
        <v>#REF!</v>
      </c>
      <c r="DL95" t="e">
        <f>AND(#REF!,"AAAAAD/56nM=")</f>
        <v>#REF!</v>
      </c>
      <c r="DM95" t="e">
        <f>AND(#REF!,"AAAAAD/56nQ=")</f>
        <v>#REF!</v>
      </c>
      <c r="DN95" t="e">
        <f>AND(#REF!,"AAAAAD/56nU=")</f>
        <v>#REF!</v>
      </c>
      <c r="DO95" t="e">
        <f>AND(#REF!,"AAAAAD/56nY=")</f>
        <v>#REF!</v>
      </c>
      <c r="DP95" t="e">
        <f>IF(#REF!,"AAAAAD/56nc=",0)</f>
        <v>#REF!</v>
      </c>
      <c r="DQ95" t="e">
        <f>AND(#REF!,"AAAAAD/56ng=")</f>
        <v>#REF!</v>
      </c>
      <c r="DR95" t="e">
        <f>AND(#REF!,"AAAAAD/56nk=")</f>
        <v>#REF!</v>
      </c>
      <c r="DS95" t="e">
        <f>AND(#REF!,"AAAAAD/56no=")</f>
        <v>#REF!</v>
      </c>
      <c r="DT95" t="e">
        <f>AND(#REF!,"AAAAAD/56ns=")</f>
        <v>#REF!</v>
      </c>
      <c r="DU95" t="e">
        <f>AND(#REF!,"AAAAAD/56nw=")</f>
        <v>#REF!</v>
      </c>
      <c r="DV95" t="e">
        <f>AND(#REF!,"AAAAAD/56n0=")</f>
        <v>#REF!</v>
      </c>
      <c r="DW95" t="e">
        <f>AND(#REF!,"AAAAAD/56n4=")</f>
        <v>#REF!</v>
      </c>
      <c r="DX95" t="e">
        <f>AND(#REF!,"AAAAAD/56n8=")</f>
        <v>#REF!</v>
      </c>
      <c r="DY95" t="e">
        <f>IF(#REF!,"AAAAAD/56oA=",0)</f>
        <v>#REF!</v>
      </c>
      <c r="DZ95" t="e">
        <f>AND(#REF!,"AAAAAD/56oE=")</f>
        <v>#REF!</v>
      </c>
      <c r="EA95" t="e">
        <f>AND(#REF!,"AAAAAD/56oI=")</f>
        <v>#REF!</v>
      </c>
      <c r="EB95" t="e">
        <f>AND(#REF!,"AAAAAD/56oM=")</f>
        <v>#REF!</v>
      </c>
      <c r="EC95" t="e">
        <f>AND(#REF!,"AAAAAD/56oQ=")</f>
        <v>#REF!</v>
      </c>
      <c r="ED95" t="e">
        <f>AND(#REF!,"AAAAAD/56oU=")</f>
        <v>#REF!</v>
      </c>
      <c r="EE95" t="e">
        <f>AND(#REF!,"AAAAAD/56oY=")</f>
        <v>#REF!</v>
      </c>
      <c r="EF95" t="e">
        <f>AND(#REF!,"AAAAAD/56oc=")</f>
        <v>#REF!</v>
      </c>
      <c r="EG95" t="e">
        <f>AND(#REF!,"AAAAAD/56og=")</f>
        <v>#REF!</v>
      </c>
      <c r="EH95" t="e">
        <f>IF(#REF!,"AAAAAD/56ok=",0)</f>
        <v>#REF!</v>
      </c>
      <c r="EI95" t="e">
        <f>AND(#REF!,"AAAAAD/56oo=")</f>
        <v>#REF!</v>
      </c>
      <c r="EJ95" t="e">
        <f>AND(#REF!,"AAAAAD/56os=")</f>
        <v>#REF!</v>
      </c>
      <c r="EK95" t="e">
        <f>AND(#REF!,"AAAAAD/56ow=")</f>
        <v>#REF!</v>
      </c>
      <c r="EL95" t="e">
        <f>AND(#REF!,"AAAAAD/56o0=")</f>
        <v>#REF!</v>
      </c>
      <c r="EM95" t="e">
        <f>AND(#REF!,"AAAAAD/56o4=")</f>
        <v>#REF!</v>
      </c>
      <c r="EN95" t="e">
        <f>AND(#REF!,"AAAAAD/56o8=")</f>
        <v>#REF!</v>
      </c>
      <c r="EO95" t="e">
        <f>AND(#REF!,"AAAAAD/56pA=")</f>
        <v>#REF!</v>
      </c>
      <c r="EP95" t="e">
        <f>AND(#REF!,"AAAAAD/56pE=")</f>
        <v>#REF!</v>
      </c>
      <c r="EQ95" t="e">
        <f>IF(#REF!,"AAAAAD/56pI=",0)</f>
        <v>#REF!</v>
      </c>
      <c r="ER95" t="e">
        <f>AND(#REF!,"AAAAAD/56pM=")</f>
        <v>#REF!</v>
      </c>
      <c r="ES95" t="e">
        <f>AND(#REF!,"AAAAAD/56pQ=")</f>
        <v>#REF!</v>
      </c>
      <c r="ET95" t="e">
        <f>AND(#REF!,"AAAAAD/56pU=")</f>
        <v>#REF!</v>
      </c>
      <c r="EU95" t="e">
        <f>AND(#REF!,"AAAAAD/56pY=")</f>
        <v>#REF!</v>
      </c>
      <c r="EV95" t="e">
        <f>AND(#REF!,"AAAAAD/56pc=")</f>
        <v>#REF!</v>
      </c>
      <c r="EW95" t="e">
        <f>AND(#REF!,"AAAAAD/56pg=")</f>
        <v>#REF!</v>
      </c>
      <c r="EX95" t="e">
        <f>AND(#REF!,"AAAAAD/56pk=")</f>
        <v>#REF!</v>
      </c>
      <c r="EY95" t="e">
        <f>AND(#REF!,"AAAAAD/56po=")</f>
        <v>#REF!</v>
      </c>
      <c r="EZ95" t="e">
        <f>IF(#REF!,"AAAAAD/56ps=",0)</f>
        <v>#REF!</v>
      </c>
      <c r="FA95" t="e">
        <f>AND(#REF!,"AAAAAD/56pw=")</f>
        <v>#REF!</v>
      </c>
      <c r="FB95" t="e">
        <f>AND(#REF!,"AAAAAD/56p0=")</f>
        <v>#REF!</v>
      </c>
      <c r="FC95" t="e">
        <f>AND(#REF!,"AAAAAD/56p4=")</f>
        <v>#REF!</v>
      </c>
      <c r="FD95" t="e">
        <f>AND(#REF!,"AAAAAD/56p8=")</f>
        <v>#REF!</v>
      </c>
      <c r="FE95" t="e">
        <f>AND(#REF!,"AAAAAD/56qA=")</f>
        <v>#REF!</v>
      </c>
      <c r="FF95" t="e">
        <f>AND(#REF!,"AAAAAD/56qE=")</f>
        <v>#REF!</v>
      </c>
      <c r="FG95" t="e">
        <f>AND(#REF!,"AAAAAD/56qI=")</f>
        <v>#REF!</v>
      </c>
      <c r="FH95" t="e">
        <f>AND(#REF!,"AAAAAD/56qM=")</f>
        <v>#REF!</v>
      </c>
      <c r="FI95" t="e">
        <f>IF(#REF!,"AAAAAD/56qQ=",0)</f>
        <v>#REF!</v>
      </c>
      <c r="FJ95" t="e">
        <f>AND(#REF!,"AAAAAD/56qU=")</f>
        <v>#REF!</v>
      </c>
      <c r="FK95" t="e">
        <f>AND(#REF!,"AAAAAD/56qY=")</f>
        <v>#REF!</v>
      </c>
      <c r="FL95" t="e">
        <f>AND(#REF!,"AAAAAD/56qc=")</f>
        <v>#REF!</v>
      </c>
      <c r="FM95" t="e">
        <f>AND(#REF!,"AAAAAD/56qg=")</f>
        <v>#REF!</v>
      </c>
      <c r="FN95" t="e">
        <f>AND(#REF!,"AAAAAD/56qk=")</f>
        <v>#REF!</v>
      </c>
      <c r="FO95" t="e">
        <f>AND(#REF!,"AAAAAD/56qo=")</f>
        <v>#REF!</v>
      </c>
      <c r="FP95" t="e">
        <f>AND(#REF!,"AAAAAD/56qs=")</f>
        <v>#REF!</v>
      </c>
      <c r="FQ95" t="e">
        <f>AND(#REF!,"AAAAAD/56qw=")</f>
        <v>#REF!</v>
      </c>
      <c r="FR95" t="e">
        <f>IF(#REF!,"AAAAAD/56q0=",0)</f>
        <v>#REF!</v>
      </c>
      <c r="FS95" t="e">
        <f>AND(#REF!,"AAAAAD/56q4=")</f>
        <v>#REF!</v>
      </c>
      <c r="FT95" t="e">
        <f>AND(#REF!,"AAAAAD/56q8=")</f>
        <v>#REF!</v>
      </c>
      <c r="FU95" t="e">
        <f>AND(#REF!,"AAAAAD/56rA=")</f>
        <v>#REF!</v>
      </c>
      <c r="FV95" t="e">
        <f>AND(#REF!,"AAAAAD/56rE=")</f>
        <v>#REF!</v>
      </c>
      <c r="FW95" t="e">
        <f>AND(#REF!,"AAAAAD/56rI=")</f>
        <v>#REF!</v>
      </c>
      <c r="FX95" t="e">
        <f>AND(#REF!,"AAAAAD/56rM=")</f>
        <v>#REF!</v>
      </c>
      <c r="FY95" t="e">
        <f>AND(#REF!,"AAAAAD/56rQ=")</f>
        <v>#REF!</v>
      </c>
      <c r="FZ95" t="e">
        <f>AND(#REF!,"AAAAAD/56rU=")</f>
        <v>#REF!</v>
      </c>
      <c r="GA95" t="e">
        <f>IF(#REF!,"AAAAAD/56rY=",0)</f>
        <v>#REF!</v>
      </c>
      <c r="GB95" t="e">
        <f>AND(#REF!,"AAAAAD/56rc=")</f>
        <v>#REF!</v>
      </c>
      <c r="GC95" t="e">
        <f>AND(#REF!,"AAAAAD/56rg=")</f>
        <v>#REF!</v>
      </c>
      <c r="GD95" t="e">
        <f>AND(#REF!,"AAAAAD/56rk=")</f>
        <v>#REF!</v>
      </c>
      <c r="GE95" t="e">
        <f>AND(#REF!,"AAAAAD/56ro=")</f>
        <v>#REF!</v>
      </c>
      <c r="GF95" t="e">
        <f>AND(#REF!,"AAAAAD/56rs=")</f>
        <v>#REF!</v>
      </c>
      <c r="GG95" t="e">
        <f>AND(#REF!,"AAAAAD/56rw=")</f>
        <v>#REF!</v>
      </c>
      <c r="GH95" t="e">
        <f>AND(#REF!,"AAAAAD/56r0=")</f>
        <v>#REF!</v>
      </c>
      <c r="GI95" t="e">
        <f>AND(#REF!,"AAAAAD/56r4=")</f>
        <v>#REF!</v>
      </c>
      <c r="GJ95" t="e">
        <f>IF(#REF!,"AAAAAD/56r8=",0)</f>
        <v>#REF!</v>
      </c>
      <c r="GK95" t="e">
        <f>AND(#REF!,"AAAAAD/56sA=")</f>
        <v>#REF!</v>
      </c>
      <c r="GL95" t="e">
        <f>AND(#REF!,"AAAAAD/56sE=")</f>
        <v>#REF!</v>
      </c>
      <c r="GM95" t="e">
        <f>AND(#REF!,"AAAAAD/56sI=")</f>
        <v>#REF!</v>
      </c>
      <c r="GN95" t="e">
        <f>AND(#REF!,"AAAAAD/56sM=")</f>
        <v>#REF!</v>
      </c>
      <c r="GO95" t="e">
        <f>AND(#REF!,"AAAAAD/56sQ=")</f>
        <v>#REF!</v>
      </c>
      <c r="GP95" t="e">
        <f>AND(#REF!,"AAAAAD/56sU=")</f>
        <v>#REF!</v>
      </c>
      <c r="GQ95" t="e">
        <f>AND(#REF!,"AAAAAD/56sY=")</f>
        <v>#REF!</v>
      </c>
      <c r="GR95" t="e">
        <f>AND(#REF!,"AAAAAD/56sc=")</f>
        <v>#REF!</v>
      </c>
      <c r="GS95" t="e">
        <f>IF(#REF!,"AAAAAD/56sg=",0)</f>
        <v>#REF!</v>
      </c>
      <c r="GT95" t="e">
        <f>AND(#REF!,"AAAAAD/56sk=")</f>
        <v>#REF!</v>
      </c>
      <c r="GU95" t="e">
        <f>AND(#REF!,"AAAAAD/56so=")</f>
        <v>#REF!</v>
      </c>
      <c r="GV95" t="e">
        <f>AND(#REF!,"AAAAAD/56ss=")</f>
        <v>#REF!</v>
      </c>
      <c r="GW95" t="e">
        <f>AND(#REF!,"AAAAAD/56sw=")</f>
        <v>#REF!</v>
      </c>
      <c r="GX95" t="e">
        <f>AND(#REF!,"AAAAAD/56s0=")</f>
        <v>#REF!</v>
      </c>
      <c r="GY95" t="e">
        <f>AND(#REF!,"AAAAAD/56s4=")</f>
        <v>#REF!</v>
      </c>
      <c r="GZ95" t="e">
        <f>AND(#REF!,"AAAAAD/56s8=")</f>
        <v>#REF!</v>
      </c>
      <c r="HA95" t="e">
        <f>AND(#REF!,"AAAAAD/56tA=")</f>
        <v>#REF!</v>
      </c>
      <c r="HB95" t="e">
        <f>IF(#REF!,"AAAAAD/56tE=",0)</f>
        <v>#REF!</v>
      </c>
      <c r="HC95" t="e">
        <f>AND(#REF!,"AAAAAD/56tI=")</f>
        <v>#REF!</v>
      </c>
      <c r="HD95" t="e">
        <f>AND(#REF!,"AAAAAD/56tM=")</f>
        <v>#REF!</v>
      </c>
      <c r="HE95" t="e">
        <f>AND(#REF!,"AAAAAD/56tQ=")</f>
        <v>#REF!</v>
      </c>
      <c r="HF95" t="e">
        <f>AND(#REF!,"AAAAAD/56tU=")</f>
        <v>#REF!</v>
      </c>
      <c r="HG95" t="e">
        <f>AND(#REF!,"AAAAAD/56tY=")</f>
        <v>#REF!</v>
      </c>
      <c r="HH95" t="e">
        <f>AND(#REF!,"AAAAAD/56tc=")</f>
        <v>#REF!</v>
      </c>
      <c r="HI95" t="e">
        <f>AND(#REF!,"AAAAAD/56tg=")</f>
        <v>#REF!</v>
      </c>
      <c r="HJ95" t="e">
        <f>AND(#REF!,"AAAAAD/56tk=")</f>
        <v>#REF!</v>
      </c>
      <c r="HK95" t="e">
        <f>IF(#REF!,"AAAAAD/56to=",0)</f>
        <v>#REF!</v>
      </c>
      <c r="HL95" t="e">
        <f>AND(#REF!,"AAAAAD/56ts=")</f>
        <v>#REF!</v>
      </c>
      <c r="HM95" t="e">
        <f>AND(#REF!,"AAAAAD/56tw=")</f>
        <v>#REF!</v>
      </c>
      <c r="HN95" t="e">
        <f>AND(#REF!,"AAAAAD/56t0=")</f>
        <v>#REF!</v>
      </c>
      <c r="HO95" t="e">
        <f>AND(#REF!,"AAAAAD/56t4=")</f>
        <v>#REF!</v>
      </c>
      <c r="HP95" t="e">
        <f>AND(#REF!,"AAAAAD/56t8=")</f>
        <v>#REF!</v>
      </c>
      <c r="HQ95" t="e">
        <f>AND(#REF!,"AAAAAD/56uA=")</f>
        <v>#REF!</v>
      </c>
      <c r="HR95" t="e">
        <f>AND(#REF!,"AAAAAD/56uE=")</f>
        <v>#REF!</v>
      </c>
      <c r="HS95" t="e">
        <f>AND(#REF!,"AAAAAD/56uI=")</f>
        <v>#REF!</v>
      </c>
      <c r="HT95" t="e">
        <f>IF(#REF!,"AAAAAD/56uM=",0)</f>
        <v>#REF!</v>
      </c>
      <c r="HU95" t="e">
        <f>AND(#REF!,"AAAAAD/56uQ=")</f>
        <v>#REF!</v>
      </c>
      <c r="HV95" t="e">
        <f>AND(#REF!,"AAAAAD/56uU=")</f>
        <v>#REF!</v>
      </c>
      <c r="HW95" t="e">
        <f>AND(#REF!,"AAAAAD/56uY=")</f>
        <v>#REF!</v>
      </c>
      <c r="HX95" t="e">
        <f>AND(#REF!,"AAAAAD/56uc=")</f>
        <v>#REF!</v>
      </c>
      <c r="HY95" t="e">
        <f>AND(#REF!,"AAAAAD/56ug=")</f>
        <v>#REF!</v>
      </c>
      <c r="HZ95" t="e">
        <f>AND(#REF!,"AAAAAD/56uk=")</f>
        <v>#REF!</v>
      </c>
      <c r="IA95" t="e">
        <f>AND(#REF!,"AAAAAD/56uo=")</f>
        <v>#REF!</v>
      </c>
      <c r="IB95" t="e">
        <f>AND(#REF!,"AAAAAD/56us=")</f>
        <v>#REF!</v>
      </c>
      <c r="IC95" t="e">
        <f>IF(#REF!,"AAAAAD/56uw=",0)</f>
        <v>#REF!</v>
      </c>
      <c r="ID95" t="e">
        <f>AND(#REF!,"AAAAAD/56u0=")</f>
        <v>#REF!</v>
      </c>
      <c r="IE95" t="e">
        <f>AND(#REF!,"AAAAAD/56u4=")</f>
        <v>#REF!</v>
      </c>
      <c r="IF95" t="e">
        <f>AND(#REF!,"AAAAAD/56u8=")</f>
        <v>#REF!</v>
      </c>
      <c r="IG95" t="e">
        <f>AND(#REF!,"AAAAAD/56vA=")</f>
        <v>#REF!</v>
      </c>
      <c r="IH95" t="e">
        <f>AND(#REF!,"AAAAAD/56vE=")</f>
        <v>#REF!</v>
      </c>
      <c r="II95" t="e">
        <f>AND(#REF!,"AAAAAD/56vI=")</f>
        <v>#REF!</v>
      </c>
      <c r="IJ95" t="e">
        <f>AND(#REF!,"AAAAAD/56vM=")</f>
        <v>#REF!</v>
      </c>
      <c r="IK95" t="e">
        <f>AND(#REF!,"AAAAAD/56vQ=")</f>
        <v>#REF!</v>
      </c>
      <c r="IL95" t="e">
        <f>IF(#REF!,"AAAAAD/56vU=",0)</f>
        <v>#REF!</v>
      </c>
      <c r="IM95" t="e">
        <f>AND(#REF!,"AAAAAD/56vY=")</f>
        <v>#REF!</v>
      </c>
      <c r="IN95" t="e">
        <f>AND(#REF!,"AAAAAD/56vc=")</f>
        <v>#REF!</v>
      </c>
      <c r="IO95" t="e">
        <f>AND(#REF!,"AAAAAD/56vg=")</f>
        <v>#REF!</v>
      </c>
      <c r="IP95" t="e">
        <f>AND(#REF!,"AAAAAD/56vk=")</f>
        <v>#REF!</v>
      </c>
      <c r="IQ95" t="e">
        <f>AND(#REF!,"AAAAAD/56vo=")</f>
        <v>#REF!</v>
      </c>
      <c r="IR95" t="e">
        <f>AND(#REF!,"AAAAAD/56vs=")</f>
        <v>#REF!</v>
      </c>
      <c r="IS95" t="e">
        <f>AND(#REF!,"AAAAAD/56vw=")</f>
        <v>#REF!</v>
      </c>
      <c r="IT95" t="e">
        <f>AND(#REF!,"AAAAAD/56v0=")</f>
        <v>#REF!</v>
      </c>
      <c r="IU95" t="e">
        <f>IF(#REF!,"AAAAAD/56v4=",0)</f>
        <v>#REF!</v>
      </c>
      <c r="IV95" t="e">
        <f>AND(#REF!,"AAAAAD/56v8=")</f>
        <v>#REF!</v>
      </c>
    </row>
    <row r="96" spans="1:256" x14ac:dyDescent="0.25">
      <c r="A96" t="e">
        <f>AND(#REF!,"AAAAAH7T+QA=")</f>
        <v>#REF!</v>
      </c>
      <c r="B96" t="e">
        <f>AND(#REF!,"AAAAAH7T+QE=")</f>
        <v>#REF!</v>
      </c>
      <c r="C96" t="e">
        <f>AND(#REF!,"AAAAAH7T+QI=")</f>
        <v>#REF!</v>
      </c>
      <c r="D96" t="e">
        <f>AND(#REF!,"AAAAAH7T+QM=")</f>
        <v>#REF!</v>
      </c>
      <c r="E96" t="e">
        <f>AND(#REF!,"AAAAAH7T+QQ=")</f>
        <v>#REF!</v>
      </c>
      <c r="F96" t="e">
        <f>AND(#REF!,"AAAAAH7T+QU=")</f>
        <v>#REF!</v>
      </c>
      <c r="G96" t="e">
        <f>AND(#REF!,"AAAAAH7T+QY=")</f>
        <v>#REF!</v>
      </c>
      <c r="H96" t="e">
        <f>IF(#REF!,"AAAAAH7T+Qc=",0)</f>
        <v>#REF!</v>
      </c>
      <c r="I96" t="e">
        <f>AND(#REF!,"AAAAAH7T+Qg=")</f>
        <v>#REF!</v>
      </c>
      <c r="J96" t="e">
        <f>AND(#REF!,"AAAAAH7T+Qk=")</f>
        <v>#REF!</v>
      </c>
      <c r="K96" t="e">
        <f>AND(#REF!,"AAAAAH7T+Qo=")</f>
        <v>#REF!</v>
      </c>
      <c r="L96" t="e">
        <f>AND(#REF!,"AAAAAH7T+Qs=")</f>
        <v>#REF!</v>
      </c>
      <c r="M96" t="e">
        <f>AND(#REF!,"AAAAAH7T+Qw=")</f>
        <v>#REF!</v>
      </c>
      <c r="N96" t="e">
        <f>AND(#REF!,"AAAAAH7T+Q0=")</f>
        <v>#REF!</v>
      </c>
      <c r="O96" t="e">
        <f>AND(#REF!,"AAAAAH7T+Q4=")</f>
        <v>#REF!</v>
      </c>
      <c r="P96" t="e">
        <f>AND(#REF!,"AAAAAH7T+Q8=")</f>
        <v>#REF!</v>
      </c>
      <c r="Q96" t="e">
        <f>IF(#REF!,"AAAAAH7T+RA=",0)</f>
        <v>#REF!</v>
      </c>
      <c r="R96" t="e">
        <f>AND(#REF!,"AAAAAH7T+RE=")</f>
        <v>#REF!</v>
      </c>
      <c r="S96" t="e">
        <f>AND(#REF!,"AAAAAH7T+RI=")</f>
        <v>#REF!</v>
      </c>
      <c r="T96" t="e">
        <f>AND(#REF!,"AAAAAH7T+RM=")</f>
        <v>#REF!</v>
      </c>
      <c r="U96" t="e">
        <f>AND(#REF!,"AAAAAH7T+RQ=")</f>
        <v>#REF!</v>
      </c>
      <c r="V96" t="e">
        <f>AND(#REF!,"AAAAAH7T+RU=")</f>
        <v>#REF!</v>
      </c>
      <c r="W96" t="e">
        <f>AND(#REF!,"AAAAAH7T+RY=")</f>
        <v>#REF!</v>
      </c>
      <c r="X96" t="e">
        <f>AND(#REF!,"AAAAAH7T+Rc=")</f>
        <v>#REF!</v>
      </c>
      <c r="Y96" t="e">
        <f>AND(#REF!,"AAAAAH7T+Rg=")</f>
        <v>#REF!</v>
      </c>
      <c r="Z96" t="e">
        <f>IF(#REF!,"AAAAAH7T+Rk=",0)</f>
        <v>#REF!</v>
      </c>
      <c r="AA96" t="e">
        <f>AND(#REF!,"AAAAAH7T+Ro=")</f>
        <v>#REF!</v>
      </c>
      <c r="AB96" t="e">
        <f>AND(#REF!,"AAAAAH7T+Rs=")</f>
        <v>#REF!</v>
      </c>
      <c r="AC96" t="e">
        <f>AND(#REF!,"AAAAAH7T+Rw=")</f>
        <v>#REF!</v>
      </c>
      <c r="AD96" t="e">
        <f>AND(#REF!,"AAAAAH7T+R0=")</f>
        <v>#REF!</v>
      </c>
      <c r="AE96" t="e">
        <f>AND(#REF!,"AAAAAH7T+R4=")</f>
        <v>#REF!</v>
      </c>
      <c r="AF96" t="e">
        <f>AND(#REF!,"AAAAAH7T+R8=")</f>
        <v>#REF!</v>
      </c>
      <c r="AG96" t="e">
        <f>AND(#REF!,"AAAAAH7T+SA=")</f>
        <v>#REF!</v>
      </c>
      <c r="AH96" t="e">
        <f>AND(#REF!,"AAAAAH7T+SE=")</f>
        <v>#REF!</v>
      </c>
      <c r="AI96" t="e">
        <f>IF(#REF!,"AAAAAH7T+SI=",0)</f>
        <v>#REF!</v>
      </c>
      <c r="AJ96" t="e">
        <f>AND(#REF!,"AAAAAH7T+SM=")</f>
        <v>#REF!</v>
      </c>
      <c r="AK96" t="e">
        <f>AND(#REF!,"AAAAAH7T+SQ=")</f>
        <v>#REF!</v>
      </c>
      <c r="AL96" t="e">
        <f>AND(#REF!,"AAAAAH7T+SU=")</f>
        <v>#REF!</v>
      </c>
      <c r="AM96" t="e">
        <f>AND(#REF!,"AAAAAH7T+SY=")</f>
        <v>#REF!</v>
      </c>
      <c r="AN96" t="e">
        <f>AND(#REF!,"AAAAAH7T+Sc=")</f>
        <v>#REF!</v>
      </c>
      <c r="AO96" t="e">
        <f>AND(#REF!,"AAAAAH7T+Sg=")</f>
        <v>#REF!</v>
      </c>
      <c r="AP96" t="e">
        <f>AND(#REF!,"AAAAAH7T+Sk=")</f>
        <v>#REF!</v>
      </c>
      <c r="AQ96" t="e">
        <f>AND(#REF!,"AAAAAH7T+So=")</f>
        <v>#REF!</v>
      </c>
      <c r="AR96" t="e">
        <f>IF(#REF!,"AAAAAH7T+Ss=",0)</f>
        <v>#REF!</v>
      </c>
      <c r="AS96" t="e">
        <f>AND(#REF!,"AAAAAH7T+Sw=")</f>
        <v>#REF!</v>
      </c>
      <c r="AT96" t="e">
        <f>AND(#REF!,"AAAAAH7T+S0=")</f>
        <v>#REF!</v>
      </c>
      <c r="AU96" t="e">
        <f>AND(#REF!,"AAAAAH7T+S4=")</f>
        <v>#REF!</v>
      </c>
      <c r="AV96" t="e">
        <f>AND(#REF!,"AAAAAH7T+S8=")</f>
        <v>#REF!</v>
      </c>
      <c r="AW96" t="e">
        <f>AND(#REF!,"AAAAAH7T+TA=")</f>
        <v>#REF!</v>
      </c>
      <c r="AX96" t="e">
        <f>AND(#REF!,"AAAAAH7T+TE=")</f>
        <v>#REF!</v>
      </c>
      <c r="AY96" t="e">
        <f>AND(#REF!,"AAAAAH7T+TI=")</f>
        <v>#REF!</v>
      </c>
      <c r="AZ96" t="e">
        <f>AND(#REF!,"AAAAAH7T+TM=")</f>
        <v>#REF!</v>
      </c>
      <c r="BA96" t="e">
        <f>IF(#REF!,"AAAAAH7T+TQ=",0)</f>
        <v>#REF!</v>
      </c>
      <c r="BB96" t="e">
        <f>AND(#REF!,"AAAAAH7T+TU=")</f>
        <v>#REF!</v>
      </c>
      <c r="BC96" t="e">
        <f>AND(#REF!,"AAAAAH7T+TY=")</f>
        <v>#REF!</v>
      </c>
      <c r="BD96" t="e">
        <f>AND(#REF!,"AAAAAH7T+Tc=")</f>
        <v>#REF!</v>
      </c>
      <c r="BE96" t="e">
        <f>AND(#REF!,"AAAAAH7T+Tg=")</f>
        <v>#REF!</v>
      </c>
      <c r="BF96" t="e">
        <f>AND(#REF!,"AAAAAH7T+Tk=")</f>
        <v>#REF!</v>
      </c>
      <c r="BG96" t="e">
        <f>AND(#REF!,"AAAAAH7T+To=")</f>
        <v>#REF!</v>
      </c>
      <c r="BH96" t="e">
        <f>AND(#REF!,"AAAAAH7T+Ts=")</f>
        <v>#REF!</v>
      </c>
      <c r="BI96" t="e">
        <f>AND(#REF!,"AAAAAH7T+Tw=")</f>
        <v>#REF!</v>
      </c>
      <c r="BJ96" t="e">
        <f>IF(#REF!,"AAAAAH7T+T0=",0)</f>
        <v>#REF!</v>
      </c>
      <c r="BK96" t="e">
        <f>AND(#REF!,"AAAAAH7T+T4=")</f>
        <v>#REF!</v>
      </c>
      <c r="BL96" t="e">
        <f>AND(#REF!,"AAAAAH7T+T8=")</f>
        <v>#REF!</v>
      </c>
      <c r="BM96" t="e">
        <f>AND(#REF!,"AAAAAH7T+UA=")</f>
        <v>#REF!</v>
      </c>
      <c r="BN96" t="e">
        <f>AND(#REF!,"AAAAAH7T+UE=")</f>
        <v>#REF!</v>
      </c>
      <c r="BO96" t="e">
        <f>AND(#REF!,"AAAAAH7T+UI=")</f>
        <v>#REF!</v>
      </c>
      <c r="BP96" t="e">
        <f>AND(#REF!,"AAAAAH7T+UM=")</f>
        <v>#REF!</v>
      </c>
      <c r="BQ96" t="e">
        <f>AND(#REF!,"AAAAAH7T+UQ=")</f>
        <v>#REF!</v>
      </c>
      <c r="BR96" t="e">
        <f>AND(#REF!,"AAAAAH7T+UU=")</f>
        <v>#REF!</v>
      </c>
      <c r="BS96" t="e">
        <f>IF(#REF!,"AAAAAH7T+UY=",0)</f>
        <v>#REF!</v>
      </c>
      <c r="BT96" t="e">
        <f>AND(#REF!,"AAAAAH7T+Uc=")</f>
        <v>#REF!</v>
      </c>
      <c r="BU96" t="e">
        <f>AND(#REF!,"AAAAAH7T+Ug=")</f>
        <v>#REF!</v>
      </c>
      <c r="BV96" t="e">
        <f>AND(#REF!,"AAAAAH7T+Uk=")</f>
        <v>#REF!</v>
      </c>
      <c r="BW96" t="e">
        <f>AND(#REF!,"AAAAAH7T+Uo=")</f>
        <v>#REF!</v>
      </c>
      <c r="BX96" t="e">
        <f>AND(#REF!,"AAAAAH7T+Us=")</f>
        <v>#REF!</v>
      </c>
      <c r="BY96" t="e">
        <f>AND(#REF!,"AAAAAH7T+Uw=")</f>
        <v>#REF!</v>
      </c>
      <c r="BZ96" t="e">
        <f>AND(#REF!,"AAAAAH7T+U0=")</f>
        <v>#REF!</v>
      </c>
      <c r="CA96" t="e">
        <f>AND(#REF!,"AAAAAH7T+U4=")</f>
        <v>#REF!</v>
      </c>
      <c r="CB96" t="e">
        <f>IF(#REF!,"AAAAAH7T+U8=",0)</f>
        <v>#REF!</v>
      </c>
      <c r="CC96" t="e">
        <f>AND(#REF!,"AAAAAH7T+VA=")</f>
        <v>#REF!</v>
      </c>
      <c r="CD96" t="e">
        <f>AND(#REF!,"AAAAAH7T+VE=")</f>
        <v>#REF!</v>
      </c>
      <c r="CE96" t="e">
        <f>AND(#REF!,"AAAAAH7T+VI=")</f>
        <v>#REF!</v>
      </c>
      <c r="CF96" t="e">
        <f>AND(#REF!,"AAAAAH7T+VM=")</f>
        <v>#REF!</v>
      </c>
      <c r="CG96" t="e">
        <f>AND(#REF!,"AAAAAH7T+VQ=")</f>
        <v>#REF!</v>
      </c>
      <c r="CH96" t="e">
        <f>AND(#REF!,"AAAAAH7T+VU=")</f>
        <v>#REF!</v>
      </c>
      <c r="CI96" t="e">
        <f>AND(#REF!,"AAAAAH7T+VY=")</f>
        <v>#REF!</v>
      </c>
      <c r="CJ96" t="e">
        <f>AND(#REF!,"AAAAAH7T+Vc=")</f>
        <v>#REF!</v>
      </c>
      <c r="CK96" t="e">
        <f>IF(#REF!,"AAAAAH7T+Vg=",0)</f>
        <v>#REF!</v>
      </c>
      <c r="CL96" t="e">
        <f>AND(#REF!,"AAAAAH7T+Vk=")</f>
        <v>#REF!</v>
      </c>
      <c r="CM96" t="e">
        <f>AND(#REF!,"AAAAAH7T+Vo=")</f>
        <v>#REF!</v>
      </c>
      <c r="CN96" t="e">
        <f>AND(#REF!,"AAAAAH7T+Vs=")</f>
        <v>#REF!</v>
      </c>
      <c r="CO96" t="e">
        <f>AND(#REF!,"AAAAAH7T+Vw=")</f>
        <v>#REF!</v>
      </c>
      <c r="CP96" t="e">
        <f>AND(#REF!,"AAAAAH7T+V0=")</f>
        <v>#REF!</v>
      </c>
      <c r="CQ96" t="e">
        <f>AND(#REF!,"AAAAAH7T+V4=")</f>
        <v>#REF!</v>
      </c>
      <c r="CR96" t="e">
        <f>AND(#REF!,"AAAAAH7T+V8=")</f>
        <v>#REF!</v>
      </c>
      <c r="CS96" t="e">
        <f>AND(#REF!,"AAAAAH7T+WA=")</f>
        <v>#REF!</v>
      </c>
      <c r="CT96" t="e">
        <f>IF(#REF!,"AAAAAH7T+WE=",0)</f>
        <v>#REF!</v>
      </c>
      <c r="CU96" t="e">
        <f>AND(#REF!,"AAAAAH7T+WI=")</f>
        <v>#REF!</v>
      </c>
      <c r="CV96" t="e">
        <f>AND(#REF!,"AAAAAH7T+WM=")</f>
        <v>#REF!</v>
      </c>
      <c r="CW96" t="e">
        <f>AND(#REF!,"AAAAAH7T+WQ=")</f>
        <v>#REF!</v>
      </c>
      <c r="CX96" t="e">
        <f>AND(#REF!,"AAAAAH7T+WU=")</f>
        <v>#REF!</v>
      </c>
      <c r="CY96" t="e">
        <f>AND(#REF!,"AAAAAH7T+WY=")</f>
        <v>#REF!</v>
      </c>
      <c r="CZ96" t="e">
        <f>AND(#REF!,"AAAAAH7T+Wc=")</f>
        <v>#REF!</v>
      </c>
      <c r="DA96" t="e">
        <f>AND(#REF!,"AAAAAH7T+Wg=")</f>
        <v>#REF!</v>
      </c>
      <c r="DB96" t="e">
        <f>AND(#REF!,"AAAAAH7T+Wk=")</f>
        <v>#REF!</v>
      </c>
      <c r="DC96" t="e">
        <f>IF(#REF!,"AAAAAH7T+Wo=",0)</f>
        <v>#REF!</v>
      </c>
      <c r="DD96" t="e">
        <f>AND(#REF!,"AAAAAH7T+Ws=")</f>
        <v>#REF!</v>
      </c>
      <c r="DE96" t="e">
        <f>AND(#REF!,"AAAAAH7T+Ww=")</f>
        <v>#REF!</v>
      </c>
      <c r="DF96" t="e">
        <f>AND(#REF!,"AAAAAH7T+W0=")</f>
        <v>#REF!</v>
      </c>
      <c r="DG96" t="e">
        <f>AND(#REF!,"AAAAAH7T+W4=")</f>
        <v>#REF!</v>
      </c>
      <c r="DH96" t="e">
        <f>AND(#REF!,"AAAAAH7T+W8=")</f>
        <v>#REF!</v>
      </c>
      <c r="DI96" t="e">
        <f>AND(#REF!,"AAAAAH7T+XA=")</f>
        <v>#REF!</v>
      </c>
      <c r="DJ96" t="e">
        <f>AND(#REF!,"AAAAAH7T+XE=")</f>
        <v>#REF!</v>
      </c>
      <c r="DK96" t="e">
        <f>AND(#REF!,"AAAAAH7T+XI=")</f>
        <v>#REF!</v>
      </c>
      <c r="DL96" t="e">
        <f>IF(#REF!,"AAAAAH7T+XM=",0)</f>
        <v>#REF!</v>
      </c>
      <c r="DM96" t="e">
        <f>AND(#REF!,"AAAAAH7T+XQ=")</f>
        <v>#REF!</v>
      </c>
      <c r="DN96" t="e">
        <f>AND(#REF!,"AAAAAH7T+XU=")</f>
        <v>#REF!</v>
      </c>
      <c r="DO96" t="e">
        <f>AND(#REF!,"AAAAAH7T+XY=")</f>
        <v>#REF!</v>
      </c>
      <c r="DP96" t="e">
        <f>AND(#REF!,"AAAAAH7T+Xc=")</f>
        <v>#REF!</v>
      </c>
      <c r="DQ96" t="e">
        <f>AND(#REF!,"AAAAAH7T+Xg=")</f>
        <v>#REF!</v>
      </c>
      <c r="DR96" t="e">
        <f>AND(#REF!,"AAAAAH7T+Xk=")</f>
        <v>#REF!</v>
      </c>
      <c r="DS96" t="e">
        <f>AND(#REF!,"AAAAAH7T+Xo=")</f>
        <v>#REF!</v>
      </c>
      <c r="DT96" t="e">
        <f>AND(#REF!,"AAAAAH7T+Xs=")</f>
        <v>#REF!</v>
      </c>
      <c r="DU96" t="e">
        <f>IF(#REF!,"AAAAAH7T+Xw=",0)</f>
        <v>#REF!</v>
      </c>
      <c r="DV96" t="e">
        <f>AND(#REF!,"AAAAAH7T+X0=")</f>
        <v>#REF!</v>
      </c>
      <c r="DW96" t="e">
        <f>AND(#REF!,"AAAAAH7T+X4=")</f>
        <v>#REF!</v>
      </c>
      <c r="DX96" t="e">
        <f>AND(#REF!,"AAAAAH7T+X8=")</f>
        <v>#REF!</v>
      </c>
      <c r="DY96" t="e">
        <f>AND(#REF!,"AAAAAH7T+YA=")</f>
        <v>#REF!</v>
      </c>
      <c r="DZ96" t="e">
        <f>AND(#REF!,"AAAAAH7T+YE=")</f>
        <v>#REF!</v>
      </c>
      <c r="EA96" t="e">
        <f>AND(#REF!,"AAAAAH7T+YI=")</f>
        <v>#REF!</v>
      </c>
      <c r="EB96" t="e">
        <f>AND(#REF!,"AAAAAH7T+YM=")</f>
        <v>#REF!</v>
      </c>
      <c r="EC96" t="e">
        <f>AND(#REF!,"AAAAAH7T+YQ=")</f>
        <v>#REF!</v>
      </c>
      <c r="ED96" t="e">
        <f>IF(#REF!,"AAAAAH7T+YU=",0)</f>
        <v>#REF!</v>
      </c>
      <c r="EE96" t="e">
        <f>AND(#REF!,"AAAAAH7T+YY=")</f>
        <v>#REF!</v>
      </c>
      <c r="EF96" t="e">
        <f>AND(#REF!,"AAAAAH7T+Yc=")</f>
        <v>#REF!</v>
      </c>
      <c r="EG96" t="e">
        <f>AND(#REF!,"AAAAAH7T+Yg=")</f>
        <v>#REF!</v>
      </c>
      <c r="EH96" t="e">
        <f>AND(#REF!,"AAAAAH7T+Yk=")</f>
        <v>#REF!</v>
      </c>
      <c r="EI96" t="e">
        <f>AND(#REF!,"AAAAAH7T+Yo=")</f>
        <v>#REF!</v>
      </c>
      <c r="EJ96" t="e">
        <f>AND(#REF!,"AAAAAH7T+Ys=")</f>
        <v>#REF!</v>
      </c>
      <c r="EK96" t="e">
        <f>AND(#REF!,"AAAAAH7T+Yw=")</f>
        <v>#REF!</v>
      </c>
      <c r="EL96" t="e">
        <f>AND(#REF!,"AAAAAH7T+Y0=")</f>
        <v>#REF!</v>
      </c>
      <c r="EM96" t="e">
        <f>IF(#REF!,"AAAAAH7T+Y4=",0)</f>
        <v>#REF!</v>
      </c>
      <c r="EN96" t="e">
        <f>AND(#REF!,"AAAAAH7T+Y8=")</f>
        <v>#REF!</v>
      </c>
      <c r="EO96" t="e">
        <f>AND(#REF!,"AAAAAH7T+ZA=")</f>
        <v>#REF!</v>
      </c>
      <c r="EP96" t="e">
        <f>AND(#REF!,"AAAAAH7T+ZE=")</f>
        <v>#REF!</v>
      </c>
      <c r="EQ96" t="e">
        <f>AND(#REF!,"AAAAAH7T+ZI=")</f>
        <v>#REF!</v>
      </c>
      <c r="ER96" t="e">
        <f>AND(#REF!,"AAAAAH7T+ZM=")</f>
        <v>#REF!</v>
      </c>
      <c r="ES96" t="e">
        <f>AND(#REF!,"AAAAAH7T+ZQ=")</f>
        <v>#REF!</v>
      </c>
      <c r="ET96" t="e">
        <f>AND(#REF!,"AAAAAH7T+ZU=")</f>
        <v>#REF!</v>
      </c>
      <c r="EU96" t="e">
        <f>AND(#REF!,"AAAAAH7T+ZY=")</f>
        <v>#REF!</v>
      </c>
      <c r="EV96" t="e">
        <f>IF(#REF!,"AAAAAH7T+Zc=",0)</f>
        <v>#REF!</v>
      </c>
      <c r="EW96" t="e">
        <f>AND(#REF!,"AAAAAH7T+Zg=")</f>
        <v>#REF!</v>
      </c>
      <c r="EX96" t="e">
        <f>AND(#REF!,"AAAAAH7T+Zk=")</f>
        <v>#REF!</v>
      </c>
      <c r="EY96" t="e">
        <f>AND(#REF!,"AAAAAH7T+Zo=")</f>
        <v>#REF!</v>
      </c>
      <c r="EZ96" t="e">
        <f>AND(#REF!,"AAAAAH7T+Zs=")</f>
        <v>#REF!</v>
      </c>
      <c r="FA96" t="e">
        <f>AND(#REF!,"AAAAAH7T+Zw=")</f>
        <v>#REF!</v>
      </c>
      <c r="FB96" t="e">
        <f>AND(#REF!,"AAAAAH7T+Z0=")</f>
        <v>#REF!</v>
      </c>
      <c r="FC96" t="e">
        <f>AND(#REF!,"AAAAAH7T+Z4=")</f>
        <v>#REF!</v>
      </c>
      <c r="FD96" t="e">
        <f>AND(#REF!,"AAAAAH7T+Z8=")</f>
        <v>#REF!</v>
      </c>
      <c r="FE96" t="e">
        <f>IF(#REF!,"AAAAAH7T+aA=",0)</f>
        <v>#REF!</v>
      </c>
      <c r="FF96" t="e">
        <f>AND(#REF!,"AAAAAH7T+aE=")</f>
        <v>#REF!</v>
      </c>
      <c r="FG96" t="e">
        <f>AND(#REF!,"AAAAAH7T+aI=")</f>
        <v>#REF!</v>
      </c>
      <c r="FH96" t="e">
        <f>AND(#REF!,"AAAAAH7T+aM=")</f>
        <v>#REF!</v>
      </c>
      <c r="FI96" t="e">
        <f>AND(#REF!,"AAAAAH7T+aQ=")</f>
        <v>#REF!</v>
      </c>
      <c r="FJ96" t="e">
        <f>AND(#REF!,"AAAAAH7T+aU=")</f>
        <v>#REF!</v>
      </c>
      <c r="FK96" t="e">
        <f>AND(#REF!,"AAAAAH7T+aY=")</f>
        <v>#REF!</v>
      </c>
      <c r="FL96" t="e">
        <f>AND(#REF!,"AAAAAH7T+ac=")</f>
        <v>#REF!</v>
      </c>
      <c r="FM96" t="e">
        <f>AND(#REF!,"AAAAAH7T+ag=")</f>
        <v>#REF!</v>
      </c>
      <c r="FN96" t="e">
        <f>IF(#REF!,"AAAAAH7T+ak=",0)</f>
        <v>#REF!</v>
      </c>
      <c r="FO96" t="e">
        <f>AND(#REF!,"AAAAAH7T+ao=")</f>
        <v>#REF!</v>
      </c>
      <c r="FP96" t="e">
        <f>AND(#REF!,"AAAAAH7T+as=")</f>
        <v>#REF!</v>
      </c>
      <c r="FQ96" t="e">
        <f>AND(#REF!,"AAAAAH7T+aw=")</f>
        <v>#REF!</v>
      </c>
      <c r="FR96" t="e">
        <f>AND(#REF!,"AAAAAH7T+a0=")</f>
        <v>#REF!</v>
      </c>
      <c r="FS96" t="e">
        <f>AND(#REF!,"AAAAAH7T+a4=")</f>
        <v>#REF!</v>
      </c>
      <c r="FT96" t="e">
        <f>AND(#REF!,"AAAAAH7T+a8=")</f>
        <v>#REF!</v>
      </c>
      <c r="FU96" t="e">
        <f>AND(#REF!,"AAAAAH7T+bA=")</f>
        <v>#REF!</v>
      </c>
      <c r="FV96" t="e">
        <f>AND(#REF!,"AAAAAH7T+bE=")</f>
        <v>#REF!</v>
      </c>
      <c r="FW96" t="e">
        <f>IF(#REF!,"AAAAAH7T+bI=",0)</f>
        <v>#REF!</v>
      </c>
      <c r="FX96" t="e">
        <f>AND(#REF!,"AAAAAH7T+bM=")</f>
        <v>#REF!</v>
      </c>
      <c r="FY96" t="e">
        <f>AND(#REF!,"AAAAAH7T+bQ=")</f>
        <v>#REF!</v>
      </c>
      <c r="FZ96" t="e">
        <f>AND(#REF!,"AAAAAH7T+bU=")</f>
        <v>#REF!</v>
      </c>
      <c r="GA96" t="e">
        <f>AND(#REF!,"AAAAAH7T+bY=")</f>
        <v>#REF!</v>
      </c>
      <c r="GB96" t="e">
        <f>AND(#REF!,"AAAAAH7T+bc=")</f>
        <v>#REF!</v>
      </c>
      <c r="GC96" t="e">
        <f>AND(#REF!,"AAAAAH7T+bg=")</f>
        <v>#REF!</v>
      </c>
      <c r="GD96" t="e">
        <f>AND(#REF!,"AAAAAH7T+bk=")</f>
        <v>#REF!</v>
      </c>
      <c r="GE96" t="e">
        <f>AND(#REF!,"AAAAAH7T+bo=")</f>
        <v>#REF!</v>
      </c>
      <c r="GF96" t="e">
        <f>IF(#REF!,"AAAAAH7T+bs=",0)</f>
        <v>#REF!</v>
      </c>
      <c r="GG96" t="e">
        <f>AND(#REF!,"AAAAAH7T+bw=")</f>
        <v>#REF!</v>
      </c>
      <c r="GH96" t="e">
        <f>AND(#REF!,"AAAAAH7T+b0=")</f>
        <v>#REF!</v>
      </c>
      <c r="GI96" t="e">
        <f>AND(#REF!,"AAAAAH7T+b4=")</f>
        <v>#REF!</v>
      </c>
      <c r="GJ96" t="e">
        <f>AND(#REF!,"AAAAAH7T+b8=")</f>
        <v>#REF!</v>
      </c>
      <c r="GK96" t="e">
        <f>AND(#REF!,"AAAAAH7T+cA=")</f>
        <v>#REF!</v>
      </c>
      <c r="GL96" t="e">
        <f>AND(#REF!,"AAAAAH7T+cE=")</f>
        <v>#REF!</v>
      </c>
      <c r="GM96" t="e">
        <f>AND(#REF!,"AAAAAH7T+cI=")</f>
        <v>#REF!</v>
      </c>
      <c r="GN96" t="e">
        <f>AND(#REF!,"AAAAAH7T+cM=")</f>
        <v>#REF!</v>
      </c>
      <c r="GO96" t="e">
        <f>IF(#REF!,"AAAAAH7T+cQ=",0)</f>
        <v>#REF!</v>
      </c>
      <c r="GP96" t="e">
        <f>AND(#REF!,"AAAAAH7T+cU=")</f>
        <v>#REF!</v>
      </c>
      <c r="GQ96" t="e">
        <f>AND(#REF!,"AAAAAH7T+cY=")</f>
        <v>#REF!</v>
      </c>
      <c r="GR96" t="e">
        <f>AND(#REF!,"AAAAAH7T+cc=")</f>
        <v>#REF!</v>
      </c>
      <c r="GS96" t="e">
        <f>AND(#REF!,"AAAAAH7T+cg=")</f>
        <v>#REF!</v>
      </c>
      <c r="GT96" t="e">
        <f>AND(#REF!,"AAAAAH7T+ck=")</f>
        <v>#REF!</v>
      </c>
      <c r="GU96" t="e">
        <f>AND(#REF!,"AAAAAH7T+co=")</f>
        <v>#REF!</v>
      </c>
      <c r="GV96" t="e">
        <f>AND(#REF!,"AAAAAH7T+cs=")</f>
        <v>#REF!</v>
      </c>
      <c r="GW96" t="e">
        <f>AND(#REF!,"AAAAAH7T+cw=")</f>
        <v>#REF!</v>
      </c>
      <c r="GX96" t="e">
        <f>IF(#REF!,"AAAAAH7T+c0=",0)</f>
        <v>#REF!</v>
      </c>
      <c r="GY96" t="e">
        <f>AND(#REF!,"AAAAAH7T+c4=")</f>
        <v>#REF!</v>
      </c>
      <c r="GZ96" t="e">
        <f>AND(#REF!,"AAAAAH7T+c8=")</f>
        <v>#REF!</v>
      </c>
      <c r="HA96" t="e">
        <f>AND(#REF!,"AAAAAH7T+dA=")</f>
        <v>#REF!</v>
      </c>
      <c r="HB96" t="e">
        <f>AND(#REF!,"AAAAAH7T+dE=")</f>
        <v>#REF!</v>
      </c>
      <c r="HC96" t="e">
        <f>AND(#REF!,"AAAAAH7T+dI=")</f>
        <v>#REF!</v>
      </c>
      <c r="HD96" t="e">
        <f>AND(#REF!,"AAAAAH7T+dM=")</f>
        <v>#REF!</v>
      </c>
      <c r="HE96" t="e">
        <f>AND(#REF!,"AAAAAH7T+dQ=")</f>
        <v>#REF!</v>
      </c>
      <c r="HF96" t="e">
        <f>AND(#REF!,"AAAAAH7T+dU=")</f>
        <v>#REF!</v>
      </c>
      <c r="HG96" t="e">
        <f>IF(#REF!,"AAAAAH7T+dY=",0)</f>
        <v>#REF!</v>
      </c>
      <c r="HH96" t="e">
        <f>AND(#REF!,"AAAAAH7T+dc=")</f>
        <v>#REF!</v>
      </c>
      <c r="HI96" t="e">
        <f>AND(#REF!,"AAAAAH7T+dg=")</f>
        <v>#REF!</v>
      </c>
      <c r="HJ96" t="e">
        <f>AND(#REF!,"AAAAAH7T+dk=")</f>
        <v>#REF!</v>
      </c>
      <c r="HK96" t="e">
        <f>AND(#REF!,"AAAAAH7T+do=")</f>
        <v>#REF!</v>
      </c>
      <c r="HL96" t="e">
        <f>AND(#REF!,"AAAAAH7T+ds=")</f>
        <v>#REF!</v>
      </c>
      <c r="HM96" t="e">
        <f>AND(#REF!,"AAAAAH7T+dw=")</f>
        <v>#REF!</v>
      </c>
      <c r="HN96" t="e">
        <f>AND(#REF!,"AAAAAH7T+d0=")</f>
        <v>#REF!</v>
      </c>
      <c r="HO96" t="e">
        <f>AND(#REF!,"AAAAAH7T+d4=")</f>
        <v>#REF!</v>
      </c>
      <c r="HP96" t="e">
        <f>IF(#REF!,"AAAAAH7T+d8=",0)</f>
        <v>#REF!</v>
      </c>
      <c r="HQ96" t="e">
        <f>AND(#REF!,"AAAAAH7T+eA=")</f>
        <v>#REF!</v>
      </c>
      <c r="HR96" t="e">
        <f>AND(#REF!,"AAAAAH7T+eE=")</f>
        <v>#REF!</v>
      </c>
      <c r="HS96" t="e">
        <f>AND(#REF!,"AAAAAH7T+eI=")</f>
        <v>#REF!</v>
      </c>
      <c r="HT96" t="e">
        <f>AND(#REF!,"AAAAAH7T+eM=")</f>
        <v>#REF!</v>
      </c>
      <c r="HU96" t="e">
        <f>AND(#REF!,"AAAAAH7T+eQ=")</f>
        <v>#REF!</v>
      </c>
      <c r="HV96" t="e">
        <f>AND(#REF!,"AAAAAH7T+eU=")</f>
        <v>#REF!</v>
      </c>
      <c r="HW96" t="e">
        <f>AND(#REF!,"AAAAAH7T+eY=")</f>
        <v>#REF!</v>
      </c>
      <c r="HX96" t="e">
        <f>AND(#REF!,"AAAAAH7T+ec=")</f>
        <v>#REF!</v>
      </c>
      <c r="HY96" t="e">
        <f>IF(#REF!,"AAAAAH7T+eg=",0)</f>
        <v>#REF!</v>
      </c>
      <c r="HZ96" t="e">
        <f>AND(#REF!,"AAAAAH7T+ek=")</f>
        <v>#REF!</v>
      </c>
      <c r="IA96" t="e">
        <f>AND(#REF!,"AAAAAH7T+eo=")</f>
        <v>#REF!</v>
      </c>
      <c r="IB96" t="e">
        <f>AND(#REF!,"AAAAAH7T+es=")</f>
        <v>#REF!</v>
      </c>
      <c r="IC96" t="e">
        <f>AND(#REF!,"AAAAAH7T+ew=")</f>
        <v>#REF!</v>
      </c>
      <c r="ID96" t="e">
        <f>AND(#REF!,"AAAAAH7T+e0=")</f>
        <v>#REF!</v>
      </c>
      <c r="IE96" t="e">
        <f>AND(#REF!,"AAAAAH7T+e4=")</f>
        <v>#REF!</v>
      </c>
      <c r="IF96" t="e">
        <f>AND(#REF!,"AAAAAH7T+e8=")</f>
        <v>#REF!</v>
      </c>
      <c r="IG96" t="e">
        <f>AND(#REF!,"AAAAAH7T+fA=")</f>
        <v>#REF!</v>
      </c>
      <c r="IH96" t="e">
        <f>IF(#REF!,"AAAAAH7T+fE=",0)</f>
        <v>#REF!</v>
      </c>
      <c r="II96" t="e">
        <f>AND(#REF!,"AAAAAH7T+fI=")</f>
        <v>#REF!</v>
      </c>
      <c r="IJ96" t="e">
        <f>AND(#REF!,"AAAAAH7T+fM=")</f>
        <v>#REF!</v>
      </c>
      <c r="IK96" t="e">
        <f>AND(#REF!,"AAAAAH7T+fQ=")</f>
        <v>#REF!</v>
      </c>
      <c r="IL96" t="e">
        <f>AND(#REF!,"AAAAAH7T+fU=")</f>
        <v>#REF!</v>
      </c>
      <c r="IM96" t="e">
        <f>AND(#REF!,"AAAAAH7T+fY=")</f>
        <v>#REF!</v>
      </c>
      <c r="IN96" t="e">
        <f>AND(#REF!,"AAAAAH7T+fc=")</f>
        <v>#REF!</v>
      </c>
      <c r="IO96" t="e">
        <f>AND(#REF!,"AAAAAH7T+fg=")</f>
        <v>#REF!</v>
      </c>
      <c r="IP96" t="e">
        <f>AND(#REF!,"AAAAAH7T+fk=")</f>
        <v>#REF!</v>
      </c>
      <c r="IQ96" t="e">
        <f>IF(#REF!,"AAAAAH7T+fo=",0)</f>
        <v>#REF!</v>
      </c>
      <c r="IR96" t="e">
        <f>AND(#REF!,"AAAAAH7T+fs=")</f>
        <v>#REF!</v>
      </c>
      <c r="IS96" t="e">
        <f>AND(#REF!,"AAAAAH7T+fw=")</f>
        <v>#REF!</v>
      </c>
      <c r="IT96" t="e">
        <f>AND(#REF!,"AAAAAH7T+f0=")</f>
        <v>#REF!</v>
      </c>
      <c r="IU96" t="e">
        <f>AND(#REF!,"AAAAAH7T+f4=")</f>
        <v>#REF!</v>
      </c>
      <c r="IV96" t="e">
        <f>AND(#REF!,"AAAAAH7T+f8=")</f>
        <v>#REF!</v>
      </c>
    </row>
    <row r="97" spans="1:256" x14ac:dyDescent="0.25">
      <c r="A97" t="e">
        <f>AND(#REF!,"AAAAAFxSvQA=")</f>
        <v>#REF!</v>
      </c>
      <c r="B97" t="e">
        <f>AND(#REF!,"AAAAAFxSvQE=")</f>
        <v>#REF!</v>
      </c>
      <c r="C97" t="e">
        <f>AND(#REF!,"AAAAAFxSvQI=")</f>
        <v>#REF!</v>
      </c>
      <c r="D97" t="e">
        <f>IF(#REF!,"AAAAAFxSvQM=",0)</f>
        <v>#REF!</v>
      </c>
      <c r="E97" t="e">
        <f>AND(#REF!,"AAAAAFxSvQQ=")</f>
        <v>#REF!</v>
      </c>
      <c r="F97" t="e">
        <f>AND(#REF!,"AAAAAFxSvQU=")</f>
        <v>#REF!</v>
      </c>
      <c r="G97" t="e">
        <f>AND(#REF!,"AAAAAFxSvQY=")</f>
        <v>#REF!</v>
      </c>
      <c r="H97" t="e">
        <f>AND(#REF!,"AAAAAFxSvQc=")</f>
        <v>#REF!</v>
      </c>
      <c r="I97" t="e">
        <f>AND(#REF!,"AAAAAFxSvQg=")</f>
        <v>#REF!</v>
      </c>
      <c r="J97" t="e">
        <f>AND(#REF!,"AAAAAFxSvQk=")</f>
        <v>#REF!</v>
      </c>
      <c r="K97" t="e">
        <f>AND(#REF!,"AAAAAFxSvQo=")</f>
        <v>#REF!</v>
      </c>
      <c r="L97" t="e">
        <f>AND(#REF!,"AAAAAFxSvQs=")</f>
        <v>#REF!</v>
      </c>
      <c r="M97" t="e">
        <f>IF(#REF!,"AAAAAFxSvQw=",0)</f>
        <v>#REF!</v>
      </c>
      <c r="N97" t="e">
        <f>AND(#REF!,"AAAAAFxSvQ0=")</f>
        <v>#REF!</v>
      </c>
      <c r="O97" t="e">
        <f>AND(#REF!,"AAAAAFxSvQ4=")</f>
        <v>#REF!</v>
      </c>
      <c r="P97" t="e">
        <f>AND(#REF!,"AAAAAFxSvQ8=")</f>
        <v>#REF!</v>
      </c>
      <c r="Q97" t="e">
        <f>AND(#REF!,"AAAAAFxSvRA=")</f>
        <v>#REF!</v>
      </c>
      <c r="R97" t="e">
        <f>AND(#REF!,"AAAAAFxSvRE=")</f>
        <v>#REF!</v>
      </c>
      <c r="S97" t="e">
        <f>AND(#REF!,"AAAAAFxSvRI=")</f>
        <v>#REF!</v>
      </c>
      <c r="T97" t="e">
        <f>AND(#REF!,"AAAAAFxSvRM=")</f>
        <v>#REF!</v>
      </c>
      <c r="U97" t="e">
        <f>AND(#REF!,"AAAAAFxSvRQ=")</f>
        <v>#REF!</v>
      </c>
      <c r="V97" t="e">
        <f>IF(#REF!,"AAAAAFxSvRU=",0)</f>
        <v>#REF!</v>
      </c>
      <c r="W97" t="e">
        <f>AND(#REF!,"AAAAAFxSvRY=")</f>
        <v>#REF!</v>
      </c>
      <c r="X97" t="e">
        <f>AND(#REF!,"AAAAAFxSvRc=")</f>
        <v>#REF!</v>
      </c>
      <c r="Y97" t="e">
        <f>AND(#REF!,"AAAAAFxSvRg=")</f>
        <v>#REF!</v>
      </c>
      <c r="Z97" t="e">
        <f>AND(#REF!,"AAAAAFxSvRk=")</f>
        <v>#REF!</v>
      </c>
      <c r="AA97" t="e">
        <f>AND(#REF!,"AAAAAFxSvRo=")</f>
        <v>#REF!</v>
      </c>
      <c r="AB97" t="e">
        <f>AND(#REF!,"AAAAAFxSvRs=")</f>
        <v>#REF!</v>
      </c>
      <c r="AC97" t="e">
        <f>AND(#REF!,"AAAAAFxSvRw=")</f>
        <v>#REF!</v>
      </c>
      <c r="AD97" t="e">
        <f>AND(#REF!,"AAAAAFxSvR0=")</f>
        <v>#REF!</v>
      </c>
      <c r="AE97" t="e">
        <f>IF(#REF!,"AAAAAFxSvR4=",0)</f>
        <v>#REF!</v>
      </c>
      <c r="AF97" t="e">
        <f>AND(#REF!,"AAAAAFxSvR8=")</f>
        <v>#REF!</v>
      </c>
      <c r="AG97" t="e">
        <f>AND(#REF!,"AAAAAFxSvSA=")</f>
        <v>#REF!</v>
      </c>
      <c r="AH97" t="e">
        <f>AND(#REF!,"AAAAAFxSvSE=")</f>
        <v>#REF!</v>
      </c>
      <c r="AI97" t="e">
        <f>AND(#REF!,"AAAAAFxSvSI=")</f>
        <v>#REF!</v>
      </c>
      <c r="AJ97" t="e">
        <f>AND(#REF!,"AAAAAFxSvSM=")</f>
        <v>#REF!</v>
      </c>
      <c r="AK97" t="e">
        <f>AND(#REF!,"AAAAAFxSvSQ=")</f>
        <v>#REF!</v>
      </c>
      <c r="AL97" t="e">
        <f>AND(#REF!,"AAAAAFxSvSU=")</f>
        <v>#REF!</v>
      </c>
      <c r="AM97" t="e">
        <f>AND(#REF!,"AAAAAFxSvSY=")</f>
        <v>#REF!</v>
      </c>
      <c r="AN97" t="e">
        <f>IF(#REF!,"AAAAAFxSvSc=",0)</f>
        <v>#REF!</v>
      </c>
      <c r="AO97" t="e">
        <f>AND(#REF!,"AAAAAFxSvSg=")</f>
        <v>#REF!</v>
      </c>
      <c r="AP97" t="e">
        <f>AND(#REF!,"AAAAAFxSvSk=")</f>
        <v>#REF!</v>
      </c>
      <c r="AQ97" t="e">
        <f>AND(#REF!,"AAAAAFxSvSo=")</f>
        <v>#REF!</v>
      </c>
      <c r="AR97" t="e">
        <f>AND(#REF!,"AAAAAFxSvSs=")</f>
        <v>#REF!</v>
      </c>
      <c r="AS97" t="e">
        <f>AND(#REF!,"AAAAAFxSvSw=")</f>
        <v>#REF!</v>
      </c>
      <c r="AT97" t="e">
        <f>AND(#REF!,"AAAAAFxSvS0=")</f>
        <v>#REF!</v>
      </c>
      <c r="AU97" t="e">
        <f>AND(#REF!,"AAAAAFxSvS4=")</f>
        <v>#REF!</v>
      </c>
      <c r="AV97" t="e">
        <f>AND(#REF!,"AAAAAFxSvS8=")</f>
        <v>#REF!</v>
      </c>
      <c r="AW97" t="e">
        <f>IF(#REF!,"AAAAAFxSvTA=",0)</f>
        <v>#REF!</v>
      </c>
      <c r="AX97" t="e">
        <f>AND(#REF!,"AAAAAFxSvTE=")</f>
        <v>#REF!</v>
      </c>
      <c r="AY97" t="e">
        <f>AND(#REF!,"AAAAAFxSvTI=")</f>
        <v>#REF!</v>
      </c>
      <c r="AZ97" t="e">
        <f>AND(#REF!,"AAAAAFxSvTM=")</f>
        <v>#REF!</v>
      </c>
      <c r="BA97" t="e">
        <f>AND(#REF!,"AAAAAFxSvTQ=")</f>
        <v>#REF!</v>
      </c>
      <c r="BB97" t="e">
        <f>AND(#REF!,"AAAAAFxSvTU=")</f>
        <v>#REF!</v>
      </c>
      <c r="BC97" t="e">
        <f>AND(#REF!,"AAAAAFxSvTY=")</f>
        <v>#REF!</v>
      </c>
      <c r="BD97" t="e">
        <f>AND(#REF!,"AAAAAFxSvTc=")</f>
        <v>#REF!</v>
      </c>
      <c r="BE97" t="e">
        <f>AND(#REF!,"AAAAAFxSvTg=")</f>
        <v>#REF!</v>
      </c>
      <c r="BF97" t="e">
        <f>IF(#REF!,"AAAAAFxSvTk=",0)</f>
        <v>#REF!</v>
      </c>
      <c r="BG97" t="e">
        <f>AND(#REF!,"AAAAAFxSvTo=")</f>
        <v>#REF!</v>
      </c>
      <c r="BH97" t="e">
        <f>AND(#REF!,"AAAAAFxSvTs=")</f>
        <v>#REF!</v>
      </c>
      <c r="BI97" t="e">
        <f>AND(#REF!,"AAAAAFxSvTw=")</f>
        <v>#REF!</v>
      </c>
      <c r="BJ97" t="e">
        <f>AND(#REF!,"AAAAAFxSvT0=")</f>
        <v>#REF!</v>
      </c>
      <c r="BK97" t="e">
        <f>AND(#REF!,"AAAAAFxSvT4=")</f>
        <v>#REF!</v>
      </c>
      <c r="BL97" t="e">
        <f>AND(#REF!,"AAAAAFxSvT8=")</f>
        <v>#REF!</v>
      </c>
      <c r="BM97" t="e">
        <f>AND(#REF!,"AAAAAFxSvUA=")</f>
        <v>#REF!</v>
      </c>
      <c r="BN97" t="e">
        <f>AND(#REF!,"AAAAAFxSvUE=")</f>
        <v>#REF!</v>
      </c>
      <c r="BO97" t="e">
        <f>IF(#REF!,"AAAAAFxSvUI=",0)</f>
        <v>#REF!</v>
      </c>
      <c r="BP97" t="e">
        <f>AND(#REF!,"AAAAAFxSvUM=")</f>
        <v>#REF!</v>
      </c>
      <c r="BQ97" t="e">
        <f>AND(#REF!,"AAAAAFxSvUQ=")</f>
        <v>#REF!</v>
      </c>
      <c r="BR97" t="e">
        <f>AND(#REF!,"AAAAAFxSvUU=")</f>
        <v>#REF!</v>
      </c>
      <c r="BS97" t="e">
        <f>AND(#REF!,"AAAAAFxSvUY=")</f>
        <v>#REF!</v>
      </c>
      <c r="BT97" t="e">
        <f>AND(#REF!,"AAAAAFxSvUc=")</f>
        <v>#REF!</v>
      </c>
      <c r="BU97" t="e">
        <f>AND(#REF!,"AAAAAFxSvUg=")</f>
        <v>#REF!</v>
      </c>
      <c r="BV97" t="e">
        <f>AND(#REF!,"AAAAAFxSvUk=")</f>
        <v>#REF!</v>
      </c>
      <c r="BW97" t="e">
        <f>AND(#REF!,"AAAAAFxSvUo=")</f>
        <v>#REF!</v>
      </c>
      <c r="BX97" t="e">
        <f>IF(#REF!,"AAAAAFxSvUs=",0)</f>
        <v>#REF!</v>
      </c>
      <c r="BY97" t="e">
        <f>AND(#REF!,"AAAAAFxSvUw=")</f>
        <v>#REF!</v>
      </c>
      <c r="BZ97" t="e">
        <f>AND(#REF!,"AAAAAFxSvU0=")</f>
        <v>#REF!</v>
      </c>
      <c r="CA97" t="e">
        <f>AND(#REF!,"AAAAAFxSvU4=")</f>
        <v>#REF!</v>
      </c>
      <c r="CB97" t="e">
        <f>AND(#REF!,"AAAAAFxSvU8=")</f>
        <v>#REF!</v>
      </c>
      <c r="CC97" t="e">
        <f>AND(#REF!,"AAAAAFxSvVA=")</f>
        <v>#REF!</v>
      </c>
      <c r="CD97" t="e">
        <f>AND(#REF!,"AAAAAFxSvVE=")</f>
        <v>#REF!</v>
      </c>
      <c r="CE97" t="e">
        <f>AND(#REF!,"AAAAAFxSvVI=")</f>
        <v>#REF!</v>
      </c>
      <c r="CF97" t="e">
        <f>AND(#REF!,"AAAAAFxSvVM=")</f>
        <v>#REF!</v>
      </c>
      <c r="CG97" t="e">
        <f>IF(#REF!,"AAAAAFxSvVQ=",0)</f>
        <v>#REF!</v>
      </c>
      <c r="CH97" t="e">
        <f>AND(#REF!,"AAAAAFxSvVU=")</f>
        <v>#REF!</v>
      </c>
      <c r="CI97" t="e">
        <f>AND(#REF!,"AAAAAFxSvVY=")</f>
        <v>#REF!</v>
      </c>
      <c r="CJ97" t="e">
        <f>AND(#REF!,"AAAAAFxSvVc=")</f>
        <v>#REF!</v>
      </c>
      <c r="CK97" t="e">
        <f>AND(#REF!,"AAAAAFxSvVg=")</f>
        <v>#REF!</v>
      </c>
      <c r="CL97" t="e">
        <f>AND(#REF!,"AAAAAFxSvVk=")</f>
        <v>#REF!</v>
      </c>
      <c r="CM97" t="e">
        <f>AND(#REF!,"AAAAAFxSvVo=")</f>
        <v>#REF!</v>
      </c>
      <c r="CN97" t="e">
        <f>AND(#REF!,"AAAAAFxSvVs=")</f>
        <v>#REF!</v>
      </c>
      <c r="CO97" t="e">
        <f>AND(#REF!,"AAAAAFxSvVw=")</f>
        <v>#REF!</v>
      </c>
      <c r="CP97" t="e">
        <f>IF(#REF!,"AAAAAFxSvV0=",0)</f>
        <v>#REF!</v>
      </c>
      <c r="CQ97" t="e">
        <f>AND(#REF!,"AAAAAFxSvV4=")</f>
        <v>#REF!</v>
      </c>
      <c r="CR97" t="e">
        <f>AND(#REF!,"AAAAAFxSvV8=")</f>
        <v>#REF!</v>
      </c>
      <c r="CS97" t="e">
        <f>AND(#REF!,"AAAAAFxSvWA=")</f>
        <v>#REF!</v>
      </c>
      <c r="CT97" t="e">
        <f>AND(#REF!,"AAAAAFxSvWE=")</f>
        <v>#REF!</v>
      </c>
      <c r="CU97" t="e">
        <f>AND(#REF!,"AAAAAFxSvWI=")</f>
        <v>#REF!</v>
      </c>
      <c r="CV97" t="e">
        <f>AND(#REF!,"AAAAAFxSvWM=")</f>
        <v>#REF!</v>
      </c>
      <c r="CW97" t="e">
        <f>AND(#REF!,"AAAAAFxSvWQ=")</f>
        <v>#REF!</v>
      </c>
      <c r="CX97" t="e">
        <f>AND(#REF!,"AAAAAFxSvWU=")</f>
        <v>#REF!</v>
      </c>
      <c r="CY97" t="e">
        <f>IF(#REF!,"AAAAAFxSvWY=",0)</f>
        <v>#REF!</v>
      </c>
      <c r="CZ97" t="e">
        <f>AND(#REF!,"AAAAAFxSvWc=")</f>
        <v>#REF!</v>
      </c>
      <c r="DA97" t="e">
        <f>AND(#REF!,"AAAAAFxSvWg=")</f>
        <v>#REF!</v>
      </c>
      <c r="DB97" t="e">
        <f>AND(#REF!,"AAAAAFxSvWk=")</f>
        <v>#REF!</v>
      </c>
      <c r="DC97" t="e">
        <f>AND(#REF!,"AAAAAFxSvWo=")</f>
        <v>#REF!</v>
      </c>
      <c r="DD97" t="e">
        <f>AND(#REF!,"AAAAAFxSvWs=")</f>
        <v>#REF!</v>
      </c>
      <c r="DE97" t="e">
        <f>AND(#REF!,"AAAAAFxSvWw=")</f>
        <v>#REF!</v>
      </c>
      <c r="DF97" t="e">
        <f>AND(#REF!,"AAAAAFxSvW0=")</f>
        <v>#REF!</v>
      </c>
      <c r="DG97" t="e">
        <f>AND(#REF!,"AAAAAFxSvW4=")</f>
        <v>#REF!</v>
      </c>
      <c r="DH97" t="e">
        <f>IF(#REF!,"AAAAAFxSvW8=",0)</f>
        <v>#REF!</v>
      </c>
      <c r="DI97" t="e">
        <f>AND(#REF!,"AAAAAFxSvXA=")</f>
        <v>#REF!</v>
      </c>
      <c r="DJ97" t="e">
        <f>AND(#REF!,"AAAAAFxSvXE=")</f>
        <v>#REF!</v>
      </c>
      <c r="DK97" t="e">
        <f>AND(#REF!,"AAAAAFxSvXI=")</f>
        <v>#REF!</v>
      </c>
      <c r="DL97" t="e">
        <f>AND(#REF!,"AAAAAFxSvXM=")</f>
        <v>#REF!</v>
      </c>
      <c r="DM97" t="e">
        <f>AND(#REF!,"AAAAAFxSvXQ=")</f>
        <v>#REF!</v>
      </c>
      <c r="DN97" t="e">
        <f>AND(#REF!,"AAAAAFxSvXU=")</f>
        <v>#REF!</v>
      </c>
      <c r="DO97" t="e">
        <f>AND(#REF!,"AAAAAFxSvXY=")</f>
        <v>#REF!</v>
      </c>
      <c r="DP97" t="e">
        <f>AND(#REF!,"AAAAAFxSvXc=")</f>
        <v>#REF!</v>
      </c>
      <c r="DQ97" t="e">
        <f>IF(#REF!,"AAAAAFxSvXg=",0)</f>
        <v>#REF!</v>
      </c>
      <c r="DR97" t="e">
        <f>AND(#REF!,"AAAAAFxSvXk=")</f>
        <v>#REF!</v>
      </c>
      <c r="DS97" t="e">
        <f>AND(#REF!,"AAAAAFxSvXo=")</f>
        <v>#REF!</v>
      </c>
      <c r="DT97" t="e">
        <f>AND(#REF!,"AAAAAFxSvXs=")</f>
        <v>#REF!</v>
      </c>
      <c r="DU97" t="e">
        <f>AND(#REF!,"AAAAAFxSvXw=")</f>
        <v>#REF!</v>
      </c>
      <c r="DV97" t="e">
        <f>AND(#REF!,"AAAAAFxSvX0=")</f>
        <v>#REF!</v>
      </c>
      <c r="DW97" t="e">
        <f>AND(#REF!,"AAAAAFxSvX4=")</f>
        <v>#REF!</v>
      </c>
      <c r="DX97" t="e">
        <f>AND(#REF!,"AAAAAFxSvX8=")</f>
        <v>#REF!</v>
      </c>
      <c r="DY97" t="e">
        <f>AND(#REF!,"AAAAAFxSvYA=")</f>
        <v>#REF!</v>
      </c>
      <c r="DZ97" t="e">
        <f>IF(#REF!,"AAAAAFxSvYE=",0)</f>
        <v>#REF!</v>
      </c>
      <c r="EA97" t="e">
        <f>AND(#REF!,"AAAAAFxSvYI=")</f>
        <v>#REF!</v>
      </c>
      <c r="EB97" t="e">
        <f>AND(#REF!,"AAAAAFxSvYM=")</f>
        <v>#REF!</v>
      </c>
      <c r="EC97" t="e">
        <f>AND(#REF!,"AAAAAFxSvYQ=")</f>
        <v>#REF!</v>
      </c>
      <c r="ED97" t="e">
        <f>AND(#REF!,"AAAAAFxSvYU=")</f>
        <v>#REF!</v>
      </c>
      <c r="EE97" t="e">
        <f>AND(#REF!,"AAAAAFxSvYY=")</f>
        <v>#REF!</v>
      </c>
      <c r="EF97" t="e">
        <f>AND(#REF!,"AAAAAFxSvYc=")</f>
        <v>#REF!</v>
      </c>
      <c r="EG97" t="e">
        <f>AND(#REF!,"AAAAAFxSvYg=")</f>
        <v>#REF!</v>
      </c>
      <c r="EH97" t="e">
        <f>AND(#REF!,"AAAAAFxSvYk=")</f>
        <v>#REF!</v>
      </c>
      <c r="EI97" t="e">
        <f>IF(#REF!,"AAAAAFxSvYo=",0)</f>
        <v>#REF!</v>
      </c>
      <c r="EJ97" t="e">
        <f>AND(#REF!,"AAAAAFxSvYs=")</f>
        <v>#REF!</v>
      </c>
      <c r="EK97" t="e">
        <f>AND(#REF!,"AAAAAFxSvYw=")</f>
        <v>#REF!</v>
      </c>
      <c r="EL97" t="e">
        <f>AND(#REF!,"AAAAAFxSvY0=")</f>
        <v>#REF!</v>
      </c>
      <c r="EM97" t="e">
        <f>AND(#REF!,"AAAAAFxSvY4=")</f>
        <v>#REF!</v>
      </c>
      <c r="EN97" t="e">
        <f>AND(#REF!,"AAAAAFxSvY8=")</f>
        <v>#REF!</v>
      </c>
      <c r="EO97" t="e">
        <f>AND(#REF!,"AAAAAFxSvZA=")</f>
        <v>#REF!</v>
      </c>
      <c r="EP97" t="e">
        <f>AND(#REF!,"AAAAAFxSvZE=")</f>
        <v>#REF!</v>
      </c>
      <c r="EQ97" t="e">
        <f>AND(#REF!,"AAAAAFxSvZI=")</f>
        <v>#REF!</v>
      </c>
      <c r="ER97" t="e">
        <f>IF(#REF!,"AAAAAFxSvZM=",0)</f>
        <v>#REF!</v>
      </c>
      <c r="ES97" t="e">
        <f>AND(#REF!,"AAAAAFxSvZQ=")</f>
        <v>#REF!</v>
      </c>
      <c r="ET97" t="e">
        <f>AND(#REF!,"AAAAAFxSvZU=")</f>
        <v>#REF!</v>
      </c>
      <c r="EU97" t="e">
        <f>AND(#REF!,"AAAAAFxSvZY=")</f>
        <v>#REF!</v>
      </c>
      <c r="EV97" t="e">
        <f>AND(#REF!,"AAAAAFxSvZc=")</f>
        <v>#REF!</v>
      </c>
      <c r="EW97" t="e">
        <f>AND(#REF!,"AAAAAFxSvZg=")</f>
        <v>#REF!</v>
      </c>
      <c r="EX97" t="e">
        <f>AND(#REF!,"AAAAAFxSvZk=")</f>
        <v>#REF!</v>
      </c>
      <c r="EY97" t="e">
        <f>AND(#REF!,"AAAAAFxSvZo=")</f>
        <v>#REF!</v>
      </c>
      <c r="EZ97" t="e">
        <f>AND(#REF!,"AAAAAFxSvZs=")</f>
        <v>#REF!</v>
      </c>
      <c r="FA97" t="e">
        <f>IF(#REF!,"AAAAAFxSvZw=",0)</f>
        <v>#REF!</v>
      </c>
      <c r="FB97" t="e">
        <f>AND(#REF!,"AAAAAFxSvZ0=")</f>
        <v>#REF!</v>
      </c>
      <c r="FC97" t="e">
        <f>AND(#REF!,"AAAAAFxSvZ4=")</f>
        <v>#REF!</v>
      </c>
      <c r="FD97" t="e">
        <f>AND(#REF!,"AAAAAFxSvZ8=")</f>
        <v>#REF!</v>
      </c>
      <c r="FE97" t="e">
        <f>AND(#REF!,"AAAAAFxSvaA=")</f>
        <v>#REF!</v>
      </c>
      <c r="FF97" t="e">
        <f>AND(#REF!,"AAAAAFxSvaE=")</f>
        <v>#REF!</v>
      </c>
      <c r="FG97" t="e">
        <f>AND(#REF!,"AAAAAFxSvaI=")</f>
        <v>#REF!</v>
      </c>
      <c r="FH97" t="e">
        <f>AND(#REF!,"AAAAAFxSvaM=")</f>
        <v>#REF!</v>
      </c>
      <c r="FI97" t="e">
        <f>AND(#REF!,"AAAAAFxSvaQ=")</f>
        <v>#REF!</v>
      </c>
      <c r="FJ97" t="e">
        <f>IF(#REF!,"AAAAAFxSvaU=",0)</f>
        <v>#REF!</v>
      </c>
      <c r="FK97" t="e">
        <f>AND(#REF!,"AAAAAFxSvaY=")</f>
        <v>#REF!</v>
      </c>
      <c r="FL97" t="e">
        <f>AND(#REF!,"AAAAAFxSvac=")</f>
        <v>#REF!</v>
      </c>
      <c r="FM97" t="e">
        <f>AND(#REF!,"AAAAAFxSvag=")</f>
        <v>#REF!</v>
      </c>
      <c r="FN97" t="e">
        <f>AND(#REF!,"AAAAAFxSvak=")</f>
        <v>#REF!</v>
      </c>
      <c r="FO97" t="e">
        <f>AND(#REF!,"AAAAAFxSvao=")</f>
        <v>#REF!</v>
      </c>
      <c r="FP97" t="e">
        <f>AND(#REF!,"AAAAAFxSvas=")</f>
        <v>#REF!</v>
      </c>
      <c r="FQ97" t="e">
        <f>AND(#REF!,"AAAAAFxSvaw=")</f>
        <v>#REF!</v>
      </c>
      <c r="FR97" t="e">
        <f>AND(#REF!,"AAAAAFxSva0=")</f>
        <v>#REF!</v>
      </c>
      <c r="FS97" t="e">
        <f>IF(#REF!,"AAAAAFxSva4=",0)</f>
        <v>#REF!</v>
      </c>
      <c r="FT97" t="e">
        <f>AND(#REF!,"AAAAAFxSva8=")</f>
        <v>#REF!</v>
      </c>
      <c r="FU97" t="e">
        <f>AND(#REF!,"AAAAAFxSvbA=")</f>
        <v>#REF!</v>
      </c>
      <c r="FV97" t="e">
        <f>AND(#REF!,"AAAAAFxSvbE=")</f>
        <v>#REF!</v>
      </c>
      <c r="FW97" t="e">
        <f>AND(#REF!,"AAAAAFxSvbI=")</f>
        <v>#REF!</v>
      </c>
      <c r="FX97" t="e">
        <f>AND(#REF!,"AAAAAFxSvbM=")</f>
        <v>#REF!</v>
      </c>
      <c r="FY97" t="e">
        <f>AND(#REF!,"AAAAAFxSvbQ=")</f>
        <v>#REF!</v>
      </c>
      <c r="FZ97" t="e">
        <f>AND(#REF!,"AAAAAFxSvbU=")</f>
        <v>#REF!</v>
      </c>
      <c r="GA97" t="e">
        <f>AND(#REF!,"AAAAAFxSvbY=")</f>
        <v>#REF!</v>
      </c>
      <c r="GB97" t="e">
        <f>IF(#REF!,"AAAAAFxSvbc=",0)</f>
        <v>#REF!</v>
      </c>
      <c r="GC97" t="e">
        <f>AND(#REF!,"AAAAAFxSvbg=")</f>
        <v>#REF!</v>
      </c>
      <c r="GD97" t="e">
        <f>AND(#REF!,"AAAAAFxSvbk=")</f>
        <v>#REF!</v>
      </c>
      <c r="GE97" t="e">
        <f>AND(#REF!,"AAAAAFxSvbo=")</f>
        <v>#REF!</v>
      </c>
      <c r="GF97" t="e">
        <f>AND(#REF!,"AAAAAFxSvbs=")</f>
        <v>#REF!</v>
      </c>
      <c r="GG97" t="e">
        <f>AND(#REF!,"AAAAAFxSvbw=")</f>
        <v>#REF!</v>
      </c>
      <c r="GH97" t="e">
        <f>AND(#REF!,"AAAAAFxSvb0=")</f>
        <v>#REF!</v>
      </c>
      <c r="GI97" t="e">
        <f>AND(#REF!,"AAAAAFxSvb4=")</f>
        <v>#REF!</v>
      </c>
      <c r="GJ97" t="e">
        <f>AND(#REF!,"AAAAAFxSvb8=")</f>
        <v>#REF!</v>
      </c>
      <c r="GK97" t="e">
        <f>IF(#REF!,"AAAAAFxSvcA=",0)</f>
        <v>#REF!</v>
      </c>
      <c r="GL97" t="e">
        <f>AND(#REF!,"AAAAAFxSvcE=")</f>
        <v>#REF!</v>
      </c>
      <c r="GM97" t="e">
        <f>AND(#REF!,"AAAAAFxSvcI=")</f>
        <v>#REF!</v>
      </c>
      <c r="GN97" t="e">
        <f>AND(#REF!,"AAAAAFxSvcM=")</f>
        <v>#REF!</v>
      </c>
      <c r="GO97" t="e">
        <f>AND(#REF!,"AAAAAFxSvcQ=")</f>
        <v>#REF!</v>
      </c>
      <c r="GP97" t="e">
        <f>AND(#REF!,"AAAAAFxSvcU=")</f>
        <v>#REF!</v>
      </c>
      <c r="GQ97" t="e">
        <f>AND(#REF!,"AAAAAFxSvcY=")</f>
        <v>#REF!</v>
      </c>
      <c r="GR97" t="e">
        <f>AND(#REF!,"AAAAAFxSvcc=")</f>
        <v>#REF!</v>
      </c>
      <c r="GS97" t="e">
        <f>AND(#REF!,"AAAAAFxSvcg=")</f>
        <v>#REF!</v>
      </c>
      <c r="GT97" t="e">
        <f>IF(#REF!,"AAAAAFxSvck=",0)</f>
        <v>#REF!</v>
      </c>
      <c r="GU97" t="e">
        <f>AND(#REF!,"AAAAAFxSvco=")</f>
        <v>#REF!</v>
      </c>
      <c r="GV97" t="e">
        <f>AND(#REF!,"AAAAAFxSvcs=")</f>
        <v>#REF!</v>
      </c>
      <c r="GW97" t="e">
        <f>AND(#REF!,"AAAAAFxSvcw=")</f>
        <v>#REF!</v>
      </c>
      <c r="GX97" t="e">
        <f>AND(#REF!,"AAAAAFxSvc0=")</f>
        <v>#REF!</v>
      </c>
      <c r="GY97" t="e">
        <f>AND(#REF!,"AAAAAFxSvc4=")</f>
        <v>#REF!</v>
      </c>
      <c r="GZ97" t="e">
        <f>AND(#REF!,"AAAAAFxSvc8=")</f>
        <v>#REF!</v>
      </c>
      <c r="HA97" t="e">
        <f>AND(#REF!,"AAAAAFxSvdA=")</f>
        <v>#REF!</v>
      </c>
      <c r="HB97" t="e">
        <f>AND(#REF!,"AAAAAFxSvdE=")</f>
        <v>#REF!</v>
      </c>
      <c r="HC97" t="e">
        <f>IF(#REF!,"AAAAAFxSvdI=",0)</f>
        <v>#REF!</v>
      </c>
      <c r="HD97" t="e">
        <f>AND(#REF!,"AAAAAFxSvdM=")</f>
        <v>#REF!</v>
      </c>
      <c r="HE97" t="e">
        <f>AND(#REF!,"AAAAAFxSvdQ=")</f>
        <v>#REF!</v>
      </c>
      <c r="HF97" t="e">
        <f>AND(#REF!,"AAAAAFxSvdU=")</f>
        <v>#REF!</v>
      </c>
      <c r="HG97" t="e">
        <f>AND(#REF!,"AAAAAFxSvdY=")</f>
        <v>#REF!</v>
      </c>
      <c r="HH97" t="e">
        <f>AND(#REF!,"AAAAAFxSvdc=")</f>
        <v>#REF!</v>
      </c>
      <c r="HI97" t="e">
        <f>AND(#REF!,"AAAAAFxSvdg=")</f>
        <v>#REF!</v>
      </c>
      <c r="HJ97" t="e">
        <f>AND(#REF!,"AAAAAFxSvdk=")</f>
        <v>#REF!</v>
      </c>
      <c r="HK97" t="e">
        <f>AND(#REF!,"AAAAAFxSvdo=")</f>
        <v>#REF!</v>
      </c>
      <c r="HL97" t="e">
        <f>IF(#REF!,"AAAAAFxSvds=",0)</f>
        <v>#REF!</v>
      </c>
      <c r="HM97" t="e">
        <f>AND(#REF!,"AAAAAFxSvdw=")</f>
        <v>#REF!</v>
      </c>
      <c r="HN97" t="e">
        <f>AND(#REF!,"AAAAAFxSvd0=")</f>
        <v>#REF!</v>
      </c>
      <c r="HO97" t="e">
        <f>AND(#REF!,"AAAAAFxSvd4=")</f>
        <v>#REF!</v>
      </c>
      <c r="HP97" t="e">
        <f>AND(#REF!,"AAAAAFxSvd8=")</f>
        <v>#REF!</v>
      </c>
      <c r="HQ97" t="e">
        <f>AND(#REF!,"AAAAAFxSveA=")</f>
        <v>#REF!</v>
      </c>
      <c r="HR97" t="e">
        <f>AND(#REF!,"AAAAAFxSveE=")</f>
        <v>#REF!</v>
      </c>
      <c r="HS97" t="e">
        <f>AND(#REF!,"AAAAAFxSveI=")</f>
        <v>#REF!</v>
      </c>
      <c r="HT97" t="e">
        <f>AND(#REF!,"AAAAAFxSveM=")</f>
        <v>#REF!</v>
      </c>
      <c r="HU97" t="e">
        <f>IF(#REF!,"AAAAAFxSveQ=",0)</f>
        <v>#REF!</v>
      </c>
      <c r="HV97" t="e">
        <f>AND(#REF!,"AAAAAFxSveU=")</f>
        <v>#REF!</v>
      </c>
      <c r="HW97" t="e">
        <f>AND(#REF!,"AAAAAFxSveY=")</f>
        <v>#REF!</v>
      </c>
      <c r="HX97" t="e">
        <f>AND(#REF!,"AAAAAFxSvec=")</f>
        <v>#REF!</v>
      </c>
      <c r="HY97" t="e">
        <f>AND(#REF!,"AAAAAFxSveg=")</f>
        <v>#REF!</v>
      </c>
      <c r="HZ97" t="e">
        <f>AND(#REF!,"AAAAAFxSvek=")</f>
        <v>#REF!</v>
      </c>
      <c r="IA97" t="e">
        <f>AND(#REF!,"AAAAAFxSveo=")</f>
        <v>#REF!</v>
      </c>
      <c r="IB97" t="e">
        <f>AND(#REF!,"AAAAAFxSves=")</f>
        <v>#REF!</v>
      </c>
      <c r="IC97" t="e">
        <f>AND(#REF!,"AAAAAFxSvew=")</f>
        <v>#REF!</v>
      </c>
      <c r="ID97" t="e">
        <f>IF(#REF!,"AAAAAFxSve0=",0)</f>
        <v>#REF!</v>
      </c>
      <c r="IE97" t="e">
        <f>AND(#REF!,"AAAAAFxSve4=")</f>
        <v>#REF!</v>
      </c>
      <c r="IF97" t="e">
        <f>AND(#REF!,"AAAAAFxSve8=")</f>
        <v>#REF!</v>
      </c>
      <c r="IG97" t="e">
        <f>AND(#REF!,"AAAAAFxSvfA=")</f>
        <v>#REF!</v>
      </c>
      <c r="IH97" t="e">
        <f>AND(#REF!,"AAAAAFxSvfE=")</f>
        <v>#REF!</v>
      </c>
      <c r="II97" t="e">
        <f>AND(#REF!,"AAAAAFxSvfI=")</f>
        <v>#REF!</v>
      </c>
      <c r="IJ97" t="e">
        <f>AND(#REF!,"AAAAAFxSvfM=")</f>
        <v>#REF!</v>
      </c>
      <c r="IK97" t="e">
        <f>AND(#REF!,"AAAAAFxSvfQ=")</f>
        <v>#REF!</v>
      </c>
      <c r="IL97" t="e">
        <f>AND(#REF!,"AAAAAFxSvfU=")</f>
        <v>#REF!</v>
      </c>
      <c r="IM97" t="e">
        <f>IF(#REF!,"AAAAAFxSvfY=",0)</f>
        <v>#REF!</v>
      </c>
      <c r="IN97" t="e">
        <f>AND(#REF!,"AAAAAFxSvfc=")</f>
        <v>#REF!</v>
      </c>
      <c r="IO97" t="e">
        <f>AND(#REF!,"AAAAAFxSvfg=")</f>
        <v>#REF!</v>
      </c>
      <c r="IP97" t="e">
        <f>AND(#REF!,"AAAAAFxSvfk=")</f>
        <v>#REF!</v>
      </c>
      <c r="IQ97" t="e">
        <f>AND(#REF!,"AAAAAFxSvfo=")</f>
        <v>#REF!</v>
      </c>
      <c r="IR97" t="e">
        <f>AND(#REF!,"AAAAAFxSvfs=")</f>
        <v>#REF!</v>
      </c>
      <c r="IS97" t="e">
        <f>AND(#REF!,"AAAAAFxSvfw=")</f>
        <v>#REF!</v>
      </c>
      <c r="IT97" t="e">
        <f>AND(#REF!,"AAAAAFxSvf0=")</f>
        <v>#REF!</v>
      </c>
      <c r="IU97" t="e">
        <f>AND(#REF!,"AAAAAFxSvf4=")</f>
        <v>#REF!</v>
      </c>
      <c r="IV97" t="e">
        <f>IF(#REF!,"AAAAAFxSvf8=",0)</f>
        <v>#REF!</v>
      </c>
    </row>
    <row r="98" spans="1:256" x14ac:dyDescent="0.25">
      <c r="A98" t="e">
        <f>AND(#REF!,"AAAAAH/vDgA=")</f>
        <v>#REF!</v>
      </c>
      <c r="B98" t="e">
        <f>AND(#REF!,"AAAAAH/vDgE=")</f>
        <v>#REF!</v>
      </c>
      <c r="C98" t="e">
        <f>AND(#REF!,"AAAAAH/vDgI=")</f>
        <v>#REF!</v>
      </c>
      <c r="D98" t="e">
        <f>AND(#REF!,"AAAAAH/vDgM=")</f>
        <v>#REF!</v>
      </c>
      <c r="E98" t="e">
        <f>AND(#REF!,"AAAAAH/vDgQ=")</f>
        <v>#REF!</v>
      </c>
      <c r="F98" t="e">
        <f>AND(#REF!,"AAAAAH/vDgU=")</f>
        <v>#REF!</v>
      </c>
      <c r="G98" t="e">
        <f>AND(#REF!,"AAAAAH/vDgY=")</f>
        <v>#REF!</v>
      </c>
      <c r="H98" t="e">
        <f>AND(#REF!,"AAAAAH/vDgc=")</f>
        <v>#REF!</v>
      </c>
      <c r="I98" t="e">
        <f>IF(#REF!,"AAAAAH/vDgg=",0)</f>
        <v>#REF!</v>
      </c>
      <c r="J98" t="e">
        <f>AND(#REF!,"AAAAAH/vDgk=")</f>
        <v>#REF!</v>
      </c>
      <c r="K98" t="e">
        <f>AND(#REF!,"AAAAAH/vDgo=")</f>
        <v>#REF!</v>
      </c>
      <c r="L98" t="e">
        <f>AND(#REF!,"AAAAAH/vDgs=")</f>
        <v>#REF!</v>
      </c>
      <c r="M98" t="e">
        <f>AND(#REF!,"AAAAAH/vDgw=")</f>
        <v>#REF!</v>
      </c>
      <c r="N98" t="e">
        <f>AND(#REF!,"AAAAAH/vDg0=")</f>
        <v>#REF!</v>
      </c>
      <c r="O98" t="e">
        <f>AND(#REF!,"AAAAAH/vDg4=")</f>
        <v>#REF!</v>
      </c>
      <c r="P98" t="e">
        <f>AND(#REF!,"AAAAAH/vDg8=")</f>
        <v>#REF!</v>
      </c>
      <c r="Q98" t="e">
        <f>AND(#REF!,"AAAAAH/vDhA=")</f>
        <v>#REF!</v>
      </c>
      <c r="R98" t="e">
        <f>IF(#REF!,"AAAAAH/vDhE=",0)</f>
        <v>#REF!</v>
      </c>
      <c r="S98" t="e">
        <f>AND(#REF!,"AAAAAH/vDhI=")</f>
        <v>#REF!</v>
      </c>
      <c r="T98" t="e">
        <f>AND(#REF!,"AAAAAH/vDhM=")</f>
        <v>#REF!</v>
      </c>
      <c r="U98" t="e">
        <f>AND(#REF!,"AAAAAH/vDhQ=")</f>
        <v>#REF!</v>
      </c>
      <c r="V98" t="e">
        <f>AND(#REF!,"AAAAAH/vDhU=")</f>
        <v>#REF!</v>
      </c>
      <c r="W98" t="e">
        <f>AND(#REF!,"AAAAAH/vDhY=")</f>
        <v>#REF!</v>
      </c>
      <c r="X98" t="e">
        <f>AND(#REF!,"AAAAAH/vDhc=")</f>
        <v>#REF!</v>
      </c>
      <c r="Y98" t="e">
        <f>AND(#REF!,"AAAAAH/vDhg=")</f>
        <v>#REF!</v>
      </c>
      <c r="Z98" t="e">
        <f>AND(#REF!,"AAAAAH/vDhk=")</f>
        <v>#REF!</v>
      </c>
      <c r="AA98" t="e">
        <f>IF(#REF!,"AAAAAH/vDho=",0)</f>
        <v>#REF!</v>
      </c>
      <c r="AB98" t="e">
        <f>AND(#REF!,"AAAAAH/vDhs=")</f>
        <v>#REF!</v>
      </c>
      <c r="AC98" t="e">
        <f>AND(#REF!,"AAAAAH/vDhw=")</f>
        <v>#REF!</v>
      </c>
      <c r="AD98" t="e">
        <f>AND(#REF!,"AAAAAH/vDh0=")</f>
        <v>#REF!</v>
      </c>
      <c r="AE98" t="e">
        <f>AND(#REF!,"AAAAAH/vDh4=")</f>
        <v>#REF!</v>
      </c>
      <c r="AF98" t="e">
        <f>AND(#REF!,"AAAAAH/vDh8=")</f>
        <v>#REF!</v>
      </c>
      <c r="AG98" t="e">
        <f>AND(#REF!,"AAAAAH/vDiA=")</f>
        <v>#REF!</v>
      </c>
      <c r="AH98" t="e">
        <f>AND(#REF!,"AAAAAH/vDiE=")</f>
        <v>#REF!</v>
      </c>
      <c r="AI98" t="e">
        <f>AND(#REF!,"AAAAAH/vDiI=")</f>
        <v>#REF!</v>
      </c>
      <c r="AJ98" t="e">
        <f>IF(#REF!,"AAAAAH/vDiM=",0)</f>
        <v>#REF!</v>
      </c>
      <c r="AK98" t="e">
        <f>AND(#REF!,"AAAAAH/vDiQ=")</f>
        <v>#REF!</v>
      </c>
      <c r="AL98" t="e">
        <f>AND(#REF!,"AAAAAH/vDiU=")</f>
        <v>#REF!</v>
      </c>
      <c r="AM98" t="e">
        <f>AND(#REF!,"AAAAAH/vDiY=")</f>
        <v>#REF!</v>
      </c>
      <c r="AN98" t="e">
        <f>AND(#REF!,"AAAAAH/vDic=")</f>
        <v>#REF!</v>
      </c>
      <c r="AO98" t="e">
        <f>AND(#REF!,"AAAAAH/vDig=")</f>
        <v>#REF!</v>
      </c>
      <c r="AP98" t="e">
        <f>AND(#REF!,"AAAAAH/vDik=")</f>
        <v>#REF!</v>
      </c>
      <c r="AQ98" t="e">
        <f>AND(#REF!,"AAAAAH/vDio=")</f>
        <v>#REF!</v>
      </c>
      <c r="AR98" t="e">
        <f>AND(#REF!,"AAAAAH/vDis=")</f>
        <v>#REF!</v>
      </c>
      <c r="AS98" t="e">
        <f>IF(#REF!,"AAAAAH/vDiw=",0)</f>
        <v>#REF!</v>
      </c>
      <c r="AT98" t="e">
        <f>AND(#REF!,"AAAAAH/vDi0=")</f>
        <v>#REF!</v>
      </c>
      <c r="AU98" t="e">
        <f>AND(#REF!,"AAAAAH/vDi4=")</f>
        <v>#REF!</v>
      </c>
      <c r="AV98" t="e">
        <f>AND(#REF!,"AAAAAH/vDi8=")</f>
        <v>#REF!</v>
      </c>
      <c r="AW98" t="e">
        <f>AND(#REF!,"AAAAAH/vDjA=")</f>
        <v>#REF!</v>
      </c>
      <c r="AX98" t="e">
        <f>AND(#REF!,"AAAAAH/vDjE=")</f>
        <v>#REF!</v>
      </c>
      <c r="AY98" t="e">
        <f>AND(#REF!,"AAAAAH/vDjI=")</f>
        <v>#REF!</v>
      </c>
      <c r="AZ98" t="e">
        <f>AND(#REF!,"AAAAAH/vDjM=")</f>
        <v>#REF!</v>
      </c>
      <c r="BA98" t="e">
        <f>AND(#REF!,"AAAAAH/vDjQ=")</f>
        <v>#REF!</v>
      </c>
      <c r="BB98" t="e">
        <f>IF(#REF!,"AAAAAH/vDjU=",0)</f>
        <v>#REF!</v>
      </c>
      <c r="BC98" t="e">
        <f>AND(#REF!,"AAAAAH/vDjY=")</f>
        <v>#REF!</v>
      </c>
      <c r="BD98" t="e">
        <f>AND(#REF!,"AAAAAH/vDjc=")</f>
        <v>#REF!</v>
      </c>
      <c r="BE98" t="e">
        <f>AND(#REF!,"AAAAAH/vDjg=")</f>
        <v>#REF!</v>
      </c>
      <c r="BF98" t="e">
        <f>AND(#REF!,"AAAAAH/vDjk=")</f>
        <v>#REF!</v>
      </c>
      <c r="BG98" t="e">
        <f>AND(#REF!,"AAAAAH/vDjo=")</f>
        <v>#REF!</v>
      </c>
      <c r="BH98" t="e">
        <f>AND(#REF!,"AAAAAH/vDjs=")</f>
        <v>#REF!</v>
      </c>
      <c r="BI98" t="e">
        <f>AND(#REF!,"AAAAAH/vDjw=")</f>
        <v>#REF!</v>
      </c>
      <c r="BJ98" t="e">
        <f>AND(#REF!,"AAAAAH/vDj0=")</f>
        <v>#REF!</v>
      </c>
      <c r="BK98" t="e">
        <f>IF(#REF!,"AAAAAH/vDj4=",0)</f>
        <v>#REF!</v>
      </c>
      <c r="BL98" t="e">
        <f>AND(#REF!,"AAAAAH/vDj8=")</f>
        <v>#REF!</v>
      </c>
      <c r="BM98" t="e">
        <f>AND(#REF!,"AAAAAH/vDkA=")</f>
        <v>#REF!</v>
      </c>
      <c r="BN98" t="e">
        <f>AND(#REF!,"AAAAAH/vDkE=")</f>
        <v>#REF!</v>
      </c>
      <c r="BO98" t="e">
        <f>AND(#REF!,"AAAAAH/vDkI=")</f>
        <v>#REF!</v>
      </c>
      <c r="BP98" t="e">
        <f>AND(#REF!,"AAAAAH/vDkM=")</f>
        <v>#REF!</v>
      </c>
      <c r="BQ98" t="e">
        <f>AND(#REF!,"AAAAAH/vDkQ=")</f>
        <v>#REF!</v>
      </c>
      <c r="BR98" t="e">
        <f>AND(#REF!,"AAAAAH/vDkU=")</f>
        <v>#REF!</v>
      </c>
      <c r="BS98" t="e">
        <f>AND(#REF!,"AAAAAH/vDkY=")</f>
        <v>#REF!</v>
      </c>
      <c r="BT98" t="e">
        <f>IF(#REF!,"AAAAAH/vDkc=",0)</f>
        <v>#REF!</v>
      </c>
      <c r="BU98" t="e">
        <f>AND(#REF!,"AAAAAH/vDkg=")</f>
        <v>#REF!</v>
      </c>
      <c r="BV98" t="e">
        <f>AND(#REF!,"AAAAAH/vDkk=")</f>
        <v>#REF!</v>
      </c>
      <c r="BW98" t="e">
        <f>AND(#REF!,"AAAAAH/vDko=")</f>
        <v>#REF!</v>
      </c>
      <c r="BX98" t="e">
        <f>AND(#REF!,"AAAAAH/vDks=")</f>
        <v>#REF!</v>
      </c>
      <c r="BY98" t="e">
        <f>AND(#REF!,"AAAAAH/vDkw=")</f>
        <v>#REF!</v>
      </c>
      <c r="BZ98" t="e">
        <f>AND(#REF!,"AAAAAH/vDk0=")</f>
        <v>#REF!</v>
      </c>
      <c r="CA98" t="e">
        <f>AND(#REF!,"AAAAAH/vDk4=")</f>
        <v>#REF!</v>
      </c>
      <c r="CB98" t="e">
        <f>AND(#REF!,"AAAAAH/vDk8=")</f>
        <v>#REF!</v>
      </c>
      <c r="CC98" t="e">
        <f>IF(#REF!,"AAAAAH/vDlA=",0)</f>
        <v>#REF!</v>
      </c>
      <c r="CD98" t="e">
        <f>AND(#REF!,"AAAAAH/vDlE=")</f>
        <v>#REF!</v>
      </c>
      <c r="CE98" t="e">
        <f>AND(#REF!,"AAAAAH/vDlI=")</f>
        <v>#REF!</v>
      </c>
      <c r="CF98" t="e">
        <f>AND(#REF!,"AAAAAH/vDlM=")</f>
        <v>#REF!</v>
      </c>
      <c r="CG98" t="e">
        <f>AND(#REF!,"AAAAAH/vDlQ=")</f>
        <v>#REF!</v>
      </c>
      <c r="CH98" t="e">
        <f>AND(#REF!,"AAAAAH/vDlU=")</f>
        <v>#REF!</v>
      </c>
      <c r="CI98" t="e">
        <f>AND(#REF!,"AAAAAH/vDlY=")</f>
        <v>#REF!</v>
      </c>
      <c r="CJ98" t="e">
        <f>AND(#REF!,"AAAAAH/vDlc=")</f>
        <v>#REF!</v>
      </c>
      <c r="CK98" t="e">
        <f>AND(#REF!,"AAAAAH/vDlg=")</f>
        <v>#REF!</v>
      </c>
      <c r="CL98" t="e">
        <f>IF(#REF!,"AAAAAH/vDlk=",0)</f>
        <v>#REF!</v>
      </c>
      <c r="CM98" t="e">
        <f>AND(#REF!,"AAAAAH/vDlo=")</f>
        <v>#REF!</v>
      </c>
      <c r="CN98" t="e">
        <f>AND(#REF!,"AAAAAH/vDls=")</f>
        <v>#REF!</v>
      </c>
      <c r="CO98" t="e">
        <f>AND(#REF!,"AAAAAH/vDlw=")</f>
        <v>#REF!</v>
      </c>
      <c r="CP98" t="e">
        <f>AND(#REF!,"AAAAAH/vDl0=")</f>
        <v>#REF!</v>
      </c>
      <c r="CQ98" t="e">
        <f>AND(#REF!,"AAAAAH/vDl4=")</f>
        <v>#REF!</v>
      </c>
      <c r="CR98" t="e">
        <f>AND(#REF!,"AAAAAH/vDl8=")</f>
        <v>#REF!</v>
      </c>
      <c r="CS98" t="e">
        <f>AND(#REF!,"AAAAAH/vDmA=")</f>
        <v>#REF!</v>
      </c>
      <c r="CT98" t="e">
        <f>AND(#REF!,"AAAAAH/vDmE=")</f>
        <v>#REF!</v>
      </c>
      <c r="CU98" t="e">
        <f>IF(#REF!,"AAAAAH/vDmI=",0)</f>
        <v>#REF!</v>
      </c>
      <c r="CV98" t="e">
        <f>AND(#REF!,"AAAAAH/vDmM=")</f>
        <v>#REF!</v>
      </c>
      <c r="CW98" t="e">
        <f>AND(#REF!,"AAAAAH/vDmQ=")</f>
        <v>#REF!</v>
      </c>
      <c r="CX98" t="e">
        <f>AND(#REF!,"AAAAAH/vDmU=")</f>
        <v>#REF!</v>
      </c>
      <c r="CY98" t="e">
        <f>AND(#REF!,"AAAAAH/vDmY=")</f>
        <v>#REF!</v>
      </c>
      <c r="CZ98" t="e">
        <f>AND(#REF!,"AAAAAH/vDmc=")</f>
        <v>#REF!</v>
      </c>
      <c r="DA98" t="e">
        <f>AND(#REF!,"AAAAAH/vDmg=")</f>
        <v>#REF!</v>
      </c>
      <c r="DB98" t="e">
        <f>AND(#REF!,"AAAAAH/vDmk=")</f>
        <v>#REF!</v>
      </c>
      <c r="DC98" t="e">
        <f>AND(#REF!,"AAAAAH/vDmo=")</f>
        <v>#REF!</v>
      </c>
      <c r="DD98" t="e">
        <f>IF(#REF!,"AAAAAH/vDms=",0)</f>
        <v>#REF!</v>
      </c>
      <c r="DE98" t="e">
        <f>AND(#REF!,"AAAAAH/vDmw=")</f>
        <v>#REF!</v>
      </c>
      <c r="DF98" t="e">
        <f>AND(#REF!,"AAAAAH/vDm0=")</f>
        <v>#REF!</v>
      </c>
      <c r="DG98" t="e">
        <f>AND(#REF!,"AAAAAH/vDm4=")</f>
        <v>#REF!</v>
      </c>
      <c r="DH98" t="e">
        <f>AND(#REF!,"AAAAAH/vDm8=")</f>
        <v>#REF!</v>
      </c>
      <c r="DI98" t="e">
        <f>AND(#REF!,"AAAAAH/vDnA=")</f>
        <v>#REF!</v>
      </c>
      <c r="DJ98" t="e">
        <f>AND(#REF!,"AAAAAH/vDnE=")</f>
        <v>#REF!</v>
      </c>
      <c r="DK98" t="e">
        <f>AND(#REF!,"AAAAAH/vDnI=")</f>
        <v>#REF!</v>
      </c>
      <c r="DL98" t="e">
        <f>AND(#REF!,"AAAAAH/vDnM=")</f>
        <v>#REF!</v>
      </c>
      <c r="DM98" t="e">
        <f>IF(#REF!,"AAAAAH/vDnQ=",0)</f>
        <v>#REF!</v>
      </c>
      <c r="DN98" t="e">
        <f>AND(#REF!,"AAAAAH/vDnU=")</f>
        <v>#REF!</v>
      </c>
      <c r="DO98" t="e">
        <f>AND(#REF!,"AAAAAH/vDnY=")</f>
        <v>#REF!</v>
      </c>
      <c r="DP98" t="e">
        <f>AND(#REF!,"AAAAAH/vDnc=")</f>
        <v>#REF!</v>
      </c>
      <c r="DQ98" t="e">
        <f>AND(#REF!,"AAAAAH/vDng=")</f>
        <v>#REF!</v>
      </c>
      <c r="DR98" t="e">
        <f>AND(#REF!,"AAAAAH/vDnk=")</f>
        <v>#REF!</v>
      </c>
      <c r="DS98" t="e">
        <f>AND(#REF!,"AAAAAH/vDno=")</f>
        <v>#REF!</v>
      </c>
      <c r="DT98" t="e">
        <f>AND(#REF!,"AAAAAH/vDns=")</f>
        <v>#REF!</v>
      </c>
      <c r="DU98" t="e">
        <f>AND(#REF!,"AAAAAH/vDnw=")</f>
        <v>#REF!</v>
      </c>
      <c r="DV98" t="e">
        <f>IF(#REF!,"AAAAAH/vDn0=",0)</f>
        <v>#REF!</v>
      </c>
      <c r="DW98" t="e">
        <f>AND(#REF!,"AAAAAH/vDn4=")</f>
        <v>#REF!</v>
      </c>
      <c r="DX98" t="e">
        <f>AND(#REF!,"AAAAAH/vDn8=")</f>
        <v>#REF!</v>
      </c>
      <c r="DY98" t="e">
        <f>AND(#REF!,"AAAAAH/vDoA=")</f>
        <v>#REF!</v>
      </c>
      <c r="DZ98" t="e">
        <f>AND(#REF!,"AAAAAH/vDoE=")</f>
        <v>#REF!</v>
      </c>
      <c r="EA98" t="e">
        <f>AND(#REF!,"AAAAAH/vDoI=")</f>
        <v>#REF!</v>
      </c>
      <c r="EB98" t="e">
        <f>AND(#REF!,"AAAAAH/vDoM=")</f>
        <v>#REF!</v>
      </c>
      <c r="EC98" t="e">
        <f>AND(#REF!,"AAAAAH/vDoQ=")</f>
        <v>#REF!</v>
      </c>
      <c r="ED98" t="e">
        <f>AND(#REF!,"AAAAAH/vDoU=")</f>
        <v>#REF!</v>
      </c>
      <c r="EE98" t="e">
        <f>IF(#REF!,"AAAAAH/vDoY=",0)</f>
        <v>#REF!</v>
      </c>
      <c r="EF98" t="e">
        <f>AND(#REF!,"AAAAAH/vDoc=")</f>
        <v>#REF!</v>
      </c>
      <c r="EG98" t="e">
        <f>AND(#REF!,"AAAAAH/vDog=")</f>
        <v>#REF!</v>
      </c>
      <c r="EH98" t="e">
        <f>AND(#REF!,"AAAAAH/vDok=")</f>
        <v>#REF!</v>
      </c>
      <c r="EI98" t="e">
        <f>AND(#REF!,"AAAAAH/vDoo=")</f>
        <v>#REF!</v>
      </c>
      <c r="EJ98" t="e">
        <f>AND(#REF!,"AAAAAH/vDos=")</f>
        <v>#REF!</v>
      </c>
      <c r="EK98" t="e">
        <f>AND(#REF!,"AAAAAH/vDow=")</f>
        <v>#REF!</v>
      </c>
      <c r="EL98" t="e">
        <f>AND(#REF!,"AAAAAH/vDo0=")</f>
        <v>#REF!</v>
      </c>
      <c r="EM98" t="e">
        <f>AND(#REF!,"AAAAAH/vDo4=")</f>
        <v>#REF!</v>
      </c>
      <c r="EN98" t="e">
        <f>IF(#REF!,"AAAAAH/vDo8=",0)</f>
        <v>#REF!</v>
      </c>
      <c r="EO98" t="e">
        <f>AND(#REF!,"AAAAAH/vDpA=")</f>
        <v>#REF!</v>
      </c>
      <c r="EP98" t="e">
        <f>AND(#REF!,"AAAAAH/vDpE=")</f>
        <v>#REF!</v>
      </c>
      <c r="EQ98" t="e">
        <f>AND(#REF!,"AAAAAH/vDpI=")</f>
        <v>#REF!</v>
      </c>
      <c r="ER98" t="e">
        <f>AND(#REF!,"AAAAAH/vDpM=")</f>
        <v>#REF!</v>
      </c>
      <c r="ES98" t="e">
        <f>AND(#REF!,"AAAAAH/vDpQ=")</f>
        <v>#REF!</v>
      </c>
      <c r="ET98" t="e">
        <f>AND(#REF!,"AAAAAH/vDpU=")</f>
        <v>#REF!</v>
      </c>
      <c r="EU98" t="e">
        <f>AND(#REF!,"AAAAAH/vDpY=")</f>
        <v>#REF!</v>
      </c>
      <c r="EV98" t="e">
        <f>AND(#REF!,"AAAAAH/vDpc=")</f>
        <v>#REF!</v>
      </c>
      <c r="EW98" t="e">
        <f>IF(#REF!,"AAAAAH/vDpg=",0)</f>
        <v>#REF!</v>
      </c>
      <c r="EX98" t="e">
        <f>AND(#REF!,"AAAAAH/vDpk=")</f>
        <v>#REF!</v>
      </c>
      <c r="EY98" t="e">
        <f>AND(#REF!,"AAAAAH/vDpo=")</f>
        <v>#REF!</v>
      </c>
      <c r="EZ98" t="e">
        <f>AND(#REF!,"AAAAAH/vDps=")</f>
        <v>#REF!</v>
      </c>
      <c r="FA98" t="e">
        <f>AND(#REF!,"AAAAAH/vDpw=")</f>
        <v>#REF!</v>
      </c>
      <c r="FB98" t="e">
        <f>AND(#REF!,"AAAAAH/vDp0=")</f>
        <v>#REF!</v>
      </c>
      <c r="FC98" t="e">
        <f>AND(#REF!,"AAAAAH/vDp4=")</f>
        <v>#REF!</v>
      </c>
      <c r="FD98" t="e">
        <f>AND(#REF!,"AAAAAH/vDp8=")</f>
        <v>#REF!</v>
      </c>
      <c r="FE98" t="e">
        <f>AND(#REF!,"AAAAAH/vDqA=")</f>
        <v>#REF!</v>
      </c>
      <c r="FF98" t="e">
        <f>IF(#REF!,"AAAAAH/vDqE=",0)</f>
        <v>#REF!</v>
      </c>
      <c r="FG98" t="e">
        <f>AND(#REF!,"AAAAAH/vDqI=")</f>
        <v>#REF!</v>
      </c>
      <c r="FH98" t="e">
        <f>AND(#REF!,"AAAAAH/vDqM=")</f>
        <v>#REF!</v>
      </c>
      <c r="FI98" t="e">
        <f>AND(#REF!,"AAAAAH/vDqQ=")</f>
        <v>#REF!</v>
      </c>
      <c r="FJ98" t="e">
        <f>AND(#REF!,"AAAAAH/vDqU=")</f>
        <v>#REF!</v>
      </c>
      <c r="FK98" t="e">
        <f>AND(#REF!,"AAAAAH/vDqY=")</f>
        <v>#REF!</v>
      </c>
      <c r="FL98" t="e">
        <f>AND(#REF!,"AAAAAH/vDqc=")</f>
        <v>#REF!</v>
      </c>
      <c r="FM98" t="e">
        <f>AND(#REF!,"AAAAAH/vDqg=")</f>
        <v>#REF!</v>
      </c>
      <c r="FN98" t="e">
        <f>AND(#REF!,"AAAAAH/vDqk=")</f>
        <v>#REF!</v>
      </c>
      <c r="FO98" t="e">
        <f>IF(#REF!,"AAAAAH/vDqo=",0)</f>
        <v>#REF!</v>
      </c>
      <c r="FP98" t="e">
        <f>AND(#REF!,"AAAAAH/vDqs=")</f>
        <v>#REF!</v>
      </c>
      <c r="FQ98" t="e">
        <f>AND(#REF!,"AAAAAH/vDqw=")</f>
        <v>#REF!</v>
      </c>
      <c r="FR98" t="e">
        <f>AND(#REF!,"AAAAAH/vDq0=")</f>
        <v>#REF!</v>
      </c>
      <c r="FS98" t="e">
        <f>AND(#REF!,"AAAAAH/vDq4=")</f>
        <v>#REF!</v>
      </c>
      <c r="FT98" t="e">
        <f>AND(#REF!,"AAAAAH/vDq8=")</f>
        <v>#REF!</v>
      </c>
      <c r="FU98" t="e">
        <f>AND(#REF!,"AAAAAH/vDrA=")</f>
        <v>#REF!</v>
      </c>
      <c r="FV98" t="e">
        <f>AND(#REF!,"AAAAAH/vDrE=")</f>
        <v>#REF!</v>
      </c>
      <c r="FW98" t="e">
        <f>AND(#REF!,"AAAAAH/vDrI=")</f>
        <v>#REF!</v>
      </c>
      <c r="FX98" t="e">
        <f>IF(#REF!,"AAAAAH/vDrM=",0)</f>
        <v>#REF!</v>
      </c>
      <c r="FY98" t="e">
        <f>AND(#REF!,"AAAAAH/vDrQ=")</f>
        <v>#REF!</v>
      </c>
      <c r="FZ98" t="e">
        <f>AND(#REF!,"AAAAAH/vDrU=")</f>
        <v>#REF!</v>
      </c>
      <c r="GA98" t="e">
        <f>AND(#REF!,"AAAAAH/vDrY=")</f>
        <v>#REF!</v>
      </c>
      <c r="GB98" t="e">
        <f>AND(#REF!,"AAAAAH/vDrc=")</f>
        <v>#REF!</v>
      </c>
      <c r="GC98" t="e">
        <f>AND(#REF!,"AAAAAH/vDrg=")</f>
        <v>#REF!</v>
      </c>
      <c r="GD98" t="e">
        <f>AND(#REF!,"AAAAAH/vDrk=")</f>
        <v>#REF!</v>
      </c>
      <c r="GE98" t="e">
        <f>AND(#REF!,"AAAAAH/vDro=")</f>
        <v>#REF!</v>
      </c>
      <c r="GF98" t="e">
        <f>AND(#REF!,"AAAAAH/vDrs=")</f>
        <v>#REF!</v>
      </c>
      <c r="GG98" t="e">
        <f>IF(#REF!,"AAAAAH/vDrw=",0)</f>
        <v>#REF!</v>
      </c>
      <c r="GH98" t="e">
        <f>AND(#REF!,"AAAAAH/vDr0=")</f>
        <v>#REF!</v>
      </c>
      <c r="GI98" t="e">
        <f>AND(#REF!,"AAAAAH/vDr4=")</f>
        <v>#REF!</v>
      </c>
      <c r="GJ98" t="e">
        <f>AND(#REF!,"AAAAAH/vDr8=")</f>
        <v>#REF!</v>
      </c>
      <c r="GK98" t="e">
        <f>AND(#REF!,"AAAAAH/vDsA=")</f>
        <v>#REF!</v>
      </c>
      <c r="GL98" t="e">
        <f>AND(#REF!,"AAAAAH/vDsE=")</f>
        <v>#REF!</v>
      </c>
      <c r="GM98" t="e">
        <f>AND(#REF!,"AAAAAH/vDsI=")</f>
        <v>#REF!</v>
      </c>
      <c r="GN98" t="e">
        <f>AND(#REF!,"AAAAAH/vDsM=")</f>
        <v>#REF!</v>
      </c>
      <c r="GO98" t="e">
        <f>AND(#REF!,"AAAAAH/vDsQ=")</f>
        <v>#REF!</v>
      </c>
      <c r="GP98" t="e">
        <f>IF(#REF!,"AAAAAH/vDsU=",0)</f>
        <v>#REF!</v>
      </c>
      <c r="GQ98" t="e">
        <f>AND(#REF!,"AAAAAH/vDsY=")</f>
        <v>#REF!</v>
      </c>
      <c r="GR98" t="e">
        <f>AND(#REF!,"AAAAAH/vDsc=")</f>
        <v>#REF!</v>
      </c>
      <c r="GS98" t="e">
        <f>AND(#REF!,"AAAAAH/vDsg=")</f>
        <v>#REF!</v>
      </c>
      <c r="GT98" t="e">
        <f>AND(#REF!,"AAAAAH/vDsk=")</f>
        <v>#REF!</v>
      </c>
      <c r="GU98" t="e">
        <f>AND(#REF!,"AAAAAH/vDso=")</f>
        <v>#REF!</v>
      </c>
      <c r="GV98" t="e">
        <f>AND(#REF!,"AAAAAH/vDss=")</f>
        <v>#REF!</v>
      </c>
      <c r="GW98" t="e">
        <f>AND(#REF!,"AAAAAH/vDsw=")</f>
        <v>#REF!</v>
      </c>
      <c r="GX98" t="e">
        <f>AND(#REF!,"AAAAAH/vDs0=")</f>
        <v>#REF!</v>
      </c>
      <c r="GY98" t="e">
        <f>IF(#REF!,"AAAAAH/vDs4=",0)</f>
        <v>#REF!</v>
      </c>
      <c r="GZ98" t="e">
        <f>AND(#REF!,"AAAAAH/vDs8=")</f>
        <v>#REF!</v>
      </c>
      <c r="HA98" t="e">
        <f>AND(#REF!,"AAAAAH/vDtA=")</f>
        <v>#REF!</v>
      </c>
      <c r="HB98" t="e">
        <f>AND(#REF!,"AAAAAH/vDtE=")</f>
        <v>#REF!</v>
      </c>
      <c r="HC98" t="e">
        <f>AND(#REF!,"AAAAAH/vDtI=")</f>
        <v>#REF!</v>
      </c>
      <c r="HD98" t="e">
        <f>AND(#REF!,"AAAAAH/vDtM=")</f>
        <v>#REF!</v>
      </c>
      <c r="HE98" t="e">
        <f>AND(#REF!,"AAAAAH/vDtQ=")</f>
        <v>#REF!</v>
      </c>
      <c r="HF98" t="e">
        <f>AND(#REF!,"AAAAAH/vDtU=")</f>
        <v>#REF!</v>
      </c>
      <c r="HG98" t="e">
        <f>AND(#REF!,"AAAAAH/vDtY=")</f>
        <v>#REF!</v>
      </c>
      <c r="HH98" t="e">
        <f>IF(#REF!,"AAAAAH/vDtc=",0)</f>
        <v>#REF!</v>
      </c>
      <c r="HI98" t="e">
        <f>AND(#REF!,"AAAAAH/vDtg=")</f>
        <v>#REF!</v>
      </c>
      <c r="HJ98" t="e">
        <f>AND(#REF!,"AAAAAH/vDtk=")</f>
        <v>#REF!</v>
      </c>
      <c r="HK98" t="e">
        <f>AND(#REF!,"AAAAAH/vDto=")</f>
        <v>#REF!</v>
      </c>
      <c r="HL98" t="e">
        <f>AND(#REF!,"AAAAAH/vDts=")</f>
        <v>#REF!</v>
      </c>
      <c r="HM98" t="e">
        <f>AND(#REF!,"AAAAAH/vDtw=")</f>
        <v>#REF!</v>
      </c>
      <c r="HN98" t="e">
        <f>AND(#REF!,"AAAAAH/vDt0=")</f>
        <v>#REF!</v>
      </c>
      <c r="HO98" t="e">
        <f>AND(#REF!,"AAAAAH/vDt4=")</f>
        <v>#REF!</v>
      </c>
      <c r="HP98" t="e">
        <f>AND(#REF!,"AAAAAH/vDt8=")</f>
        <v>#REF!</v>
      </c>
      <c r="HQ98" t="e">
        <f>IF(#REF!,"AAAAAH/vDuA=",0)</f>
        <v>#REF!</v>
      </c>
      <c r="HR98" t="e">
        <f>AND(#REF!,"AAAAAH/vDuE=")</f>
        <v>#REF!</v>
      </c>
      <c r="HS98" t="e">
        <f>AND(#REF!,"AAAAAH/vDuI=")</f>
        <v>#REF!</v>
      </c>
      <c r="HT98" t="e">
        <f>AND(#REF!,"AAAAAH/vDuM=")</f>
        <v>#REF!</v>
      </c>
      <c r="HU98" t="e">
        <f>AND(#REF!,"AAAAAH/vDuQ=")</f>
        <v>#REF!</v>
      </c>
      <c r="HV98" t="e">
        <f>AND(#REF!,"AAAAAH/vDuU=")</f>
        <v>#REF!</v>
      </c>
      <c r="HW98" t="e">
        <f>AND(#REF!,"AAAAAH/vDuY=")</f>
        <v>#REF!</v>
      </c>
      <c r="HX98" t="e">
        <f>AND(#REF!,"AAAAAH/vDuc=")</f>
        <v>#REF!</v>
      </c>
      <c r="HY98" t="e">
        <f>AND(#REF!,"AAAAAH/vDug=")</f>
        <v>#REF!</v>
      </c>
      <c r="HZ98" t="e">
        <f>IF(#REF!,"AAAAAH/vDuk=",0)</f>
        <v>#REF!</v>
      </c>
      <c r="IA98" t="e">
        <f>AND(#REF!,"AAAAAH/vDuo=")</f>
        <v>#REF!</v>
      </c>
      <c r="IB98" t="e">
        <f>AND(#REF!,"AAAAAH/vDus=")</f>
        <v>#REF!</v>
      </c>
      <c r="IC98" t="e">
        <f>AND(#REF!,"AAAAAH/vDuw=")</f>
        <v>#REF!</v>
      </c>
      <c r="ID98" t="e">
        <f>AND(#REF!,"AAAAAH/vDu0=")</f>
        <v>#REF!</v>
      </c>
      <c r="IE98" t="e">
        <f>AND(#REF!,"AAAAAH/vDu4=")</f>
        <v>#REF!</v>
      </c>
      <c r="IF98" t="e">
        <f>AND(#REF!,"AAAAAH/vDu8=")</f>
        <v>#REF!</v>
      </c>
      <c r="IG98" t="e">
        <f>AND(#REF!,"AAAAAH/vDvA=")</f>
        <v>#REF!</v>
      </c>
      <c r="IH98" t="e">
        <f>AND(#REF!,"AAAAAH/vDvE=")</f>
        <v>#REF!</v>
      </c>
      <c r="II98" t="e">
        <f>IF(#REF!,"AAAAAH/vDvI=",0)</f>
        <v>#REF!</v>
      </c>
      <c r="IJ98" t="e">
        <f>AND(#REF!,"AAAAAH/vDvM=")</f>
        <v>#REF!</v>
      </c>
      <c r="IK98" t="e">
        <f>AND(#REF!,"AAAAAH/vDvQ=")</f>
        <v>#REF!</v>
      </c>
      <c r="IL98" t="e">
        <f>AND(#REF!,"AAAAAH/vDvU=")</f>
        <v>#REF!</v>
      </c>
      <c r="IM98" t="e">
        <f>AND(#REF!,"AAAAAH/vDvY=")</f>
        <v>#REF!</v>
      </c>
      <c r="IN98" t="e">
        <f>AND(#REF!,"AAAAAH/vDvc=")</f>
        <v>#REF!</v>
      </c>
      <c r="IO98" t="e">
        <f>AND(#REF!,"AAAAAH/vDvg=")</f>
        <v>#REF!</v>
      </c>
      <c r="IP98" t="e">
        <f>AND(#REF!,"AAAAAH/vDvk=")</f>
        <v>#REF!</v>
      </c>
      <c r="IQ98" t="e">
        <f>AND(#REF!,"AAAAAH/vDvo=")</f>
        <v>#REF!</v>
      </c>
      <c r="IR98" t="e">
        <f>IF(#REF!,"AAAAAH/vDvs=",0)</f>
        <v>#REF!</v>
      </c>
      <c r="IS98" t="e">
        <f>AND(#REF!,"AAAAAH/vDvw=")</f>
        <v>#REF!</v>
      </c>
      <c r="IT98" t="e">
        <f>AND(#REF!,"AAAAAH/vDv0=")</f>
        <v>#REF!</v>
      </c>
      <c r="IU98" t="e">
        <f>AND(#REF!,"AAAAAH/vDv4=")</f>
        <v>#REF!</v>
      </c>
      <c r="IV98" t="e">
        <f>AND(#REF!,"AAAAAH/vDv8=")</f>
        <v>#REF!</v>
      </c>
    </row>
    <row r="99" spans="1:256" x14ac:dyDescent="0.25">
      <c r="A99" t="e">
        <f>AND(#REF!,"AAAAADx/5wA=")</f>
        <v>#REF!</v>
      </c>
      <c r="B99" t="e">
        <f>AND(#REF!,"AAAAADx/5wE=")</f>
        <v>#REF!</v>
      </c>
      <c r="C99" t="e">
        <f>AND(#REF!,"AAAAADx/5wI=")</f>
        <v>#REF!</v>
      </c>
      <c r="D99" t="e">
        <f>AND(#REF!,"AAAAADx/5wM=")</f>
        <v>#REF!</v>
      </c>
      <c r="E99" t="e">
        <f>IF(#REF!,"AAAAADx/5wQ=",0)</f>
        <v>#REF!</v>
      </c>
      <c r="F99" t="e">
        <f>AND(#REF!,"AAAAADx/5wU=")</f>
        <v>#REF!</v>
      </c>
      <c r="G99" t="e">
        <f>AND(#REF!,"AAAAADx/5wY=")</f>
        <v>#REF!</v>
      </c>
      <c r="H99" t="e">
        <f>AND(#REF!,"AAAAADx/5wc=")</f>
        <v>#REF!</v>
      </c>
      <c r="I99" t="e">
        <f>AND(#REF!,"AAAAADx/5wg=")</f>
        <v>#REF!</v>
      </c>
      <c r="J99" t="e">
        <f>AND(#REF!,"AAAAADx/5wk=")</f>
        <v>#REF!</v>
      </c>
      <c r="K99" t="e">
        <f>AND(#REF!,"AAAAADx/5wo=")</f>
        <v>#REF!</v>
      </c>
      <c r="L99" t="e">
        <f>AND(#REF!,"AAAAADx/5ws=")</f>
        <v>#REF!</v>
      </c>
      <c r="M99" t="e">
        <f>AND(#REF!,"AAAAADx/5ww=")</f>
        <v>#REF!</v>
      </c>
      <c r="N99" t="e">
        <f>IF(#REF!,"AAAAADx/5w0=",0)</f>
        <v>#REF!</v>
      </c>
      <c r="O99" t="e">
        <f>AND(#REF!,"AAAAADx/5w4=")</f>
        <v>#REF!</v>
      </c>
      <c r="P99" t="e">
        <f>AND(#REF!,"AAAAADx/5w8=")</f>
        <v>#REF!</v>
      </c>
      <c r="Q99" t="e">
        <f>AND(#REF!,"AAAAADx/5xA=")</f>
        <v>#REF!</v>
      </c>
      <c r="R99" t="e">
        <f>AND(#REF!,"AAAAADx/5xE=")</f>
        <v>#REF!</v>
      </c>
      <c r="S99" t="e">
        <f>AND(#REF!,"AAAAADx/5xI=")</f>
        <v>#REF!</v>
      </c>
      <c r="T99" t="e">
        <f>AND(#REF!,"AAAAADx/5xM=")</f>
        <v>#REF!</v>
      </c>
      <c r="U99" t="e">
        <f>AND(#REF!,"AAAAADx/5xQ=")</f>
        <v>#REF!</v>
      </c>
      <c r="V99" t="e">
        <f>AND(#REF!,"AAAAADx/5xU=")</f>
        <v>#REF!</v>
      </c>
      <c r="W99" t="e">
        <f>IF(#REF!,"AAAAADx/5xY=",0)</f>
        <v>#REF!</v>
      </c>
      <c r="X99" t="e">
        <f>AND(#REF!,"AAAAADx/5xc=")</f>
        <v>#REF!</v>
      </c>
      <c r="Y99" t="e">
        <f>AND(#REF!,"AAAAADx/5xg=")</f>
        <v>#REF!</v>
      </c>
      <c r="Z99" t="e">
        <f>AND(#REF!,"AAAAADx/5xk=")</f>
        <v>#REF!</v>
      </c>
      <c r="AA99" t="e">
        <f>AND(#REF!,"AAAAADx/5xo=")</f>
        <v>#REF!</v>
      </c>
      <c r="AB99" t="e">
        <f>AND(#REF!,"AAAAADx/5xs=")</f>
        <v>#REF!</v>
      </c>
      <c r="AC99" t="e">
        <f>AND(#REF!,"AAAAADx/5xw=")</f>
        <v>#REF!</v>
      </c>
      <c r="AD99" t="e">
        <f>AND(#REF!,"AAAAADx/5x0=")</f>
        <v>#REF!</v>
      </c>
      <c r="AE99" t="e">
        <f>AND(#REF!,"AAAAADx/5x4=")</f>
        <v>#REF!</v>
      </c>
      <c r="AF99" t="e">
        <f>IF(#REF!,"AAAAADx/5x8=",0)</f>
        <v>#REF!</v>
      </c>
      <c r="AG99" t="e">
        <f>AND(#REF!,"AAAAADx/5yA=")</f>
        <v>#REF!</v>
      </c>
      <c r="AH99" t="e">
        <f>AND(#REF!,"AAAAADx/5yE=")</f>
        <v>#REF!</v>
      </c>
      <c r="AI99" t="e">
        <f>AND(#REF!,"AAAAADx/5yI=")</f>
        <v>#REF!</v>
      </c>
      <c r="AJ99" t="e">
        <f>AND(#REF!,"AAAAADx/5yM=")</f>
        <v>#REF!</v>
      </c>
      <c r="AK99" t="e">
        <f>AND(#REF!,"AAAAADx/5yQ=")</f>
        <v>#REF!</v>
      </c>
      <c r="AL99" t="e">
        <f>AND(#REF!,"AAAAADx/5yU=")</f>
        <v>#REF!</v>
      </c>
      <c r="AM99" t="e">
        <f>AND(#REF!,"AAAAADx/5yY=")</f>
        <v>#REF!</v>
      </c>
      <c r="AN99" t="e">
        <f>AND(#REF!,"AAAAADx/5yc=")</f>
        <v>#REF!</v>
      </c>
      <c r="AO99" t="e">
        <f>IF(#REF!,"AAAAADx/5yg=",0)</f>
        <v>#REF!</v>
      </c>
      <c r="AP99" t="e">
        <f>AND(#REF!,"AAAAADx/5yk=")</f>
        <v>#REF!</v>
      </c>
      <c r="AQ99" t="e">
        <f>AND(#REF!,"AAAAADx/5yo=")</f>
        <v>#REF!</v>
      </c>
      <c r="AR99" t="e">
        <f>AND(#REF!,"AAAAADx/5ys=")</f>
        <v>#REF!</v>
      </c>
      <c r="AS99" t="e">
        <f>AND(#REF!,"AAAAADx/5yw=")</f>
        <v>#REF!</v>
      </c>
      <c r="AT99" t="e">
        <f>AND(#REF!,"AAAAADx/5y0=")</f>
        <v>#REF!</v>
      </c>
      <c r="AU99" t="e">
        <f>AND(#REF!,"AAAAADx/5y4=")</f>
        <v>#REF!</v>
      </c>
      <c r="AV99" t="e">
        <f>AND(#REF!,"AAAAADx/5y8=")</f>
        <v>#REF!</v>
      </c>
      <c r="AW99" t="e">
        <f>AND(#REF!,"AAAAADx/5zA=")</f>
        <v>#REF!</v>
      </c>
      <c r="AX99" t="e">
        <f>IF(#REF!,"AAAAADx/5zE=",0)</f>
        <v>#REF!</v>
      </c>
      <c r="AY99" t="e">
        <f>AND(#REF!,"AAAAADx/5zI=")</f>
        <v>#REF!</v>
      </c>
      <c r="AZ99" t="e">
        <f>AND(#REF!,"AAAAADx/5zM=")</f>
        <v>#REF!</v>
      </c>
      <c r="BA99" t="e">
        <f>AND(#REF!,"AAAAADx/5zQ=")</f>
        <v>#REF!</v>
      </c>
      <c r="BB99" t="e">
        <f>AND(#REF!,"AAAAADx/5zU=")</f>
        <v>#REF!</v>
      </c>
      <c r="BC99" t="e">
        <f>AND(#REF!,"AAAAADx/5zY=")</f>
        <v>#REF!</v>
      </c>
      <c r="BD99" t="e">
        <f>AND(#REF!,"AAAAADx/5zc=")</f>
        <v>#REF!</v>
      </c>
      <c r="BE99" t="e">
        <f>AND(#REF!,"AAAAADx/5zg=")</f>
        <v>#REF!</v>
      </c>
      <c r="BF99" t="e">
        <f>AND(#REF!,"AAAAADx/5zk=")</f>
        <v>#REF!</v>
      </c>
      <c r="BG99" t="e">
        <f>IF(#REF!,"AAAAADx/5zo=",0)</f>
        <v>#REF!</v>
      </c>
      <c r="BH99" t="e">
        <f>AND(#REF!,"AAAAADx/5zs=")</f>
        <v>#REF!</v>
      </c>
      <c r="BI99" t="e">
        <f>AND(#REF!,"AAAAADx/5zw=")</f>
        <v>#REF!</v>
      </c>
      <c r="BJ99" t="e">
        <f>AND(#REF!,"AAAAADx/5z0=")</f>
        <v>#REF!</v>
      </c>
      <c r="BK99" t="e">
        <f>AND(#REF!,"AAAAADx/5z4=")</f>
        <v>#REF!</v>
      </c>
      <c r="BL99" t="e">
        <f>AND(#REF!,"AAAAADx/5z8=")</f>
        <v>#REF!</v>
      </c>
      <c r="BM99" t="e">
        <f>AND(#REF!,"AAAAADx/50A=")</f>
        <v>#REF!</v>
      </c>
      <c r="BN99" t="e">
        <f>AND(#REF!,"AAAAADx/50E=")</f>
        <v>#REF!</v>
      </c>
      <c r="BO99" t="e">
        <f>AND(#REF!,"AAAAADx/50I=")</f>
        <v>#REF!</v>
      </c>
      <c r="BP99" t="e">
        <f>IF(#REF!,"AAAAADx/50M=",0)</f>
        <v>#REF!</v>
      </c>
      <c r="BQ99" t="e">
        <f>AND(#REF!,"AAAAADx/50Q=")</f>
        <v>#REF!</v>
      </c>
      <c r="BR99" t="e">
        <f>AND(#REF!,"AAAAADx/50U=")</f>
        <v>#REF!</v>
      </c>
      <c r="BS99" t="e">
        <f>AND(#REF!,"AAAAADx/50Y=")</f>
        <v>#REF!</v>
      </c>
      <c r="BT99" t="e">
        <f>AND(#REF!,"AAAAADx/50c=")</f>
        <v>#REF!</v>
      </c>
      <c r="BU99" t="e">
        <f>AND(#REF!,"AAAAADx/50g=")</f>
        <v>#REF!</v>
      </c>
      <c r="BV99" t="e">
        <f>AND(#REF!,"AAAAADx/50k=")</f>
        <v>#REF!</v>
      </c>
      <c r="BW99" t="e">
        <f>AND(#REF!,"AAAAADx/50o=")</f>
        <v>#REF!</v>
      </c>
      <c r="BX99" t="e">
        <f>AND(#REF!,"AAAAADx/50s=")</f>
        <v>#REF!</v>
      </c>
      <c r="BY99" t="e">
        <f>IF(#REF!,"AAAAADx/50w=",0)</f>
        <v>#REF!</v>
      </c>
      <c r="BZ99" t="e">
        <f>AND(#REF!,"AAAAADx/500=")</f>
        <v>#REF!</v>
      </c>
      <c r="CA99" t="e">
        <f>AND(#REF!,"AAAAADx/504=")</f>
        <v>#REF!</v>
      </c>
      <c r="CB99" t="e">
        <f>AND(#REF!,"AAAAADx/508=")</f>
        <v>#REF!</v>
      </c>
      <c r="CC99" t="e">
        <f>AND(#REF!,"AAAAADx/51A=")</f>
        <v>#REF!</v>
      </c>
      <c r="CD99" t="e">
        <f>AND(#REF!,"AAAAADx/51E=")</f>
        <v>#REF!</v>
      </c>
      <c r="CE99" t="e">
        <f>AND(#REF!,"AAAAADx/51I=")</f>
        <v>#REF!</v>
      </c>
      <c r="CF99" t="e">
        <f>AND(#REF!,"AAAAADx/51M=")</f>
        <v>#REF!</v>
      </c>
      <c r="CG99" t="e">
        <f>AND(#REF!,"AAAAADx/51Q=")</f>
        <v>#REF!</v>
      </c>
      <c r="CH99" t="e">
        <f>IF(#REF!,"AAAAADx/51U=",0)</f>
        <v>#REF!</v>
      </c>
      <c r="CI99" t="e">
        <f>AND(#REF!,"AAAAADx/51Y=")</f>
        <v>#REF!</v>
      </c>
      <c r="CJ99" t="e">
        <f>AND(#REF!,"AAAAADx/51c=")</f>
        <v>#REF!</v>
      </c>
      <c r="CK99" t="e">
        <f>AND(#REF!,"AAAAADx/51g=")</f>
        <v>#REF!</v>
      </c>
      <c r="CL99" t="e">
        <f>AND(#REF!,"AAAAADx/51k=")</f>
        <v>#REF!</v>
      </c>
      <c r="CM99" t="e">
        <f>AND(#REF!,"AAAAADx/51o=")</f>
        <v>#REF!</v>
      </c>
      <c r="CN99" t="e">
        <f>AND(#REF!,"AAAAADx/51s=")</f>
        <v>#REF!</v>
      </c>
      <c r="CO99" t="e">
        <f>AND(#REF!,"AAAAADx/51w=")</f>
        <v>#REF!</v>
      </c>
      <c r="CP99" t="e">
        <f>AND(#REF!,"AAAAADx/510=")</f>
        <v>#REF!</v>
      </c>
      <c r="CQ99" t="e">
        <f>IF(#REF!,"AAAAADx/514=",0)</f>
        <v>#REF!</v>
      </c>
      <c r="CR99" t="e">
        <f>AND(#REF!,"AAAAADx/518=")</f>
        <v>#REF!</v>
      </c>
      <c r="CS99" t="e">
        <f>AND(#REF!,"AAAAADx/52A=")</f>
        <v>#REF!</v>
      </c>
      <c r="CT99" t="e">
        <f>AND(#REF!,"AAAAADx/52E=")</f>
        <v>#REF!</v>
      </c>
      <c r="CU99" t="e">
        <f>AND(#REF!,"AAAAADx/52I=")</f>
        <v>#REF!</v>
      </c>
      <c r="CV99" t="e">
        <f>AND(#REF!,"AAAAADx/52M=")</f>
        <v>#REF!</v>
      </c>
      <c r="CW99" t="e">
        <f>AND(#REF!,"AAAAADx/52Q=")</f>
        <v>#REF!</v>
      </c>
      <c r="CX99" t="e">
        <f>AND(#REF!,"AAAAADx/52U=")</f>
        <v>#REF!</v>
      </c>
      <c r="CY99" t="e">
        <f>AND(#REF!,"AAAAADx/52Y=")</f>
        <v>#REF!</v>
      </c>
      <c r="CZ99" t="e">
        <f>IF(#REF!,"AAAAADx/52c=",0)</f>
        <v>#REF!</v>
      </c>
      <c r="DA99" t="e">
        <f>AND(#REF!,"AAAAADx/52g=")</f>
        <v>#REF!</v>
      </c>
      <c r="DB99" t="e">
        <f>AND(#REF!,"AAAAADx/52k=")</f>
        <v>#REF!</v>
      </c>
      <c r="DC99" t="e">
        <f>AND(#REF!,"AAAAADx/52o=")</f>
        <v>#REF!</v>
      </c>
      <c r="DD99" t="e">
        <f>AND(#REF!,"AAAAADx/52s=")</f>
        <v>#REF!</v>
      </c>
      <c r="DE99" t="e">
        <f>AND(#REF!,"AAAAADx/52w=")</f>
        <v>#REF!</v>
      </c>
      <c r="DF99" t="e">
        <f>AND(#REF!,"AAAAADx/520=")</f>
        <v>#REF!</v>
      </c>
      <c r="DG99" t="e">
        <f>AND(#REF!,"AAAAADx/524=")</f>
        <v>#REF!</v>
      </c>
      <c r="DH99" t="e">
        <f>AND(#REF!,"AAAAADx/528=")</f>
        <v>#REF!</v>
      </c>
      <c r="DI99" t="e">
        <f>IF(#REF!,"AAAAADx/53A=",0)</f>
        <v>#REF!</v>
      </c>
      <c r="DJ99" t="e">
        <f>AND(#REF!,"AAAAADx/53E=")</f>
        <v>#REF!</v>
      </c>
      <c r="DK99" t="e">
        <f>AND(#REF!,"AAAAADx/53I=")</f>
        <v>#REF!</v>
      </c>
      <c r="DL99" t="e">
        <f>AND(#REF!,"AAAAADx/53M=")</f>
        <v>#REF!</v>
      </c>
      <c r="DM99" t="e">
        <f>AND(#REF!,"AAAAADx/53Q=")</f>
        <v>#REF!</v>
      </c>
      <c r="DN99" t="e">
        <f>AND(#REF!,"AAAAADx/53U=")</f>
        <v>#REF!</v>
      </c>
      <c r="DO99" t="e">
        <f>AND(#REF!,"AAAAADx/53Y=")</f>
        <v>#REF!</v>
      </c>
      <c r="DP99" t="e">
        <f>AND(#REF!,"AAAAADx/53c=")</f>
        <v>#REF!</v>
      </c>
      <c r="DQ99" t="e">
        <f>AND(#REF!,"AAAAADx/53g=")</f>
        <v>#REF!</v>
      </c>
      <c r="DR99" t="e">
        <f>IF(#REF!,"AAAAADx/53k=",0)</f>
        <v>#REF!</v>
      </c>
      <c r="DS99" t="e">
        <f>AND(#REF!,"AAAAADx/53o=")</f>
        <v>#REF!</v>
      </c>
      <c r="DT99" t="e">
        <f>AND(#REF!,"AAAAADx/53s=")</f>
        <v>#REF!</v>
      </c>
      <c r="DU99" t="e">
        <f>AND(#REF!,"AAAAADx/53w=")</f>
        <v>#REF!</v>
      </c>
      <c r="DV99" t="e">
        <f>AND(#REF!,"AAAAADx/530=")</f>
        <v>#REF!</v>
      </c>
      <c r="DW99" t="e">
        <f>AND(#REF!,"AAAAADx/534=")</f>
        <v>#REF!</v>
      </c>
      <c r="DX99" t="e">
        <f>AND(#REF!,"AAAAADx/538=")</f>
        <v>#REF!</v>
      </c>
      <c r="DY99" t="e">
        <f>AND(#REF!,"AAAAADx/54A=")</f>
        <v>#REF!</v>
      </c>
      <c r="DZ99" t="e">
        <f>AND(#REF!,"AAAAADx/54E=")</f>
        <v>#REF!</v>
      </c>
      <c r="EA99" t="e">
        <f>IF(#REF!,"AAAAADx/54I=",0)</f>
        <v>#REF!</v>
      </c>
      <c r="EB99" t="e">
        <f>AND(#REF!,"AAAAADx/54M=")</f>
        <v>#REF!</v>
      </c>
      <c r="EC99" t="e">
        <f>AND(#REF!,"AAAAADx/54Q=")</f>
        <v>#REF!</v>
      </c>
      <c r="ED99" t="e">
        <f>AND(#REF!,"AAAAADx/54U=")</f>
        <v>#REF!</v>
      </c>
      <c r="EE99" t="e">
        <f>AND(#REF!,"AAAAADx/54Y=")</f>
        <v>#REF!</v>
      </c>
      <c r="EF99" t="e">
        <f>AND(#REF!,"AAAAADx/54c=")</f>
        <v>#REF!</v>
      </c>
      <c r="EG99" t="e">
        <f>AND(#REF!,"AAAAADx/54g=")</f>
        <v>#REF!</v>
      </c>
      <c r="EH99" t="e">
        <f>AND(#REF!,"AAAAADx/54k=")</f>
        <v>#REF!</v>
      </c>
      <c r="EI99" t="e">
        <f>AND(#REF!,"AAAAADx/54o=")</f>
        <v>#REF!</v>
      </c>
      <c r="EJ99" t="e">
        <f>IF(#REF!,"AAAAADx/54s=",0)</f>
        <v>#REF!</v>
      </c>
      <c r="EK99" t="e">
        <f>AND(#REF!,"AAAAADx/54w=")</f>
        <v>#REF!</v>
      </c>
      <c r="EL99" t="e">
        <f>AND(#REF!,"AAAAADx/540=")</f>
        <v>#REF!</v>
      </c>
      <c r="EM99" t="e">
        <f>AND(#REF!,"AAAAADx/544=")</f>
        <v>#REF!</v>
      </c>
      <c r="EN99" t="e">
        <f>AND(#REF!,"AAAAADx/548=")</f>
        <v>#REF!</v>
      </c>
      <c r="EO99" t="e">
        <f>AND(#REF!,"AAAAADx/55A=")</f>
        <v>#REF!</v>
      </c>
      <c r="EP99" t="e">
        <f>AND(#REF!,"AAAAADx/55E=")</f>
        <v>#REF!</v>
      </c>
      <c r="EQ99" t="e">
        <f>AND(#REF!,"AAAAADx/55I=")</f>
        <v>#REF!</v>
      </c>
      <c r="ER99" t="e">
        <f>AND(#REF!,"AAAAADx/55M=")</f>
        <v>#REF!</v>
      </c>
      <c r="ES99" t="e">
        <f>IF(#REF!,"AAAAADx/55Q=",0)</f>
        <v>#REF!</v>
      </c>
      <c r="ET99" t="e">
        <f>AND(#REF!,"AAAAADx/55U=")</f>
        <v>#REF!</v>
      </c>
      <c r="EU99" t="e">
        <f>AND(#REF!,"AAAAADx/55Y=")</f>
        <v>#REF!</v>
      </c>
      <c r="EV99" t="e">
        <f>AND(#REF!,"AAAAADx/55c=")</f>
        <v>#REF!</v>
      </c>
      <c r="EW99" t="e">
        <f>AND(#REF!,"AAAAADx/55g=")</f>
        <v>#REF!</v>
      </c>
      <c r="EX99" t="e">
        <f>AND(#REF!,"AAAAADx/55k=")</f>
        <v>#REF!</v>
      </c>
      <c r="EY99" t="e">
        <f>AND(#REF!,"AAAAADx/55o=")</f>
        <v>#REF!</v>
      </c>
      <c r="EZ99" t="e">
        <f>AND(#REF!,"AAAAADx/55s=")</f>
        <v>#REF!</v>
      </c>
      <c r="FA99" t="e">
        <f>AND(#REF!,"AAAAADx/55w=")</f>
        <v>#REF!</v>
      </c>
      <c r="FB99" t="e">
        <f>IF(#REF!,"AAAAADx/550=",0)</f>
        <v>#REF!</v>
      </c>
      <c r="FC99" t="e">
        <f>AND(#REF!,"AAAAADx/554=")</f>
        <v>#REF!</v>
      </c>
      <c r="FD99" t="e">
        <f>AND(#REF!,"AAAAADx/558=")</f>
        <v>#REF!</v>
      </c>
      <c r="FE99" t="e">
        <f>AND(#REF!,"AAAAADx/56A=")</f>
        <v>#REF!</v>
      </c>
      <c r="FF99" t="e">
        <f>AND(#REF!,"AAAAADx/56E=")</f>
        <v>#REF!</v>
      </c>
      <c r="FG99" t="e">
        <f>AND(#REF!,"AAAAADx/56I=")</f>
        <v>#REF!</v>
      </c>
      <c r="FH99" t="e">
        <f>AND(#REF!,"AAAAADx/56M=")</f>
        <v>#REF!</v>
      </c>
      <c r="FI99" t="e">
        <f>AND(#REF!,"AAAAADx/56Q=")</f>
        <v>#REF!</v>
      </c>
      <c r="FJ99" t="e">
        <f>AND(#REF!,"AAAAADx/56U=")</f>
        <v>#REF!</v>
      </c>
      <c r="FK99" t="e">
        <f>IF(#REF!,"AAAAADx/56Y=",0)</f>
        <v>#REF!</v>
      </c>
      <c r="FL99" t="e">
        <f>AND(#REF!,"AAAAADx/56c=")</f>
        <v>#REF!</v>
      </c>
      <c r="FM99" t="e">
        <f>AND(#REF!,"AAAAADx/56g=")</f>
        <v>#REF!</v>
      </c>
      <c r="FN99" t="e">
        <f>AND(#REF!,"AAAAADx/56k=")</f>
        <v>#REF!</v>
      </c>
      <c r="FO99" t="e">
        <f>AND(#REF!,"AAAAADx/56o=")</f>
        <v>#REF!</v>
      </c>
      <c r="FP99" t="e">
        <f>AND(#REF!,"AAAAADx/56s=")</f>
        <v>#REF!</v>
      </c>
      <c r="FQ99" t="e">
        <f>AND(#REF!,"AAAAADx/56w=")</f>
        <v>#REF!</v>
      </c>
      <c r="FR99" t="e">
        <f>AND(#REF!,"AAAAADx/560=")</f>
        <v>#REF!</v>
      </c>
      <c r="FS99" t="e">
        <f>AND(#REF!,"AAAAADx/564=")</f>
        <v>#REF!</v>
      </c>
      <c r="FT99" t="e">
        <f>IF(#REF!,"AAAAADx/568=",0)</f>
        <v>#REF!</v>
      </c>
      <c r="FU99" t="e">
        <f>AND(#REF!,"AAAAADx/57A=")</f>
        <v>#REF!</v>
      </c>
      <c r="FV99" t="e">
        <f>AND(#REF!,"AAAAADx/57E=")</f>
        <v>#REF!</v>
      </c>
      <c r="FW99" t="e">
        <f>AND(#REF!,"AAAAADx/57I=")</f>
        <v>#REF!</v>
      </c>
      <c r="FX99" t="e">
        <f>AND(#REF!,"AAAAADx/57M=")</f>
        <v>#REF!</v>
      </c>
      <c r="FY99" t="e">
        <f>AND(#REF!,"AAAAADx/57Q=")</f>
        <v>#REF!</v>
      </c>
      <c r="FZ99" t="e">
        <f>AND(#REF!,"AAAAADx/57U=")</f>
        <v>#REF!</v>
      </c>
      <c r="GA99" t="e">
        <f>AND(#REF!,"AAAAADx/57Y=")</f>
        <v>#REF!</v>
      </c>
      <c r="GB99" t="e">
        <f>AND(#REF!,"AAAAADx/57c=")</f>
        <v>#REF!</v>
      </c>
      <c r="GC99" t="e">
        <f>IF(#REF!,"AAAAADx/57g=",0)</f>
        <v>#REF!</v>
      </c>
      <c r="GD99" t="e">
        <f>AND(#REF!,"AAAAADx/57k=")</f>
        <v>#REF!</v>
      </c>
      <c r="GE99" t="e">
        <f>AND(#REF!,"AAAAADx/57o=")</f>
        <v>#REF!</v>
      </c>
      <c r="GF99" t="e">
        <f>AND(#REF!,"AAAAADx/57s=")</f>
        <v>#REF!</v>
      </c>
      <c r="GG99" t="e">
        <f>AND(#REF!,"AAAAADx/57w=")</f>
        <v>#REF!</v>
      </c>
      <c r="GH99" t="e">
        <f>AND(#REF!,"AAAAADx/570=")</f>
        <v>#REF!</v>
      </c>
      <c r="GI99" t="e">
        <f>AND(#REF!,"AAAAADx/574=")</f>
        <v>#REF!</v>
      </c>
      <c r="GJ99" t="e">
        <f>AND(#REF!,"AAAAADx/578=")</f>
        <v>#REF!</v>
      </c>
      <c r="GK99" t="e">
        <f>AND(#REF!,"AAAAADx/58A=")</f>
        <v>#REF!</v>
      </c>
      <c r="GL99" t="e">
        <f>IF(#REF!,"AAAAADx/58E=",0)</f>
        <v>#REF!</v>
      </c>
      <c r="GM99" t="e">
        <f>AND(#REF!,"AAAAADx/58I=")</f>
        <v>#REF!</v>
      </c>
      <c r="GN99" t="e">
        <f>AND(#REF!,"AAAAADx/58M=")</f>
        <v>#REF!</v>
      </c>
      <c r="GO99" t="e">
        <f>AND(#REF!,"AAAAADx/58Q=")</f>
        <v>#REF!</v>
      </c>
      <c r="GP99" t="e">
        <f>AND(#REF!,"AAAAADx/58U=")</f>
        <v>#REF!</v>
      </c>
      <c r="GQ99" t="e">
        <f>AND(#REF!,"AAAAADx/58Y=")</f>
        <v>#REF!</v>
      </c>
      <c r="GR99" t="e">
        <f>AND(#REF!,"AAAAADx/58c=")</f>
        <v>#REF!</v>
      </c>
      <c r="GS99" t="e">
        <f>AND(#REF!,"AAAAADx/58g=")</f>
        <v>#REF!</v>
      </c>
      <c r="GT99" t="e">
        <f>AND(#REF!,"AAAAADx/58k=")</f>
        <v>#REF!</v>
      </c>
      <c r="GU99" t="e">
        <f>IF(#REF!,"AAAAADx/58o=",0)</f>
        <v>#REF!</v>
      </c>
      <c r="GV99" t="e">
        <f>AND(#REF!,"AAAAADx/58s=")</f>
        <v>#REF!</v>
      </c>
      <c r="GW99" t="e">
        <f>AND(#REF!,"AAAAADx/58w=")</f>
        <v>#REF!</v>
      </c>
      <c r="GX99" t="e">
        <f>AND(#REF!,"AAAAADx/580=")</f>
        <v>#REF!</v>
      </c>
      <c r="GY99" t="e">
        <f>AND(#REF!,"AAAAADx/584=")</f>
        <v>#REF!</v>
      </c>
      <c r="GZ99" t="e">
        <f>AND(#REF!,"AAAAADx/588=")</f>
        <v>#REF!</v>
      </c>
      <c r="HA99" t="e">
        <f>AND(#REF!,"AAAAADx/59A=")</f>
        <v>#REF!</v>
      </c>
      <c r="HB99" t="e">
        <f>AND(#REF!,"AAAAADx/59E=")</f>
        <v>#REF!</v>
      </c>
      <c r="HC99" t="e">
        <f>AND(#REF!,"AAAAADx/59I=")</f>
        <v>#REF!</v>
      </c>
      <c r="HD99" t="e">
        <f>IF(#REF!,"AAAAADx/59M=",0)</f>
        <v>#REF!</v>
      </c>
      <c r="HE99" t="e">
        <f>AND(#REF!,"AAAAADx/59Q=")</f>
        <v>#REF!</v>
      </c>
      <c r="HF99" t="e">
        <f>AND(#REF!,"AAAAADx/59U=")</f>
        <v>#REF!</v>
      </c>
      <c r="HG99" t="e">
        <f>AND(#REF!,"AAAAADx/59Y=")</f>
        <v>#REF!</v>
      </c>
      <c r="HH99" t="e">
        <f>AND(#REF!,"AAAAADx/59c=")</f>
        <v>#REF!</v>
      </c>
      <c r="HI99" t="e">
        <f>AND(#REF!,"AAAAADx/59g=")</f>
        <v>#REF!</v>
      </c>
      <c r="HJ99" t="e">
        <f>AND(#REF!,"AAAAADx/59k=")</f>
        <v>#REF!</v>
      </c>
      <c r="HK99" t="e">
        <f>AND(#REF!,"AAAAADx/59o=")</f>
        <v>#REF!</v>
      </c>
      <c r="HL99" t="e">
        <f>AND(#REF!,"AAAAADx/59s=")</f>
        <v>#REF!</v>
      </c>
      <c r="HM99" t="e">
        <f>IF(#REF!,"AAAAADx/59w=",0)</f>
        <v>#REF!</v>
      </c>
      <c r="HN99" t="e">
        <f>AND(#REF!,"AAAAADx/590=")</f>
        <v>#REF!</v>
      </c>
      <c r="HO99" t="e">
        <f>AND(#REF!,"AAAAADx/594=")</f>
        <v>#REF!</v>
      </c>
      <c r="HP99" t="e">
        <f>AND(#REF!,"AAAAADx/598=")</f>
        <v>#REF!</v>
      </c>
      <c r="HQ99" t="e">
        <f>AND(#REF!,"AAAAADx/5+A=")</f>
        <v>#REF!</v>
      </c>
      <c r="HR99" t="e">
        <f>AND(#REF!,"AAAAADx/5+E=")</f>
        <v>#REF!</v>
      </c>
      <c r="HS99" t="e">
        <f>AND(#REF!,"AAAAADx/5+I=")</f>
        <v>#REF!</v>
      </c>
      <c r="HT99" t="e">
        <f>AND(#REF!,"AAAAADx/5+M=")</f>
        <v>#REF!</v>
      </c>
      <c r="HU99" t="e">
        <f>AND(#REF!,"AAAAADx/5+Q=")</f>
        <v>#REF!</v>
      </c>
      <c r="HV99" t="e">
        <f>IF(#REF!,"AAAAADx/5+U=",0)</f>
        <v>#REF!</v>
      </c>
      <c r="HW99" t="e">
        <f>AND(#REF!,"AAAAADx/5+Y=")</f>
        <v>#REF!</v>
      </c>
      <c r="HX99" t="e">
        <f>AND(#REF!,"AAAAADx/5+c=")</f>
        <v>#REF!</v>
      </c>
      <c r="HY99" t="e">
        <f>AND(#REF!,"AAAAADx/5+g=")</f>
        <v>#REF!</v>
      </c>
      <c r="HZ99" t="e">
        <f>AND(#REF!,"AAAAADx/5+k=")</f>
        <v>#REF!</v>
      </c>
      <c r="IA99" t="e">
        <f>AND(#REF!,"AAAAADx/5+o=")</f>
        <v>#REF!</v>
      </c>
      <c r="IB99" t="e">
        <f>AND(#REF!,"AAAAADx/5+s=")</f>
        <v>#REF!</v>
      </c>
      <c r="IC99" t="e">
        <f>AND(#REF!,"AAAAADx/5+w=")</f>
        <v>#REF!</v>
      </c>
      <c r="ID99" t="e">
        <f>AND(#REF!,"AAAAADx/5+0=")</f>
        <v>#REF!</v>
      </c>
      <c r="IE99" t="e">
        <f>IF(#REF!,"AAAAADx/5+4=",0)</f>
        <v>#REF!</v>
      </c>
      <c r="IF99" t="e">
        <f>AND(#REF!,"AAAAADx/5+8=")</f>
        <v>#REF!</v>
      </c>
      <c r="IG99" t="e">
        <f>AND(#REF!,"AAAAADx/5/A=")</f>
        <v>#REF!</v>
      </c>
      <c r="IH99" t="e">
        <f>AND(#REF!,"AAAAADx/5/E=")</f>
        <v>#REF!</v>
      </c>
      <c r="II99" t="e">
        <f>AND(#REF!,"AAAAADx/5/I=")</f>
        <v>#REF!</v>
      </c>
      <c r="IJ99" t="e">
        <f>AND(#REF!,"AAAAADx/5/M=")</f>
        <v>#REF!</v>
      </c>
      <c r="IK99" t="e">
        <f>AND(#REF!,"AAAAADx/5/Q=")</f>
        <v>#REF!</v>
      </c>
      <c r="IL99" t="e">
        <f>AND(#REF!,"AAAAADx/5/U=")</f>
        <v>#REF!</v>
      </c>
      <c r="IM99" t="e">
        <f>AND(#REF!,"AAAAADx/5/Y=")</f>
        <v>#REF!</v>
      </c>
      <c r="IN99" t="e">
        <f>IF(#REF!,"AAAAADx/5/c=",0)</f>
        <v>#REF!</v>
      </c>
      <c r="IO99" t="e">
        <f>AND(#REF!,"AAAAADx/5/g=")</f>
        <v>#REF!</v>
      </c>
      <c r="IP99" t="e">
        <f>AND(#REF!,"AAAAADx/5/k=")</f>
        <v>#REF!</v>
      </c>
      <c r="IQ99" t="e">
        <f>AND(#REF!,"AAAAADx/5/o=")</f>
        <v>#REF!</v>
      </c>
      <c r="IR99" t="e">
        <f>AND(#REF!,"AAAAADx/5/s=")</f>
        <v>#REF!</v>
      </c>
      <c r="IS99" t="e">
        <f>AND(#REF!,"AAAAADx/5/w=")</f>
        <v>#REF!</v>
      </c>
      <c r="IT99" t="e">
        <f>AND(#REF!,"AAAAADx/5/0=")</f>
        <v>#REF!</v>
      </c>
      <c r="IU99" t="e">
        <f>AND(#REF!,"AAAAADx/5/4=")</f>
        <v>#REF!</v>
      </c>
      <c r="IV99" t="e">
        <f>AND(#REF!,"AAAAADx/5/8=")</f>
        <v>#REF!</v>
      </c>
    </row>
    <row r="100" spans="1:256" x14ac:dyDescent="0.25">
      <c r="A100" t="e">
        <f>IF(#REF!,"AAAAAG64HwA=",0)</f>
        <v>#REF!</v>
      </c>
      <c r="B100" t="e">
        <f>AND(#REF!,"AAAAAG64HwE=")</f>
        <v>#REF!</v>
      </c>
      <c r="C100" t="e">
        <f>AND(#REF!,"AAAAAG64HwI=")</f>
        <v>#REF!</v>
      </c>
      <c r="D100" t="e">
        <f>AND(#REF!,"AAAAAG64HwM=")</f>
        <v>#REF!</v>
      </c>
      <c r="E100" t="e">
        <f>AND(#REF!,"AAAAAG64HwQ=")</f>
        <v>#REF!</v>
      </c>
      <c r="F100" t="e">
        <f>AND(#REF!,"AAAAAG64HwU=")</f>
        <v>#REF!</v>
      </c>
      <c r="G100" t="e">
        <f>AND(#REF!,"AAAAAG64HwY=")</f>
        <v>#REF!</v>
      </c>
      <c r="H100" t="e">
        <f>AND(#REF!,"AAAAAG64Hwc=")</f>
        <v>#REF!</v>
      </c>
      <c r="I100" t="e">
        <f>AND(#REF!,"AAAAAG64Hwg=")</f>
        <v>#REF!</v>
      </c>
      <c r="J100" t="e">
        <f>IF(#REF!,"AAAAAG64Hwk=",0)</f>
        <v>#REF!</v>
      </c>
      <c r="K100" t="e">
        <f>AND(#REF!,"AAAAAG64Hwo=")</f>
        <v>#REF!</v>
      </c>
      <c r="L100" t="e">
        <f>AND(#REF!,"AAAAAG64Hws=")</f>
        <v>#REF!</v>
      </c>
      <c r="M100" t="e">
        <f>AND(#REF!,"AAAAAG64Hww=")</f>
        <v>#REF!</v>
      </c>
      <c r="N100" t="e">
        <f>AND(#REF!,"AAAAAG64Hw0=")</f>
        <v>#REF!</v>
      </c>
      <c r="O100" t="e">
        <f>AND(#REF!,"AAAAAG64Hw4=")</f>
        <v>#REF!</v>
      </c>
      <c r="P100" t="e">
        <f>AND(#REF!,"AAAAAG64Hw8=")</f>
        <v>#REF!</v>
      </c>
      <c r="Q100" t="e">
        <f>AND(#REF!,"AAAAAG64HxA=")</f>
        <v>#REF!</v>
      </c>
      <c r="R100" t="e">
        <f>AND(#REF!,"AAAAAG64HxE=")</f>
        <v>#REF!</v>
      </c>
      <c r="S100" t="e">
        <f>IF(#REF!,"AAAAAG64HxI=",0)</f>
        <v>#REF!</v>
      </c>
      <c r="T100" t="e">
        <f>AND(#REF!,"AAAAAG64HxM=")</f>
        <v>#REF!</v>
      </c>
      <c r="U100" t="e">
        <f>AND(#REF!,"AAAAAG64HxQ=")</f>
        <v>#REF!</v>
      </c>
      <c r="V100" t="e">
        <f>AND(#REF!,"AAAAAG64HxU=")</f>
        <v>#REF!</v>
      </c>
      <c r="W100" t="e">
        <f>AND(#REF!,"AAAAAG64HxY=")</f>
        <v>#REF!</v>
      </c>
      <c r="X100" t="e">
        <f>AND(#REF!,"AAAAAG64Hxc=")</f>
        <v>#REF!</v>
      </c>
      <c r="Y100" t="e">
        <f>AND(#REF!,"AAAAAG64Hxg=")</f>
        <v>#REF!</v>
      </c>
      <c r="Z100" t="e">
        <f>AND(#REF!,"AAAAAG64Hxk=")</f>
        <v>#REF!</v>
      </c>
      <c r="AA100" t="e">
        <f>AND(#REF!,"AAAAAG64Hxo=")</f>
        <v>#REF!</v>
      </c>
      <c r="AB100" t="e">
        <f>IF(#REF!,"AAAAAG64Hxs=",0)</f>
        <v>#REF!</v>
      </c>
      <c r="AC100" t="e">
        <f>AND(#REF!,"AAAAAG64Hxw=")</f>
        <v>#REF!</v>
      </c>
      <c r="AD100" t="e">
        <f>AND(#REF!,"AAAAAG64Hx0=")</f>
        <v>#REF!</v>
      </c>
      <c r="AE100" t="e">
        <f>AND(#REF!,"AAAAAG64Hx4=")</f>
        <v>#REF!</v>
      </c>
      <c r="AF100" t="e">
        <f>AND(#REF!,"AAAAAG64Hx8=")</f>
        <v>#REF!</v>
      </c>
      <c r="AG100" t="e">
        <f>AND(#REF!,"AAAAAG64HyA=")</f>
        <v>#REF!</v>
      </c>
      <c r="AH100" t="e">
        <f>AND(#REF!,"AAAAAG64HyE=")</f>
        <v>#REF!</v>
      </c>
      <c r="AI100" t="e">
        <f>AND(#REF!,"AAAAAG64HyI=")</f>
        <v>#REF!</v>
      </c>
      <c r="AJ100" t="e">
        <f>AND(#REF!,"AAAAAG64HyM=")</f>
        <v>#REF!</v>
      </c>
      <c r="AK100" t="e">
        <f>IF(#REF!,"AAAAAG64HyQ=",0)</f>
        <v>#REF!</v>
      </c>
      <c r="AL100" t="e">
        <f>AND(#REF!,"AAAAAG64HyU=")</f>
        <v>#REF!</v>
      </c>
      <c r="AM100" t="e">
        <f>AND(#REF!,"AAAAAG64HyY=")</f>
        <v>#REF!</v>
      </c>
      <c r="AN100" t="e">
        <f>AND(#REF!,"AAAAAG64Hyc=")</f>
        <v>#REF!</v>
      </c>
      <c r="AO100" t="e">
        <f>AND(#REF!,"AAAAAG64Hyg=")</f>
        <v>#REF!</v>
      </c>
      <c r="AP100" t="e">
        <f>AND(#REF!,"AAAAAG64Hyk=")</f>
        <v>#REF!</v>
      </c>
      <c r="AQ100" t="e">
        <f>AND(#REF!,"AAAAAG64Hyo=")</f>
        <v>#REF!</v>
      </c>
      <c r="AR100" t="e">
        <f>AND(#REF!,"AAAAAG64Hys=")</f>
        <v>#REF!</v>
      </c>
      <c r="AS100" t="e">
        <f>AND(#REF!,"AAAAAG64Hyw=")</f>
        <v>#REF!</v>
      </c>
      <c r="AT100" t="e">
        <f>IF(#REF!,"AAAAAG64Hy0=",0)</f>
        <v>#REF!</v>
      </c>
      <c r="AU100" t="e">
        <f>AND(#REF!,"AAAAAG64Hy4=")</f>
        <v>#REF!</v>
      </c>
      <c r="AV100" t="e">
        <f>AND(#REF!,"AAAAAG64Hy8=")</f>
        <v>#REF!</v>
      </c>
      <c r="AW100" t="e">
        <f>AND(#REF!,"AAAAAG64HzA=")</f>
        <v>#REF!</v>
      </c>
      <c r="AX100" t="e">
        <f>AND(#REF!,"AAAAAG64HzE=")</f>
        <v>#REF!</v>
      </c>
      <c r="AY100" t="e">
        <f>AND(#REF!,"AAAAAG64HzI=")</f>
        <v>#REF!</v>
      </c>
      <c r="AZ100" t="e">
        <f>AND(#REF!,"AAAAAG64HzM=")</f>
        <v>#REF!</v>
      </c>
      <c r="BA100" t="e">
        <f>AND(#REF!,"AAAAAG64HzQ=")</f>
        <v>#REF!</v>
      </c>
      <c r="BB100" t="e">
        <f>AND(#REF!,"AAAAAG64HzU=")</f>
        <v>#REF!</v>
      </c>
      <c r="BC100" t="e">
        <f>IF(#REF!,"AAAAAG64HzY=",0)</f>
        <v>#REF!</v>
      </c>
      <c r="BD100" t="e">
        <f>AND(#REF!,"AAAAAG64Hzc=")</f>
        <v>#REF!</v>
      </c>
      <c r="BE100" t="e">
        <f>AND(#REF!,"AAAAAG64Hzg=")</f>
        <v>#REF!</v>
      </c>
      <c r="BF100" t="e">
        <f>AND(#REF!,"AAAAAG64Hzk=")</f>
        <v>#REF!</v>
      </c>
      <c r="BG100" t="e">
        <f>AND(#REF!,"AAAAAG64Hzo=")</f>
        <v>#REF!</v>
      </c>
      <c r="BH100" t="e">
        <f>AND(#REF!,"AAAAAG64Hzs=")</f>
        <v>#REF!</v>
      </c>
      <c r="BI100" t="e">
        <f>AND(#REF!,"AAAAAG64Hzw=")</f>
        <v>#REF!</v>
      </c>
      <c r="BJ100" t="e">
        <f>AND(#REF!,"AAAAAG64Hz0=")</f>
        <v>#REF!</v>
      </c>
      <c r="BK100" t="e">
        <f>AND(#REF!,"AAAAAG64Hz4=")</f>
        <v>#REF!</v>
      </c>
      <c r="BL100" t="e">
        <f>IF(#REF!,"AAAAAG64Hz8=",0)</f>
        <v>#REF!</v>
      </c>
      <c r="BM100" t="e">
        <f>AND(#REF!,"AAAAAG64H0A=")</f>
        <v>#REF!</v>
      </c>
      <c r="BN100" t="e">
        <f>AND(#REF!,"AAAAAG64H0E=")</f>
        <v>#REF!</v>
      </c>
      <c r="BO100" t="e">
        <f>AND(#REF!,"AAAAAG64H0I=")</f>
        <v>#REF!</v>
      </c>
      <c r="BP100" t="e">
        <f>AND(#REF!,"AAAAAG64H0M=")</f>
        <v>#REF!</v>
      </c>
      <c r="BQ100" t="e">
        <f>AND(#REF!,"AAAAAG64H0Q=")</f>
        <v>#REF!</v>
      </c>
      <c r="BR100" t="e">
        <f>AND(#REF!,"AAAAAG64H0U=")</f>
        <v>#REF!</v>
      </c>
      <c r="BS100" t="e">
        <f>AND(#REF!,"AAAAAG64H0Y=")</f>
        <v>#REF!</v>
      </c>
      <c r="BT100" t="e">
        <f>AND(#REF!,"AAAAAG64H0c=")</f>
        <v>#REF!</v>
      </c>
      <c r="BU100" t="e">
        <f>IF(#REF!,"AAAAAG64H0g=",0)</f>
        <v>#REF!</v>
      </c>
      <c r="BV100" t="e">
        <f>AND(#REF!,"AAAAAG64H0k=")</f>
        <v>#REF!</v>
      </c>
      <c r="BW100" t="e">
        <f>AND(#REF!,"AAAAAG64H0o=")</f>
        <v>#REF!</v>
      </c>
      <c r="BX100" t="e">
        <f>AND(#REF!,"AAAAAG64H0s=")</f>
        <v>#REF!</v>
      </c>
      <c r="BY100" t="e">
        <f>AND(#REF!,"AAAAAG64H0w=")</f>
        <v>#REF!</v>
      </c>
      <c r="BZ100" t="e">
        <f>AND(#REF!,"AAAAAG64H00=")</f>
        <v>#REF!</v>
      </c>
      <c r="CA100" t="e">
        <f>AND(#REF!,"AAAAAG64H04=")</f>
        <v>#REF!</v>
      </c>
      <c r="CB100" t="e">
        <f>AND(#REF!,"AAAAAG64H08=")</f>
        <v>#REF!</v>
      </c>
      <c r="CC100" t="e">
        <f>AND(#REF!,"AAAAAG64H1A=")</f>
        <v>#REF!</v>
      </c>
      <c r="CD100" t="e">
        <f>IF(#REF!,"AAAAAG64H1E=",0)</f>
        <v>#REF!</v>
      </c>
      <c r="CE100" t="e">
        <f>AND(#REF!,"AAAAAG64H1I=")</f>
        <v>#REF!</v>
      </c>
      <c r="CF100" t="e">
        <f>AND(#REF!,"AAAAAG64H1M=")</f>
        <v>#REF!</v>
      </c>
      <c r="CG100" t="e">
        <f>AND(#REF!,"AAAAAG64H1Q=")</f>
        <v>#REF!</v>
      </c>
      <c r="CH100" t="e">
        <f>AND(#REF!,"AAAAAG64H1U=")</f>
        <v>#REF!</v>
      </c>
      <c r="CI100" t="e">
        <f>AND(#REF!,"AAAAAG64H1Y=")</f>
        <v>#REF!</v>
      </c>
      <c r="CJ100" t="e">
        <f>AND(#REF!,"AAAAAG64H1c=")</f>
        <v>#REF!</v>
      </c>
      <c r="CK100" t="e">
        <f>AND(#REF!,"AAAAAG64H1g=")</f>
        <v>#REF!</v>
      </c>
      <c r="CL100" t="e">
        <f>AND(#REF!,"AAAAAG64H1k=")</f>
        <v>#REF!</v>
      </c>
      <c r="CM100" t="e">
        <f>IF(#REF!,"AAAAAG64H1o=",0)</f>
        <v>#REF!</v>
      </c>
      <c r="CN100" t="e">
        <f>AND(#REF!,"AAAAAG64H1s=")</f>
        <v>#REF!</v>
      </c>
      <c r="CO100" t="e">
        <f>AND(#REF!,"AAAAAG64H1w=")</f>
        <v>#REF!</v>
      </c>
      <c r="CP100" t="e">
        <f>AND(#REF!,"AAAAAG64H10=")</f>
        <v>#REF!</v>
      </c>
      <c r="CQ100" t="e">
        <f>AND(#REF!,"AAAAAG64H14=")</f>
        <v>#REF!</v>
      </c>
      <c r="CR100" t="e">
        <f>AND(#REF!,"AAAAAG64H18=")</f>
        <v>#REF!</v>
      </c>
      <c r="CS100" t="e">
        <f>AND(#REF!,"AAAAAG64H2A=")</f>
        <v>#REF!</v>
      </c>
      <c r="CT100" t="e">
        <f>AND(#REF!,"AAAAAG64H2E=")</f>
        <v>#REF!</v>
      </c>
      <c r="CU100" t="e">
        <f>AND(#REF!,"AAAAAG64H2I=")</f>
        <v>#REF!</v>
      </c>
      <c r="CV100" t="e">
        <f>IF(#REF!,"AAAAAG64H2M=",0)</f>
        <v>#REF!</v>
      </c>
      <c r="CW100" t="e">
        <f>AND(#REF!,"AAAAAG64H2Q=")</f>
        <v>#REF!</v>
      </c>
      <c r="CX100" t="e">
        <f>AND(#REF!,"AAAAAG64H2U=")</f>
        <v>#REF!</v>
      </c>
      <c r="CY100" t="e">
        <f>AND(#REF!,"AAAAAG64H2Y=")</f>
        <v>#REF!</v>
      </c>
      <c r="CZ100" t="e">
        <f>AND(#REF!,"AAAAAG64H2c=")</f>
        <v>#REF!</v>
      </c>
      <c r="DA100" t="e">
        <f>AND(#REF!,"AAAAAG64H2g=")</f>
        <v>#REF!</v>
      </c>
      <c r="DB100" t="e">
        <f>AND(#REF!,"AAAAAG64H2k=")</f>
        <v>#REF!</v>
      </c>
      <c r="DC100" t="e">
        <f>AND(#REF!,"AAAAAG64H2o=")</f>
        <v>#REF!</v>
      </c>
      <c r="DD100" t="e">
        <f>AND(#REF!,"AAAAAG64H2s=")</f>
        <v>#REF!</v>
      </c>
      <c r="DE100" t="e">
        <f>IF(#REF!,"AAAAAG64H2w=",0)</f>
        <v>#REF!</v>
      </c>
      <c r="DF100" t="e">
        <f>AND(#REF!,"AAAAAG64H20=")</f>
        <v>#REF!</v>
      </c>
      <c r="DG100" t="e">
        <f>AND(#REF!,"AAAAAG64H24=")</f>
        <v>#REF!</v>
      </c>
      <c r="DH100" t="e">
        <f>AND(#REF!,"AAAAAG64H28=")</f>
        <v>#REF!</v>
      </c>
      <c r="DI100" t="e">
        <f>AND(#REF!,"AAAAAG64H3A=")</f>
        <v>#REF!</v>
      </c>
      <c r="DJ100" t="e">
        <f>AND(#REF!,"AAAAAG64H3E=")</f>
        <v>#REF!</v>
      </c>
      <c r="DK100" t="e">
        <f>AND(#REF!,"AAAAAG64H3I=")</f>
        <v>#REF!</v>
      </c>
      <c r="DL100" t="e">
        <f>AND(#REF!,"AAAAAG64H3M=")</f>
        <v>#REF!</v>
      </c>
      <c r="DM100" t="e">
        <f>AND(#REF!,"AAAAAG64H3Q=")</f>
        <v>#REF!</v>
      </c>
      <c r="DN100" t="e">
        <f>IF(#REF!,"AAAAAG64H3U=",0)</f>
        <v>#REF!</v>
      </c>
      <c r="DO100" t="e">
        <f>AND(#REF!,"AAAAAG64H3Y=")</f>
        <v>#REF!</v>
      </c>
      <c r="DP100" t="e">
        <f>AND(#REF!,"AAAAAG64H3c=")</f>
        <v>#REF!</v>
      </c>
      <c r="DQ100" t="e">
        <f>AND(#REF!,"AAAAAG64H3g=")</f>
        <v>#REF!</v>
      </c>
      <c r="DR100" t="e">
        <f>AND(#REF!,"AAAAAG64H3k=")</f>
        <v>#REF!</v>
      </c>
      <c r="DS100" t="e">
        <f>AND(#REF!,"AAAAAG64H3o=")</f>
        <v>#REF!</v>
      </c>
      <c r="DT100" t="e">
        <f>AND(#REF!,"AAAAAG64H3s=")</f>
        <v>#REF!</v>
      </c>
      <c r="DU100" t="e">
        <f>AND(#REF!,"AAAAAG64H3w=")</f>
        <v>#REF!</v>
      </c>
      <c r="DV100" t="e">
        <f>AND(#REF!,"AAAAAG64H30=")</f>
        <v>#REF!</v>
      </c>
      <c r="DW100" t="e">
        <f>IF(#REF!,"AAAAAG64H34=",0)</f>
        <v>#REF!</v>
      </c>
      <c r="DX100" t="e">
        <f>AND(#REF!,"AAAAAG64H38=")</f>
        <v>#REF!</v>
      </c>
      <c r="DY100" t="e">
        <f>AND(#REF!,"AAAAAG64H4A=")</f>
        <v>#REF!</v>
      </c>
      <c r="DZ100" t="e">
        <f>AND(#REF!,"AAAAAG64H4E=")</f>
        <v>#REF!</v>
      </c>
      <c r="EA100" t="e">
        <f>AND(#REF!,"AAAAAG64H4I=")</f>
        <v>#REF!</v>
      </c>
      <c r="EB100" t="e">
        <f>AND(#REF!,"AAAAAG64H4M=")</f>
        <v>#REF!</v>
      </c>
      <c r="EC100" t="e">
        <f>AND(#REF!,"AAAAAG64H4Q=")</f>
        <v>#REF!</v>
      </c>
      <c r="ED100" t="e">
        <f>AND(#REF!,"AAAAAG64H4U=")</f>
        <v>#REF!</v>
      </c>
      <c r="EE100" t="e">
        <f>AND(#REF!,"AAAAAG64H4Y=")</f>
        <v>#REF!</v>
      </c>
      <c r="EF100" t="e">
        <f>IF(#REF!,"AAAAAG64H4c=",0)</f>
        <v>#REF!</v>
      </c>
      <c r="EG100" t="e">
        <f>AND(#REF!,"AAAAAG64H4g=")</f>
        <v>#REF!</v>
      </c>
      <c r="EH100" t="e">
        <f>AND(#REF!,"AAAAAG64H4k=")</f>
        <v>#REF!</v>
      </c>
      <c r="EI100" t="e">
        <f>AND(#REF!,"AAAAAG64H4o=")</f>
        <v>#REF!</v>
      </c>
      <c r="EJ100" t="e">
        <f>AND(#REF!,"AAAAAG64H4s=")</f>
        <v>#REF!</v>
      </c>
      <c r="EK100" t="e">
        <f>AND(#REF!,"AAAAAG64H4w=")</f>
        <v>#REF!</v>
      </c>
      <c r="EL100" t="e">
        <f>AND(#REF!,"AAAAAG64H40=")</f>
        <v>#REF!</v>
      </c>
      <c r="EM100" t="e">
        <f>AND(#REF!,"AAAAAG64H44=")</f>
        <v>#REF!</v>
      </c>
      <c r="EN100" t="e">
        <f>AND(#REF!,"AAAAAG64H48=")</f>
        <v>#REF!</v>
      </c>
      <c r="EO100" t="e">
        <f>IF(#REF!,"AAAAAG64H5A=",0)</f>
        <v>#REF!</v>
      </c>
      <c r="EP100" t="e">
        <f>AND(#REF!,"AAAAAG64H5E=")</f>
        <v>#REF!</v>
      </c>
      <c r="EQ100" t="e">
        <f>AND(#REF!,"AAAAAG64H5I=")</f>
        <v>#REF!</v>
      </c>
      <c r="ER100" t="e">
        <f>AND(#REF!,"AAAAAG64H5M=")</f>
        <v>#REF!</v>
      </c>
      <c r="ES100" t="e">
        <f>AND(#REF!,"AAAAAG64H5Q=")</f>
        <v>#REF!</v>
      </c>
      <c r="ET100" t="e">
        <f>AND(#REF!,"AAAAAG64H5U=")</f>
        <v>#REF!</v>
      </c>
      <c r="EU100" t="e">
        <f>AND(#REF!,"AAAAAG64H5Y=")</f>
        <v>#REF!</v>
      </c>
      <c r="EV100" t="e">
        <f>AND(#REF!,"AAAAAG64H5c=")</f>
        <v>#REF!</v>
      </c>
      <c r="EW100" t="e">
        <f>AND(#REF!,"AAAAAG64H5g=")</f>
        <v>#REF!</v>
      </c>
      <c r="EX100" t="e">
        <f>IF(#REF!,"AAAAAG64H5k=",0)</f>
        <v>#REF!</v>
      </c>
      <c r="EY100" t="e">
        <f>AND(#REF!,"AAAAAG64H5o=")</f>
        <v>#REF!</v>
      </c>
      <c r="EZ100" t="e">
        <f>AND(#REF!,"AAAAAG64H5s=")</f>
        <v>#REF!</v>
      </c>
      <c r="FA100" t="e">
        <f>AND(#REF!,"AAAAAG64H5w=")</f>
        <v>#REF!</v>
      </c>
      <c r="FB100" t="e">
        <f>AND(#REF!,"AAAAAG64H50=")</f>
        <v>#REF!</v>
      </c>
      <c r="FC100" t="e">
        <f>AND(#REF!,"AAAAAG64H54=")</f>
        <v>#REF!</v>
      </c>
      <c r="FD100" t="e">
        <f>AND(#REF!,"AAAAAG64H58=")</f>
        <v>#REF!</v>
      </c>
      <c r="FE100" t="e">
        <f>AND(#REF!,"AAAAAG64H6A=")</f>
        <v>#REF!</v>
      </c>
      <c r="FF100" t="e">
        <f>AND(#REF!,"AAAAAG64H6E=")</f>
        <v>#REF!</v>
      </c>
      <c r="FG100" t="e">
        <f>IF(#REF!,"AAAAAG64H6I=",0)</f>
        <v>#REF!</v>
      </c>
      <c r="FH100" t="e">
        <f>AND(#REF!,"AAAAAG64H6M=")</f>
        <v>#REF!</v>
      </c>
      <c r="FI100" t="e">
        <f>AND(#REF!,"AAAAAG64H6Q=")</f>
        <v>#REF!</v>
      </c>
      <c r="FJ100" t="e">
        <f>AND(#REF!,"AAAAAG64H6U=")</f>
        <v>#REF!</v>
      </c>
      <c r="FK100" t="e">
        <f>AND(#REF!,"AAAAAG64H6Y=")</f>
        <v>#REF!</v>
      </c>
      <c r="FL100" t="e">
        <f>AND(#REF!,"AAAAAG64H6c=")</f>
        <v>#REF!</v>
      </c>
      <c r="FM100" t="e">
        <f>AND(#REF!,"AAAAAG64H6g=")</f>
        <v>#REF!</v>
      </c>
      <c r="FN100" t="e">
        <f>AND(#REF!,"AAAAAG64H6k=")</f>
        <v>#REF!</v>
      </c>
      <c r="FO100" t="e">
        <f>AND(#REF!,"AAAAAG64H6o=")</f>
        <v>#REF!</v>
      </c>
      <c r="FP100" t="e">
        <f>IF(#REF!,"AAAAAG64H6s=",0)</f>
        <v>#REF!</v>
      </c>
      <c r="FQ100" t="e">
        <f>AND(#REF!,"AAAAAG64H6w=")</f>
        <v>#REF!</v>
      </c>
      <c r="FR100" t="e">
        <f>AND(#REF!,"AAAAAG64H60=")</f>
        <v>#REF!</v>
      </c>
      <c r="FS100" t="e">
        <f>AND(#REF!,"AAAAAG64H64=")</f>
        <v>#REF!</v>
      </c>
      <c r="FT100" t="e">
        <f>AND(#REF!,"AAAAAG64H68=")</f>
        <v>#REF!</v>
      </c>
      <c r="FU100" t="e">
        <f>AND(#REF!,"AAAAAG64H7A=")</f>
        <v>#REF!</v>
      </c>
      <c r="FV100" t="e">
        <f>AND(#REF!,"AAAAAG64H7E=")</f>
        <v>#REF!</v>
      </c>
      <c r="FW100" t="e">
        <f>AND(#REF!,"AAAAAG64H7I=")</f>
        <v>#REF!</v>
      </c>
      <c r="FX100" t="e">
        <f>AND(#REF!,"AAAAAG64H7M=")</f>
        <v>#REF!</v>
      </c>
      <c r="FY100" t="e">
        <f>IF(#REF!,"AAAAAG64H7Q=",0)</f>
        <v>#REF!</v>
      </c>
      <c r="FZ100" t="e">
        <f>AND(#REF!,"AAAAAG64H7U=")</f>
        <v>#REF!</v>
      </c>
      <c r="GA100" t="e">
        <f>AND(#REF!,"AAAAAG64H7Y=")</f>
        <v>#REF!</v>
      </c>
      <c r="GB100" t="e">
        <f>AND(#REF!,"AAAAAG64H7c=")</f>
        <v>#REF!</v>
      </c>
      <c r="GC100" t="e">
        <f>AND(#REF!,"AAAAAG64H7g=")</f>
        <v>#REF!</v>
      </c>
      <c r="GD100" t="e">
        <f>AND(#REF!,"AAAAAG64H7k=")</f>
        <v>#REF!</v>
      </c>
      <c r="GE100" t="e">
        <f>AND(#REF!,"AAAAAG64H7o=")</f>
        <v>#REF!</v>
      </c>
      <c r="GF100" t="e">
        <f>AND(#REF!,"AAAAAG64H7s=")</f>
        <v>#REF!</v>
      </c>
      <c r="GG100" t="e">
        <f>AND(#REF!,"AAAAAG64H7w=")</f>
        <v>#REF!</v>
      </c>
      <c r="GH100" t="e">
        <f>IF(#REF!,"AAAAAG64H70=",0)</f>
        <v>#REF!</v>
      </c>
      <c r="GI100" t="e">
        <f>AND(#REF!,"AAAAAG64H74=")</f>
        <v>#REF!</v>
      </c>
      <c r="GJ100" t="e">
        <f>AND(#REF!,"AAAAAG64H78=")</f>
        <v>#REF!</v>
      </c>
      <c r="GK100" t="e">
        <f>AND(#REF!,"AAAAAG64H8A=")</f>
        <v>#REF!</v>
      </c>
      <c r="GL100" t="e">
        <f>AND(#REF!,"AAAAAG64H8E=")</f>
        <v>#REF!</v>
      </c>
      <c r="GM100" t="e">
        <f>AND(#REF!,"AAAAAG64H8I=")</f>
        <v>#REF!</v>
      </c>
      <c r="GN100" t="e">
        <f>AND(#REF!,"AAAAAG64H8M=")</f>
        <v>#REF!</v>
      </c>
      <c r="GO100" t="e">
        <f>AND(#REF!,"AAAAAG64H8Q=")</f>
        <v>#REF!</v>
      </c>
      <c r="GP100" t="e">
        <f>AND(#REF!,"AAAAAG64H8U=")</f>
        <v>#REF!</v>
      </c>
      <c r="GQ100" t="e">
        <f>IF(#REF!,"AAAAAG64H8Y=",0)</f>
        <v>#REF!</v>
      </c>
      <c r="GR100" t="e">
        <f>AND(#REF!,"AAAAAG64H8c=")</f>
        <v>#REF!</v>
      </c>
      <c r="GS100" t="e">
        <f>AND(#REF!,"AAAAAG64H8g=")</f>
        <v>#REF!</v>
      </c>
      <c r="GT100" t="e">
        <f>AND(#REF!,"AAAAAG64H8k=")</f>
        <v>#REF!</v>
      </c>
      <c r="GU100" t="e">
        <f>AND(#REF!,"AAAAAG64H8o=")</f>
        <v>#REF!</v>
      </c>
      <c r="GV100" t="e">
        <f>AND(#REF!,"AAAAAG64H8s=")</f>
        <v>#REF!</v>
      </c>
      <c r="GW100" t="e">
        <f>AND(#REF!,"AAAAAG64H8w=")</f>
        <v>#REF!</v>
      </c>
      <c r="GX100" t="e">
        <f>AND(#REF!,"AAAAAG64H80=")</f>
        <v>#REF!</v>
      </c>
      <c r="GY100" t="e">
        <f>AND(#REF!,"AAAAAG64H84=")</f>
        <v>#REF!</v>
      </c>
      <c r="GZ100" t="e">
        <f>IF(#REF!,"AAAAAG64H88=",0)</f>
        <v>#REF!</v>
      </c>
      <c r="HA100" t="e">
        <f>AND(#REF!,"AAAAAG64H9A=")</f>
        <v>#REF!</v>
      </c>
      <c r="HB100" t="e">
        <f>AND(#REF!,"AAAAAG64H9E=")</f>
        <v>#REF!</v>
      </c>
      <c r="HC100" t="e">
        <f>AND(#REF!,"AAAAAG64H9I=")</f>
        <v>#REF!</v>
      </c>
      <c r="HD100" t="e">
        <f>AND(#REF!,"AAAAAG64H9M=")</f>
        <v>#REF!</v>
      </c>
      <c r="HE100" t="e">
        <f>AND(#REF!,"AAAAAG64H9Q=")</f>
        <v>#REF!</v>
      </c>
      <c r="HF100" t="e">
        <f>AND(#REF!,"AAAAAG64H9U=")</f>
        <v>#REF!</v>
      </c>
      <c r="HG100" t="e">
        <f>AND(#REF!,"AAAAAG64H9Y=")</f>
        <v>#REF!</v>
      </c>
      <c r="HH100" t="e">
        <f>AND(#REF!,"AAAAAG64H9c=")</f>
        <v>#REF!</v>
      </c>
      <c r="HI100" t="e">
        <f>IF(#REF!,"AAAAAG64H9g=",0)</f>
        <v>#REF!</v>
      </c>
      <c r="HJ100" t="e">
        <f>AND(#REF!,"AAAAAG64H9k=")</f>
        <v>#REF!</v>
      </c>
      <c r="HK100" t="e">
        <f>AND(#REF!,"AAAAAG64H9o=")</f>
        <v>#REF!</v>
      </c>
      <c r="HL100" t="e">
        <f>AND(#REF!,"AAAAAG64H9s=")</f>
        <v>#REF!</v>
      </c>
      <c r="HM100" t="e">
        <f>AND(#REF!,"AAAAAG64H9w=")</f>
        <v>#REF!</v>
      </c>
      <c r="HN100" t="e">
        <f>AND(#REF!,"AAAAAG64H90=")</f>
        <v>#REF!</v>
      </c>
      <c r="HO100" t="e">
        <f>AND(#REF!,"AAAAAG64H94=")</f>
        <v>#REF!</v>
      </c>
      <c r="HP100" t="e">
        <f>AND(#REF!,"AAAAAG64H98=")</f>
        <v>#REF!</v>
      </c>
      <c r="HQ100" t="e">
        <f>AND(#REF!,"AAAAAG64H+A=")</f>
        <v>#REF!</v>
      </c>
      <c r="HR100" t="e">
        <f>IF(#REF!,"AAAAAG64H+E=",0)</f>
        <v>#REF!</v>
      </c>
      <c r="HS100" t="e">
        <f>AND(#REF!,"AAAAAG64H+I=")</f>
        <v>#REF!</v>
      </c>
      <c r="HT100" t="e">
        <f>AND(#REF!,"AAAAAG64H+M=")</f>
        <v>#REF!</v>
      </c>
      <c r="HU100" t="e">
        <f>AND(#REF!,"AAAAAG64H+Q=")</f>
        <v>#REF!</v>
      </c>
      <c r="HV100" t="e">
        <f>AND(#REF!,"AAAAAG64H+U=")</f>
        <v>#REF!</v>
      </c>
      <c r="HW100" t="e">
        <f>AND(#REF!,"AAAAAG64H+Y=")</f>
        <v>#REF!</v>
      </c>
      <c r="HX100" t="e">
        <f>AND(#REF!,"AAAAAG64H+c=")</f>
        <v>#REF!</v>
      </c>
      <c r="HY100" t="e">
        <f>AND(#REF!,"AAAAAG64H+g=")</f>
        <v>#REF!</v>
      </c>
      <c r="HZ100" t="e">
        <f>AND(#REF!,"AAAAAG64H+k=")</f>
        <v>#REF!</v>
      </c>
      <c r="IA100" t="e">
        <f>IF(#REF!,"AAAAAG64H+o=",0)</f>
        <v>#REF!</v>
      </c>
      <c r="IB100" t="e">
        <f>AND(#REF!,"AAAAAG64H+s=")</f>
        <v>#REF!</v>
      </c>
      <c r="IC100" t="e">
        <f>AND(#REF!,"AAAAAG64H+w=")</f>
        <v>#REF!</v>
      </c>
      <c r="ID100" t="e">
        <f>AND(#REF!,"AAAAAG64H+0=")</f>
        <v>#REF!</v>
      </c>
      <c r="IE100" t="e">
        <f>AND(#REF!,"AAAAAG64H+4=")</f>
        <v>#REF!</v>
      </c>
      <c r="IF100" t="e">
        <f>AND(#REF!,"AAAAAG64H+8=")</f>
        <v>#REF!</v>
      </c>
      <c r="IG100" t="e">
        <f>AND(#REF!,"AAAAAG64H/A=")</f>
        <v>#REF!</v>
      </c>
      <c r="IH100" t="e">
        <f>AND(#REF!,"AAAAAG64H/E=")</f>
        <v>#REF!</v>
      </c>
      <c r="II100" t="e">
        <f>AND(#REF!,"AAAAAG64H/I=")</f>
        <v>#REF!</v>
      </c>
      <c r="IJ100" t="e">
        <f>IF(#REF!,"AAAAAG64H/M=",0)</f>
        <v>#REF!</v>
      </c>
      <c r="IK100" t="e">
        <f>AND(#REF!,"AAAAAG64H/Q=")</f>
        <v>#REF!</v>
      </c>
      <c r="IL100" t="e">
        <f>AND(#REF!,"AAAAAG64H/U=")</f>
        <v>#REF!</v>
      </c>
      <c r="IM100" t="e">
        <f>AND(#REF!,"AAAAAG64H/Y=")</f>
        <v>#REF!</v>
      </c>
      <c r="IN100" t="e">
        <f>AND(#REF!,"AAAAAG64H/c=")</f>
        <v>#REF!</v>
      </c>
      <c r="IO100" t="e">
        <f>AND(#REF!,"AAAAAG64H/g=")</f>
        <v>#REF!</v>
      </c>
      <c r="IP100" t="e">
        <f>AND(#REF!,"AAAAAG64H/k=")</f>
        <v>#REF!</v>
      </c>
      <c r="IQ100" t="e">
        <f>AND(#REF!,"AAAAAG64H/o=")</f>
        <v>#REF!</v>
      </c>
      <c r="IR100" t="e">
        <f>AND(#REF!,"AAAAAG64H/s=")</f>
        <v>#REF!</v>
      </c>
      <c r="IS100" t="e">
        <f>IF(#REF!,"AAAAAG64H/w=",0)</f>
        <v>#REF!</v>
      </c>
      <c r="IT100" t="e">
        <f>AND(#REF!,"AAAAAG64H/0=")</f>
        <v>#REF!</v>
      </c>
      <c r="IU100" t="e">
        <f>AND(#REF!,"AAAAAG64H/4=")</f>
        <v>#REF!</v>
      </c>
      <c r="IV100" t="e">
        <f>AND(#REF!,"AAAAAG64H/8=")</f>
        <v>#REF!</v>
      </c>
    </row>
    <row r="101" spans="1:256" x14ac:dyDescent="0.25">
      <c r="A101" t="e">
        <f>AND(#REF!,"AAAAAH/f4AA=")</f>
        <v>#REF!</v>
      </c>
      <c r="B101" t="e">
        <f>AND(#REF!,"AAAAAH/f4AE=")</f>
        <v>#REF!</v>
      </c>
      <c r="C101" t="e">
        <f>AND(#REF!,"AAAAAH/f4AI=")</f>
        <v>#REF!</v>
      </c>
      <c r="D101" t="e">
        <f>AND(#REF!,"AAAAAH/f4AM=")</f>
        <v>#REF!</v>
      </c>
      <c r="E101" t="e">
        <f>AND(#REF!,"AAAAAH/f4AQ=")</f>
        <v>#REF!</v>
      </c>
      <c r="F101" t="e">
        <f>IF(#REF!,"AAAAAH/f4AU=",0)</f>
        <v>#REF!</v>
      </c>
      <c r="G101" t="e">
        <f>AND(#REF!,"AAAAAH/f4AY=")</f>
        <v>#REF!</v>
      </c>
      <c r="H101" t="e">
        <f>AND(#REF!,"AAAAAH/f4Ac=")</f>
        <v>#REF!</v>
      </c>
      <c r="I101" t="e">
        <f>AND(#REF!,"AAAAAH/f4Ag=")</f>
        <v>#REF!</v>
      </c>
      <c r="J101" t="e">
        <f>AND(#REF!,"AAAAAH/f4Ak=")</f>
        <v>#REF!</v>
      </c>
      <c r="K101" t="e">
        <f>AND(#REF!,"AAAAAH/f4Ao=")</f>
        <v>#REF!</v>
      </c>
      <c r="L101" t="e">
        <f>AND(#REF!,"AAAAAH/f4As=")</f>
        <v>#REF!</v>
      </c>
      <c r="M101" t="e">
        <f>AND(#REF!,"AAAAAH/f4Aw=")</f>
        <v>#REF!</v>
      </c>
      <c r="N101" t="e">
        <f>AND(#REF!,"AAAAAH/f4A0=")</f>
        <v>#REF!</v>
      </c>
      <c r="O101" t="e">
        <f>IF(#REF!,"AAAAAH/f4A4=",0)</f>
        <v>#REF!</v>
      </c>
      <c r="P101" t="e">
        <f>AND(#REF!,"AAAAAH/f4A8=")</f>
        <v>#REF!</v>
      </c>
      <c r="Q101" t="e">
        <f>AND(#REF!,"AAAAAH/f4BA=")</f>
        <v>#REF!</v>
      </c>
      <c r="R101" t="e">
        <f>AND(#REF!,"AAAAAH/f4BE=")</f>
        <v>#REF!</v>
      </c>
      <c r="S101" t="e">
        <f>AND(#REF!,"AAAAAH/f4BI=")</f>
        <v>#REF!</v>
      </c>
      <c r="T101" t="e">
        <f>AND(#REF!,"AAAAAH/f4BM=")</f>
        <v>#REF!</v>
      </c>
      <c r="U101" t="e">
        <f>AND(#REF!,"AAAAAH/f4BQ=")</f>
        <v>#REF!</v>
      </c>
      <c r="V101" t="e">
        <f>AND(#REF!,"AAAAAH/f4BU=")</f>
        <v>#REF!</v>
      </c>
      <c r="W101" t="e">
        <f>AND(#REF!,"AAAAAH/f4BY=")</f>
        <v>#REF!</v>
      </c>
      <c r="X101" t="e">
        <f>IF(#REF!,"AAAAAH/f4Bc=",0)</f>
        <v>#REF!</v>
      </c>
      <c r="Y101" t="e">
        <f>AND(#REF!,"AAAAAH/f4Bg=")</f>
        <v>#REF!</v>
      </c>
      <c r="Z101" t="e">
        <f>AND(#REF!,"AAAAAH/f4Bk=")</f>
        <v>#REF!</v>
      </c>
      <c r="AA101" t="e">
        <f>AND(#REF!,"AAAAAH/f4Bo=")</f>
        <v>#REF!</v>
      </c>
      <c r="AB101" t="e">
        <f>AND(#REF!,"AAAAAH/f4Bs=")</f>
        <v>#REF!</v>
      </c>
      <c r="AC101" t="e">
        <f>AND(#REF!,"AAAAAH/f4Bw=")</f>
        <v>#REF!</v>
      </c>
      <c r="AD101" t="e">
        <f>AND(#REF!,"AAAAAH/f4B0=")</f>
        <v>#REF!</v>
      </c>
      <c r="AE101" t="e">
        <f>AND(#REF!,"AAAAAH/f4B4=")</f>
        <v>#REF!</v>
      </c>
      <c r="AF101" t="e">
        <f>AND(#REF!,"AAAAAH/f4B8=")</f>
        <v>#REF!</v>
      </c>
      <c r="AG101" t="e">
        <f>IF(#REF!,"AAAAAH/f4CA=",0)</f>
        <v>#REF!</v>
      </c>
      <c r="AH101" t="e">
        <f>AND(#REF!,"AAAAAH/f4CE=")</f>
        <v>#REF!</v>
      </c>
      <c r="AI101" t="e">
        <f>AND(#REF!,"AAAAAH/f4CI=")</f>
        <v>#REF!</v>
      </c>
      <c r="AJ101" t="e">
        <f>AND(#REF!,"AAAAAH/f4CM=")</f>
        <v>#REF!</v>
      </c>
      <c r="AK101" t="e">
        <f>AND(#REF!,"AAAAAH/f4CQ=")</f>
        <v>#REF!</v>
      </c>
      <c r="AL101" t="e">
        <f>AND(#REF!,"AAAAAH/f4CU=")</f>
        <v>#REF!</v>
      </c>
      <c r="AM101" t="e">
        <f>AND(#REF!,"AAAAAH/f4CY=")</f>
        <v>#REF!</v>
      </c>
      <c r="AN101" t="e">
        <f>AND(#REF!,"AAAAAH/f4Cc=")</f>
        <v>#REF!</v>
      </c>
      <c r="AO101" t="e">
        <f>AND(#REF!,"AAAAAH/f4Cg=")</f>
        <v>#REF!</v>
      </c>
      <c r="AP101" t="e">
        <f>IF(#REF!,"AAAAAH/f4Ck=",0)</f>
        <v>#REF!</v>
      </c>
      <c r="AQ101" t="e">
        <f>AND(#REF!,"AAAAAH/f4Co=")</f>
        <v>#REF!</v>
      </c>
      <c r="AR101" t="e">
        <f>AND(#REF!,"AAAAAH/f4Cs=")</f>
        <v>#REF!</v>
      </c>
      <c r="AS101" t="e">
        <f>AND(#REF!,"AAAAAH/f4Cw=")</f>
        <v>#REF!</v>
      </c>
      <c r="AT101" t="e">
        <f>AND(#REF!,"AAAAAH/f4C0=")</f>
        <v>#REF!</v>
      </c>
      <c r="AU101" t="e">
        <f>AND(#REF!,"AAAAAH/f4C4=")</f>
        <v>#REF!</v>
      </c>
      <c r="AV101" t="e">
        <f>AND(#REF!,"AAAAAH/f4C8=")</f>
        <v>#REF!</v>
      </c>
      <c r="AW101" t="e">
        <f>AND(#REF!,"AAAAAH/f4DA=")</f>
        <v>#REF!</v>
      </c>
      <c r="AX101" t="e">
        <f>AND(#REF!,"AAAAAH/f4DE=")</f>
        <v>#REF!</v>
      </c>
      <c r="AY101" t="e">
        <f>IF(#REF!,"AAAAAH/f4DI=",0)</f>
        <v>#REF!</v>
      </c>
      <c r="AZ101" t="e">
        <f>AND(#REF!,"AAAAAH/f4DM=")</f>
        <v>#REF!</v>
      </c>
      <c r="BA101" t="e">
        <f>AND(#REF!,"AAAAAH/f4DQ=")</f>
        <v>#REF!</v>
      </c>
      <c r="BB101" t="e">
        <f>AND(#REF!,"AAAAAH/f4DU=")</f>
        <v>#REF!</v>
      </c>
      <c r="BC101" t="e">
        <f>AND(#REF!,"AAAAAH/f4DY=")</f>
        <v>#REF!</v>
      </c>
      <c r="BD101" t="e">
        <f>AND(#REF!,"AAAAAH/f4Dc=")</f>
        <v>#REF!</v>
      </c>
      <c r="BE101" t="e">
        <f>AND(#REF!,"AAAAAH/f4Dg=")</f>
        <v>#REF!</v>
      </c>
      <c r="BF101" t="e">
        <f>AND(#REF!,"AAAAAH/f4Dk=")</f>
        <v>#REF!</v>
      </c>
      <c r="BG101" t="e">
        <f>AND(#REF!,"AAAAAH/f4Do=")</f>
        <v>#REF!</v>
      </c>
      <c r="BH101" t="e">
        <f>IF(#REF!,"AAAAAH/f4Ds=",0)</f>
        <v>#REF!</v>
      </c>
      <c r="BI101" t="e">
        <f>AND(#REF!,"AAAAAH/f4Dw=")</f>
        <v>#REF!</v>
      </c>
      <c r="BJ101" t="e">
        <f>AND(#REF!,"AAAAAH/f4D0=")</f>
        <v>#REF!</v>
      </c>
      <c r="BK101" t="e">
        <f>AND(#REF!,"AAAAAH/f4D4=")</f>
        <v>#REF!</v>
      </c>
      <c r="BL101" t="e">
        <f>AND(#REF!,"AAAAAH/f4D8=")</f>
        <v>#REF!</v>
      </c>
      <c r="BM101" t="e">
        <f>AND(#REF!,"AAAAAH/f4EA=")</f>
        <v>#REF!</v>
      </c>
      <c r="BN101" t="e">
        <f>AND(#REF!,"AAAAAH/f4EE=")</f>
        <v>#REF!</v>
      </c>
      <c r="BO101" t="e">
        <f>AND(#REF!,"AAAAAH/f4EI=")</f>
        <v>#REF!</v>
      </c>
      <c r="BP101" t="e">
        <f>AND(#REF!,"AAAAAH/f4EM=")</f>
        <v>#REF!</v>
      </c>
      <c r="BQ101" t="e">
        <f>IF(#REF!,"AAAAAH/f4EQ=",0)</f>
        <v>#REF!</v>
      </c>
      <c r="BR101" t="e">
        <f>AND(#REF!,"AAAAAH/f4EU=")</f>
        <v>#REF!</v>
      </c>
      <c r="BS101" t="e">
        <f>AND(#REF!,"AAAAAH/f4EY=")</f>
        <v>#REF!</v>
      </c>
      <c r="BT101" t="e">
        <f>AND(#REF!,"AAAAAH/f4Ec=")</f>
        <v>#REF!</v>
      </c>
      <c r="BU101" t="e">
        <f>AND(#REF!,"AAAAAH/f4Eg=")</f>
        <v>#REF!</v>
      </c>
      <c r="BV101" t="e">
        <f>AND(#REF!,"AAAAAH/f4Ek=")</f>
        <v>#REF!</v>
      </c>
      <c r="BW101" t="e">
        <f>AND(#REF!,"AAAAAH/f4Eo=")</f>
        <v>#REF!</v>
      </c>
      <c r="BX101" t="e">
        <f>AND(#REF!,"AAAAAH/f4Es=")</f>
        <v>#REF!</v>
      </c>
      <c r="BY101" t="e">
        <f>AND(#REF!,"AAAAAH/f4Ew=")</f>
        <v>#REF!</v>
      </c>
      <c r="BZ101" t="e">
        <f>IF(#REF!,"AAAAAH/f4E0=",0)</f>
        <v>#REF!</v>
      </c>
      <c r="CA101" t="e">
        <f>AND(#REF!,"AAAAAH/f4E4=")</f>
        <v>#REF!</v>
      </c>
      <c r="CB101" t="e">
        <f>AND(#REF!,"AAAAAH/f4E8=")</f>
        <v>#REF!</v>
      </c>
      <c r="CC101" t="e">
        <f>AND(#REF!,"AAAAAH/f4FA=")</f>
        <v>#REF!</v>
      </c>
      <c r="CD101" t="e">
        <f>AND(#REF!,"AAAAAH/f4FE=")</f>
        <v>#REF!</v>
      </c>
      <c r="CE101" t="e">
        <f>AND(#REF!,"AAAAAH/f4FI=")</f>
        <v>#REF!</v>
      </c>
      <c r="CF101" t="e">
        <f>AND(#REF!,"AAAAAH/f4FM=")</f>
        <v>#REF!</v>
      </c>
      <c r="CG101" t="e">
        <f>AND(#REF!,"AAAAAH/f4FQ=")</f>
        <v>#REF!</v>
      </c>
      <c r="CH101" t="e">
        <f>AND(#REF!,"AAAAAH/f4FU=")</f>
        <v>#REF!</v>
      </c>
      <c r="CI101" t="e">
        <f>IF(#REF!,"AAAAAH/f4FY=",0)</f>
        <v>#REF!</v>
      </c>
      <c r="CJ101" t="e">
        <f>AND(#REF!,"AAAAAH/f4Fc=")</f>
        <v>#REF!</v>
      </c>
      <c r="CK101" t="e">
        <f>AND(#REF!,"AAAAAH/f4Fg=")</f>
        <v>#REF!</v>
      </c>
      <c r="CL101" t="e">
        <f>AND(#REF!,"AAAAAH/f4Fk=")</f>
        <v>#REF!</v>
      </c>
      <c r="CM101" t="e">
        <f>AND(#REF!,"AAAAAH/f4Fo=")</f>
        <v>#REF!</v>
      </c>
      <c r="CN101" t="e">
        <f>AND(#REF!,"AAAAAH/f4Fs=")</f>
        <v>#REF!</v>
      </c>
      <c r="CO101" t="e">
        <f>AND(#REF!,"AAAAAH/f4Fw=")</f>
        <v>#REF!</v>
      </c>
      <c r="CP101" t="e">
        <f>AND(#REF!,"AAAAAH/f4F0=")</f>
        <v>#REF!</v>
      </c>
      <c r="CQ101" t="e">
        <f>AND(#REF!,"AAAAAH/f4F4=")</f>
        <v>#REF!</v>
      </c>
      <c r="CR101" t="e">
        <f>IF(#REF!,"AAAAAH/f4F8=",0)</f>
        <v>#REF!</v>
      </c>
      <c r="CS101" t="e">
        <f>AND(#REF!,"AAAAAH/f4GA=")</f>
        <v>#REF!</v>
      </c>
      <c r="CT101" t="e">
        <f>AND(#REF!,"AAAAAH/f4GE=")</f>
        <v>#REF!</v>
      </c>
      <c r="CU101" t="e">
        <f>AND(#REF!,"AAAAAH/f4GI=")</f>
        <v>#REF!</v>
      </c>
      <c r="CV101" t="e">
        <f>AND(#REF!,"AAAAAH/f4GM=")</f>
        <v>#REF!</v>
      </c>
      <c r="CW101" t="e">
        <f>AND(#REF!,"AAAAAH/f4GQ=")</f>
        <v>#REF!</v>
      </c>
      <c r="CX101" t="e">
        <f>AND(#REF!,"AAAAAH/f4GU=")</f>
        <v>#REF!</v>
      </c>
      <c r="CY101" t="e">
        <f>AND(#REF!,"AAAAAH/f4GY=")</f>
        <v>#REF!</v>
      </c>
      <c r="CZ101" t="e">
        <f>AND(#REF!,"AAAAAH/f4Gc=")</f>
        <v>#REF!</v>
      </c>
      <c r="DA101" t="e">
        <f>IF(#REF!,"AAAAAH/f4Gg=",0)</f>
        <v>#REF!</v>
      </c>
      <c r="DB101" t="e">
        <f>AND(#REF!,"AAAAAH/f4Gk=")</f>
        <v>#REF!</v>
      </c>
      <c r="DC101" t="e">
        <f>AND(#REF!,"AAAAAH/f4Go=")</f>
        <v>#REF!</v>
      </c>
      <c r="DD101" t="e">
        <f>AND(#REF!,"AAAAAH/f4Gs=")</f>
        <v>#REF!</v>
      </c>
      <c r="DE101" t="e">
        <f>AND(#REF!,"AAAAAH/f4Gw=")</f>
        <v>#REF!</v>
      </c>
      <c r="DF101" t="e">
        <f>AND(#REF!,"AAAAAH/f4G0=")</f>
        <v>#REF!</v>
      </c>
      <c r="DG101" t="e">
        <f>AND(#REF!,"AAAAAH/f4G4=")</f>
        <v>#REF!</v>
      </c>
      <c r="DH101" t="e">
        <f>AND(#REF!,"AAAAAH/f4G8=")</f>
        <v>#REF!</v>
      </c>
      <c r="DI101" t="e">
        <f>AND(#REF!,"AAAAAH/f4HA=")</f>
        <v>#REF!</v>
      </c>
      <c r="DJ101" t="e">
        <f>IF(#REF!,"AAAAAH/f4HE=",0)</f>
        <v>#REF!</v>
      </c>
      <c r="DK101" t="e">
        <f>AND(#REF!,"AAAAAH/f4HI=")</f>
        <v>#REF!</v>
      </c>
      <c r="DL101" t="e">
        <f>AND(#REF!,"AAAAAH/f4HM=")</f>
        <v>#REF!</v>
      </c>
      <c r="DM101" t="e">
        <f>AND(#REF!,"AAAAAH/f4HQ=")</f>
        <v>#REF!</v>
      </c>
      <c r="DN101" t="e">
        <f>AND(#REF!,"AAAAAH/f4HU=")</f>
        <v>#REF!</v>
      </c>
      <c r="DO101" t="e">
        <f>AND(#REF!,"AAAAAH/f4HY=")</f>
        <v>#REF!</v>
      </c>
      <c r="DP101" t="e">
        <f>AND(#REF!,"AAAAAH/f4Hc=")</f>
        <v>#REF!</v>
      </c>
      <c r="DQ101" t="e">
        <f>AND(#REF!,"AAAAAH/f4Hg=")</f>
        <v>#REF!</v>
      </c>
      <c r="DR101" t="e">
        <f>AND(#REF!,"AAAAAH/f4Hk=")</f>
        <v>#REF!</v>
      </c>
      <c r="DS101" t="e">
        <f>IF(#REF!,"AAAAAH/f4Ho=",0)</f>
        <v>#REF!</v>
      </c>
      <c r="DT101" t="e">
        <f>IF(#REF!,"AAAAAH/f4Hs=",0)</f>
        <v>#REF!</v>
      </c>
      <c r="DU101" t="e">
        <f>IF(#REF!,"AAAAAH/f4Hw=",0)</f>
        <v>#REF!</v>
      </c>
      <c r="DV101" t="e">
        <f>IF(#REF!,"AAAAAH/f4H0=",0)</f>
        <v>#REF!</v>
      </c>
      <c r="DW101" t="e">
        <f>IF(#REF!,"AAAAAH/f4H4=",0)</f>
        <v>#REF!</v>
      </c>
      <c r="DX101" t="e">
        <f>IF(#REF!,"AAAAAH/f4H8=",0)</f>
        <v>#REF!</v>
      </c>
      <c r="DY101" t="e">
        <f>IF(#REF!,"AAAAAH/f4IA=",0)</f>
        <v>#REF!</v>
      </c>
      <c r="DZ101" t="e">
        <f>IF(#REF!,"AAAAAH/f4IE=",0)</f>
        <v>#REF!</v>
      </c>
      <c r="EA101" t="s">
        <v>711</v>
      </c>
      <c r="EB101" t="e">
        <f>IF("N",'Current Index'!_xlnm.Print_Area,"AAAAAH/f4IM=")</f>
        <v>#VALUE!</v>
      </c>
    </row>
    <row r="102" spans="1:256" x14ac:dyDescent="0.25">
      <c r="A102">
        <f>IF('Current Index'!561:561,"AAAAAD+37gA=",0)</f>
        <v>0</v>
      </c>
      <c r="B102" t="e">
        <f>AND('Current Index'!A561,"AAAAAD+37gE=")</f>
        <v>#VALUE!</v>
      </c>
      <c r="C102" t="e">
        <f>AND('Current Index'!#REF!,"AAAAAD+37gI=")</f>
        <v>#REF!</v>
      </c>
      <c r="D102" t="e">
        <f>AND('Current Index'!B561,"AAAAAD+37gM=")</f>
        <v>#VALUE!</v>
      </c>
      <c r="E102" t="e">
        <f>AND('Current Index'!C561,"AAAAAD+37gQ=")</f>
        <v>#VALUE!</v>
      </c>
      <c r="F102" t="e">
        <f>AND('Current Index'!D561,"AAAAAD+37gU=")</f>
        <v>#VALUE!</v>
      </c>
      <c r="G102" t="e">
        <f>AND('Current Index'!E561,"AAAAAD+37gY=")</f>
        <v>#VALUE!</v>
      </c>
      <c r="H102" t="e">
        <f>AND('Current Index'!F561,"AAAAAD+37gc=")</f>
        <v>#VALUE!</v>
      </c>
      <c r="I102" t="e">
        <f>AND('Current Index'!G561,"AAAAAD+37gg=")</f>
        <v>#VALUE!</v>
      </c>
      <c r="J102" t="e">
        <f>AND('Current Index'!H561,"AAAAAD+37gk=")</f>
        <v>#VALUE!</v>
      </c>
      <c r="K102" t="e">
        <f>AND('Current Index'!I561,"AAAAAD+37go=")</f>
        <v>#VALUE!</v>
      </c>
      <c r="L102">
        <f>IF('Current Index'!691:691,"AAAAAD+37gs=",0)</f>
        <v>0</v>
      </c>
      <c r="M102" t="e">
        <f>AND('Current Index'!A691,"AAAAAD+37gw=")</f>
        <v>#VALUE!</v>
      </c>
      <c r="N102" t="e">
        <f>AND('Current Index'!#REF!,"AAAAAD+37g0=")</f>
        <v>#REF!</v>
      </c>
      <c r="O102" t="e">
        <f>AND('Current Index'!B691,"AAAAAD+37g4=")</f>
        <v>#VALUE!</v>
      </c>
      <c r="P102" t="e">
        <f>AND('Current Index'!C691,"AAAAAD+37g8=")</f>
        <v>#VALUE!</v>
      </c>
      <c r="Q102" t="e">
        <f>AND('Current Index'!D691,"AAAAAD+37hA=")</f>
        <v>#VALUE!</v>
      </c>
      <c r="R102" t="e">
        <f>AND('Current Index'!E691,"AAAAAD+37hE=")</f>
        <v>#VALUE!</v>
      </c>
      <c r="S102" t="e">
        <f>AND('Current Index'!F691,"AAAAAD+37hI=")</f>
        <v>#VALUE!</v>
      </c>
      <c r="T102" t="e">
        <f>AND('Current Index'!G691,"AAAAAD+37hM=")</f>
        <v>#VALUE!</v>
      </c>
      <c r="U102" t="e">
        <f>AND('Current Index'!H691,"AAAAAD+37hQ=")</f>
        <v>#VALUE!</v>
      </c>
      <c r="V102" t="e">
        <f>AND('Current Index'!I691,"AAAAAD+37hU=")</f>
        <v>#VALUE!</v>
      </c>
      <c r="W102" t="e">
        <f>AND(#REF!,"AAAAAD+37hY=")</f>
        <v>#REF!</v>
      </c>
      <c r="X102" t="e">
        <f>AND(#REF!,"AAAAAD+37hc=")</f>
        <v>#REF!</v>
      </c>
      <c r="Y102" t="e">
        <f>AND(#REF!,"AAAAAD+37hg=")</f>
        <v>#REF!</v>
      </c>
      <c r="Z102" t="e">
        <f>AND(#REF!,"AAAAAD+37hk=")</f>
        <v>#REF!</v>
      </c>
      <c r="AA102" t="e">
        <f>AND(#REF!,"AAAAAD+37ho=")</f>
        <v>#REF!</v>
      </c>
      <c r="AB102" t="e">
        <f>AND(#REF!,"AAAAAD+37hs=")</f>
        <v>#REF!</v>
      </c>
      <c r="AC102" t="e">
        <f>AND(#REF!,"AAAAAD+37hw=")</f>
        <v>#REF!</v>
      </c>
      <c r="AD102" t="e">
        <f>AND(#REF!,"AAAAAD+37h0=")</f>
        <v>#REF!</v>
      </c>
      <c r="AE102" t="e">
        <f>AND(#REF!,"AAAAAD+37h4=")</f>
        <v>#REF!</v>
      </c>
      <c r="AF102" t="e">
        <f>AND(#REF!,"AAAAAD+37h8=")</f>
        <v>#REF!</v>
      </c>
      <c r="AG102" t="e">
        <f>AND(#REF!,"AAAAAD+37iA=")</f>
        <v>#REF!</v>
      </c>
      <c r="AH102" t="e">
        <f>AND(#REF!,"AAAAAD+37iE=")</f>
        <v>#REF!</v>
      </c>
      <c r="AI102" t="e">
        <f>AND(#REF!,"AAAAAD+37iI=")</f>
        <v>#REF!</v>
      </c>
      <c r="AJ102" t="e">
        <f>AND(#REF!,"AAAAAD+37iM=")</f>
        <v>#REF!</v>
      </c>
      <c r="AK102" t="e">
        <f>AND(#REF!,"AAAAAD+37iQ=")</f>
        <v>#REF!</v>
      </c>
      <c r="AL102" t="e">
        <f>AND(#REF!,"AAAAAD+37iU=")</f>
        <v>#REF!</v>
      </c>
      <c r="AM102" t="e">
        <f>AND(#REF!,"AAAAAD+37iY=")</f>
        <v>#REF!</v>
      </c>
      <c r="AN102" t="e">
        <f>AND(#REF!,"AAAAAD+37ic=")</f>
        <v>#REF!</v>
      </c>
      <c r="AO102" t="e">
        <f>AND(#REF!,"AAAAAD+37ig=")</f>
        <v>#REF!</v>
      </c>
      <c r="AP102" t="e">
        <f>AND(#REF!,"AAAAAD+37ik=")</f>
        <v>#REF!</v>
      </c>
      <c r="AQ102" t="e">
        <f>AND(#REF!,"AAAAAD+37io=")</f>
        <v>#REF!</v>
      </c>
      <c r="AR102" t="e">
        <f>AND(#REF!,"AAAAAD+37is=")</f>
        <v>#REF!</v>
      </c>
      <c r="AS102" t="e">
        <f>AND(#REF!,"AAAAAD+37iw=")</f>
        <v>#REF!</v>
      </c>
      <c r="AT102" t="e">
        <f>AND(#REF!,"AAAAAD+37i0=")</f>
        <v>#REF!</v>
      </c>
      <c r="AU102" t="e">
        <f>AND(#REF!,"AAAAAD+37i4=")</f>
        <v>#REF!</v>
      </c>
      <c r="AV102" t="e">
        <f>AND(#REF!,"AAAAAD+37i8=")</f>
        <v>#REF!</v>
      </c>
      <c r="AW102" t="e">
        <f>AND(#REF!,"AAAAAD+37jA=")</f>
        <v>#REF!</v>
      </c>
      <c r="AX102" t="e">
        <f>AND(#REF!,"AAAAAD+37jE=")</f>
        <v>#REF!</v>
      </c>
      <c r="AY102" t="e">
        <f>AND(#REF!,"AAAAAD+37jI=")</f>
        <v>#REF!</v>
      </c>
      <c r="AZ102" t="e">
        <f>AND(#REF!,"AAAAAD+37jM=")</f>
        <v>#REF!</v>
      </c>
      <c r="BA102" t="e">
        <f>AND(#REF!,"AAAAAD+37jQ=")</f>
        <v>#REF!</v>
      </c>
      <c r="BB102" t="e">
        <f>AND(#REF!,"AAAAAD+37jU=")</f>
        <v>#REF!</v>
      </c>
      <c r="BC102" t="e">
        <f>AND(#REF!,"AAAAAD+37jY=")</f>
        <v>#REF!</v>
      </c>
      <c r="BD102" t="e">
        <f>AND(#REF!,"AAAAAD+37jc=")</f>
        <v>#REF!</v>
      </c>
      <c r="BE102" t="e">
        <f>AND(#REF!,"AAAAAD+37jg=")</f>
        <v>#REF!</v>
      </c>
      <c r="BF102" t="e">
        <f>AND(#REF!,"AAAAAD+37jk=")</f>
        <v>#REF!</v>
      </c>
      <c r="BG102" t="e">
        <f>AND(#REF!,"AAAAAD+37jo=")</f>
        <v>#REF!</v>
      </c>
      <c r="BH102" t="e">
        <f>AND(#REF!,"AAAAAD+37js=")</f>
        <v>#REF!</v>
      </c>
      <c r="BI102" t="e">
        <f>AND(#REF!,"AAAAAD+37jw=")</f>
        <v>#REF!</v>
      </c>
      <c r="BJ102" t="e">
        <f>AND(#REF!,"AAAAAD+37j0=")</f>
        <v>#REF!</v>
      </c>
      <c r="BK102" t="e">
        <f>AND(#REF!,"AAAAAD+37j4=")</f>
        <v>#REF!</v>
      </c>
      <c r="BL102" t="e">
        <f>AND(#REF!,"AAAAAD+37j8=")</f>
        <v>#REF!</v>
      </c>
      <c r="BM102" t="e">
        <f>AND(#REF!,"AAAAAD+37kA=")</f>
        <v>#REF!</v>
      </c>
      <c r="BN102" t="e">
        <f>AND(#REF!,"AAAAAD+37kE=")</f>
        <v>#REF!</v>
      </c>
      <c r="BO102" t="e">
        <f>AND(#REF!,"AAAAAD+37kI=")</f>
        <v>#REF!</v>
      </c>
      <c r="BP102" t="e">
        <f>AND(#REF!,"AAAAAD+37kM=")</f>
        <v>#REF!</v>
      </c>
      <c r="BQ102" t="e">
        <f>AND(#REF!,"AAAAAD+37kQ=")</f>
        <v>#REF!</v>
      </c>
      <c r="BR102" t="e">
        <f>AND(#REF!,"AAAAAD+37kU=")</f>
        <v>#REF!</v>
      </c>
      <c r="BS102" t="e">
        <f>AND(#REF!,"AAAAAD+37kY=")</f>
        <v>#REF!</v>
      </c>
      <c r="BT102" t="e">
        <f>AND(#REF!,"AAAAAD+37kc=")</f>
        <v>#REF!</v>
      </c>
      <c r="BU102" t="e">
        <f>AND(#REF!,"AAAAAD+37kg=")</f>
        <v>#REF!</v>
      </c>
      <c r="BV102" t="e">
        <f>AND(#REF!,"AAAAAD+37kk=")</f>
        <v>#REF!</v>
      </c>
      <c r="BW102" t="e">
        <f>AND(#REF!,"AAAAAD+37ko=")</f>
        <v>#REF!</v>
      </c>
      <c r="BX102" t="e">
        <f>AND(#REF!,"AAAAAD+37ks=")</f>
        <v>#REF!</v>
      </c>
      <c r="BY102" t="e">
        <f>AND(#REF!,"AAAAAD+37kw=")</f>
        <v>#REF!</v>
      </c>
      <c r="BZ102" t="e">
        <f>AND(#REF!,"AAAAAD+37k0=")</f>
        <v>#REF!</v>
      </c>
      <c r="CA102" t="e">
        <f>AND(#REF!,"AAAAAD+37k4=")</f>
        <v>#REF!</v>
      </c>
      <c r="CB102" t="e">
        <f>AND(#REF!,"AAAAAD+37k8=")</f>
        <v>#REF!</v>
      </c>
      <c r="CC102" t="e">
        <f>AND(#REF!,"AAAAAD+37lA=")</f>
        <v>#REF!</v>
      </c>
      <c r="CD102" t="e">
        <f>AND(#REF!,"AAAAAD+37lE=")</f>
        <v>#REF!</v>
      </c>
      <c r="CE102" t="e">
        <f>AND(#REF!,"AAAAAD+37lI=")</f>
        <v>#REF!</v>
      </c>
      <c r="CF102" t="e">
        <f>AND(#REF!,"AAAAAD+37lM=")</f>
        <v>#REF!</v>
      </c>
      <c r="CG102" t="e">
        <f>AND(#REF!,"AAAAAD+37lQ=")</f>
        <v>#REF!</v>
      </c>
      <c r="CH102" t="e">
        <f>AND(#REF!,"AAAAAD+37lU=")</f>
        <v>#REF!</v>
      </c>
      <c r="CI102" t="e">
        <f>AND(#REF!,"AAAAAD+37lY=")</f>
        <v>#REF!</v>
      </c>
      <c r="CJ102" t="e">
        <f>AND(#REF!,"AAAAAD+37lc=")</f>
        <v>#REF!</v>
      </c>
      <c r="CK102" t="e">
        <f>AND(#REF!,"AAAAAD+37lg=")</f>
        <v>#REF!</v>
      </c>
      <c r="CL102" t="e">
        <f>AND(#REF!,"AAAAAD+37lk=")</f>
        <v>#REF!</v>
      </c>
      <c r="CM102" t="e">
        <f>AND(#REF!,"AAAAAD+37lo=")</f>
        <v>#REF!</v>
      </c>
      <c r="CN102" t="e">
        <f>AND(#REF!,"AAAAAD+37ls=")</f>
        <v>#REF!</v>
      </c>
      <c r="CO102" t="e">
        <f>AND(#REF!,"AAAAAD+37lw=")</f>
        <v>#REF!</v>
      </c>
      <c r="CP102" t="e">
        <f>AND(#REF!,"AAAAAD+37l0=")</f>
        <v>#REF!</v>
      </c>
      <c r="CQ102" t="e">
        <f>AND(#REF!,"AAAAAD+37l4=")</f>
        <v>#REF!</v>
      </c>
      <c r="CR102" t="e">
        <f>AND(#REF!,"AAAAAD+37l8=")</f>
        <v>#REF!</v>
      </c>
      <c r="CS102" t="e">
        <f>AND(#REF!,"AAAAAD+37mA=")</f>
        <v>#REF!</v>
      </c>
      <c r="CT102" t="e">
        <f>AND(#REF!,"AAAAAD+37mE=")</f>
        <v>#REF!</v>
      </c>
      <c r="CU102" t="e">
        <f>AND(#REF!,"AAAAAD+37mI=")</f>
        <v>#REF!</v>
      </c>
      <c r="CV102" t="e">
        <f>AND(#REF!,"AAAAAD+37mM=")</f>
        <v>#REF!</v>
      </c>
      <c r="CW102" t="e">
        <f>AND(#REF!,"AAAAAD+37mQ=")</f>
        <v>#REF!</v>
      </c>
      <c r="CX102" t="e">
        <f>AND(#REF!,"AAAAAD+37mU=")</f>
        <v>#REF!</v>
      </c>
      <c r="CY102" t="e">
        <f>AND(#REF!,"AAAAAD+37mY=")</f>
        <v>#REF!</v>
      </c>
      <c r="CZ102" t="e">
        <f>AND(#REF!,"AAAAAD+37mc=")</f>
        <v>#REF!</v>
      </c>
      <c r="DA102" t="e">
        <f>AND(#REF!,"AAAAAD+37mg=")</f>
        <v>#REF!</v>
      </c>
      <c r="DB102" t="e">
        <f>AND(#REF!,"AAAAAD+37mk=")</f>
        <v>#REF!</v>
      </c>
      <c r="DC102" t="e">
        <f>AND(#REF!,"AAAAAD+37mo=")</f>
        <v>#REF!</v>
      </c>
      <c r="DD102" t="e">
        <f>AND(#REF!,"AAAAAD+37ms=")</f>
        <v>#REF!</v>
      </c>
      <c r="DE102" t="e">
        <f>AND(#REF!,"AAAAAD+37mw=")</f>
        <v>#REF!</v>
      </c>
      <c r="DF102" t="e">
        <f>AND(#REF!,"AAAAAD+37m0=")</f>
        <v>#REF!</v>
      </c>
      <c r="DG102" t="e">
        <f>AND(#REF!,"AAAAAD+37m4=")</f>
        <v>#REF!</v>
      </c>
      <c r="DH102" t="e">
        <f>AND(#REF!,"AAAAAD+37m8=")</f>
        <v>#REF!</v>
      </c>
      <c r="DI102" t="e">
        <f>AND(#REF!,"AAAAAD+37nA=")</f>
        <v>#REF!</v>
      </c>
      <c r="DJ102" t="e">
        <f>AND(#REF!,"AAAAAD+37nE=")</f>
        <v>#REF!</v>
      </c>
      <c r="DK102" t="e">
        <f>AND(#REF!,"AAAAAD+37nI=")</f>
        <v>#REF!</v>
      </c>
      <c r="DL102" t="e">
        <f>AND(#REF!,"AAAAAD+37nM=")</f>
        <v>#REF!</v>
      </c>
      <c r="DM102" t="e">
        <f>AND(#REF!,"AAAAAD+37nQ=")</f>
        <v>#REF!</v>
      </c>
      <c r="DN102" t="e">
        <f>AND(#REF!,"AAAAAD+37nU=")</f>
        <v>#REF!</v>
      </c>
      <c r="DO102" t="e">
        <f>AND(#REF!,"AAAAAD+37nY=")</f>
        <v>#REF!</v>
      </c>
      <c r="DP102" t="e">
        <f>AND(#REF!,"AAAAAD+37nc=")</f>
        <v>#REF!</v>
      </c>
      <c r="DQ102" t="e">
        <f>AND(#REF!,"AAAAAD+37ng=")</f>
        <v>#REF!</v>
      </c>
      <c r="DR102" t="e">
        <f>AND(#REF!,"AAAAAD+37nk=")</f>
        <v>#REF!</v>
      </c>
      <c r="DS102" t="e">
        <f>AND(#REF!,"AAAAAD+37no=")</f>
        <v>#REF!</v>
      </c>
      <c r="DT102" t="e">
        <f>AND(#REF!,"AAAAAD+37ns=")</f>
        <v>#REF!</v>
      </c>
      <c r="DU102" t="e">
        <f>AND(#REF!,"AAAAAD+37nw=")</f>
        <v>#REF!</v>
      </c>
      <c r="DV102" t="e">
        <f>AND(#REF!,"AAAAAD+37n0=")</f>
        <v>#REF!</v>
      </c>
      <c r="DW102" t="e">
        <f>AND(#REF!,"AAAAAD+37n4=")</f>
        <v>#REF!</v>
      </c>
      <c r="DX102" t="e">
        <f>AND(#REF!,"AAAAAD+37n8=")</f>
        <v>#REF!</v>
      </c>
      <c r="DY102" t="e">
        <f>AND(#REF!,"AAAAAD+37oA=")</f>
        <v>#REF!</v>
      </c>
      <c r="DZ102" t="e">
        <f>AND(#REF!,"AAAAAD+37oE=")</f>
        <v>#REF!</v>
      </c>
      <c r="EA102" t="e">
        <f>AND(#REF!,"AAAAAD+37oI=")</f>
        <v>#REF!</v>
      </c>
      <c r="EB102" t="e">
        <f>AND(#REF!,"AAAAAD+37oM=")</f>
        <v>#REF!</v>
      </c>
      <c r="EC102" t="e">
        <f>AND(#REF!,"AAAAAD+37oQ=")</f>
        <v>#REF!</v>
      </c>
      <c r="ED102" t="e">
        <f>AND(#REF!,"AAAAAD+37oU=")</f>
        <v>#REF!</v>
      </c>
      <c r="EE102" t="e">
        <f>AND(#REF!,"AAAAAD+37oY=")</f>
        <v>#REF!</v>
      </c>
      <c r="EF102" t="e">
        <f>AND(#REF!,"AAAAAD+37oc=")</f>
        <v>#REF!</v>
      </c>
      <c r="EG102" t="e">
        <f>AND(#REF!,"AAAAAD+37og=")</f>
        <v>#REF!</v>
      </c>
      <c r="EH102" t="e">
        <f>AND(#REF!,"AAAAAD+37ok=")</f>
        <v>#REF!</v>
      </c>
      <c r="EI102" t="e">
        <f>AND(#REF!,"AAAAAD+37oo=")</f>
        <v>#REF!</v>
      </c>
      <c r="EJ102" t="e">
        <f>AND(#REF!,"AAAAAD+37os=")</f>
        <v>#REF!</v>
      </c>
      <c r="EK102" t="e">
        <f>AND(#REF!,"AAAAAD+37ow=")</f>
        <v>#REF!</v>
      </c>
      <c r="EL102" t="e">
        <f>AND(#REF!,"AAAAAD+37o0=")</f>
        <v>#REF!</v>
      </c>
      <c r="EM102" t="e">
        <f>AND(#REF!,"AAAAAD+37o4=")</f>
        <v>#REF!</v>
      </c>
      <c r="EN102" t="e">
        <f>AND(#REF!,"AAAAAD+37o8=")</f>
        <v>#REF!</v>
      </c>
      <c r="EO102" t="e">
        <f>AND(#REF!,"AAAAAD+37pA=")</f>
        <v>#REF!</v>
      </c>
      <c r="EP102" t="e">
        <f>AND(#REF!,"AAAAAD+37pE=")</f>
        <v>#REF!</v>
      </c>
      <c r="EQ102" t="e">
        <f>AND(#REF!,"AAAAAD+37pI=")</f>
        <v>#REF!</v>
      </c>
      <c r="ER102" t="e">
        <f>AND(#REF!,"AAAAAD+37pM=")</f>
        <v>#REF!</v>
      </c>
      <c r="ES102" t="e">
        <f>AND(#REF!,"AAAAAD+37pQ=")</f>
        <v>#REF!</v>
      </c>
      <c r="ET102" t="e">
        <f>AND(#REF!,"AAAAAD+37pU=")</f>
        <v>#REF!</v>
      </c>
      <c r="EU102" t="e">
        <f>AND(#REF!,"AAAAAD+37pY=")</f>
        <v>#REF!</v>
      </c>
      <c r="EV102" t="e">
        <f>AND(#REF!,"AAAAAD+37pc=")</f>
        <v>#REF!</v>
      </c>
      <c r="EW102" t="e">
        <f>AND(#REF!,"AAAAAD+37pg=")</f>
        <v>#REF!</v>
      </c>
      <c r="EX102" t="e">
        <f>AND(#REF!,"AAAAAD+37pk=")</f>
        <v>#REF!</v>
      </c>
      <c r="EY102" t="e">
        <f>AND(#REF!,"AAAAAD+37po=")</f>
        <v>#REF!</v>
      </c>
      <c r="EZ102" t="e">
        <f>AND(#REF!,"AAAAAD+37ps=")</f>
        <v>#REF!</v>
      </c>
      <c r="FA102" t="e">
        <f>AND(#REF!,"AAAAAD+37pw=")</f>
        <v>#REF!</v>
      </c>
      <c r="FB102" t="e">
        <f>AND(#REF!,"AAAAAD+37p0=")</f>
        <v>#REF!</v>
      </c>
      <c r="FC102" t="e">
        <f>AND(#REF!,"AAAAAD+37p4=")</f>
        <v>#REF!</v>
      </c>
      <c r="FD102" t="e">
        <f>AND(#REF!,"AAAAAD+37p8=")</f>
        <v>#REF!</v>
      </c>
      <c r="FE102" t="e">
        <f>AND(#REF!,"AAAAAD+37qA=")</f>
        <v>#REF!</v>
      </c>
      <c r="FF102" t="e">
        <f>AND(#REF!,"AAAAAD+37qE=")</f>
        <v>#REF!</v>
      </c>
      <c r="FG102" t="e">
        <f>AND(#REF!,"AAAAAD+37qI=")</f>
        <v>#REF!</v>
      </c>
      <c r="FH102" t="e">
        <f>AND(#REF!,"AAAAAD+37qM=")</f>
        <v>#REF!</v>
      </c>
      <c r="FI102" t="e">
        <f>AND(#REF!,"AAAAAD+37qQ=")</f>
        <v>#REF!</v>
      </c>
      <c r="FJ102" t="e">
        <f>AND(#REF!,"AAAAAD+37qU=")</f>
        <v>#REF!</v>
      </c>
      <c r="FK102" t="e">
        <f>AND(#REF!,"AAAAAD+37qY=")</f>
        <v>#REF!</v>
      </c>
      <c r="FL102" t="e">
        <f>AND(#REF!,"AAAAAD+37qc=")</f>
        <v>#REF!</v>
      </c>
      <c r="FM102" t="e">
        <f>AND(#REF!,"AAAAAD+37qg=")</f>
        <v>#REF!</v>
      </c>
      <c r="FN102" t="e">
        <f>AND(#REF!,"AAAAAD+37qk=")</f>
        <v>#REF!</v>
      </c>
      <c r="FO102" t="e">
        <f>AND(#REF!,"AAAAAD+37qo=")</f>
        <v>#REF!</v>
      </c>
      <c r="FP102" t="e">
        <f>AND(#REF!,"AAAAAD+37qs=")</f>
        <v>#REF!</v>
      </c>
      <c r="FQ102" t="e">
        <f>AND(#REF!,"AAAAAD+37qw=")</f>
        <v>#REF!</v>
      </c>
      <c r="FR102" t="e">
        <f>AND(#REF!,"AAAAAD+37q0=")</f>
        <v>#REF!</v>
      </c>
      <c r="FS102" t="e">
        <f>AND(#REF!,"AAAAAD+37q4=")</f>
        <v>#REF!</v>
      </c>
      <c r="FT102" t="e">
        <f>AND(#REF!,"AAAAAD+37q8=")</f>
        <v>#REF!</v>
      </c>
      <c r="FU102" t="e">
        <f>AND(#REF!,"AAAAAD+37rA=")</f>
        <v>#REF!</v>
      </c>
      <c r="FV102" t="e">
        <f>AND(#REF!,"AAAAAD+37rE=")</f>
        <v>#REF!</v>
      </c>
      <c r="FW102" t="e">
        <f>AND(#REF!,"AAAAAD+37rI=")</f>
        <v>#REF!</v>
      </c>
      <c r="FX102" t="e">
        <f>AND(#REF!,"AAAAAD+37rM=")</f>
        <v>#REF!</v>
      </c>
      <c r="FY102" t="e">
        <f>AND(#REF!,"AAAAAD+37rQ=")</f>
        <v>#REF!</v>
      </c>
      <c r="FZ102" t="e">
        <f>AND(#REF!,"AAAAAD+37rU=")</f>
        <v>#REF!</v>
      </c>
      <c r="GA102" t="e">
        <f>AND(#REF!,"AAAAAD+37rY=")</f>
        <v>#REF!</v>
      </c>
      <c r="GB102" t="e">
        <f>AND(#REF!,"AAAAAD+37rc=")</f>
        <v>#REF!</v>
      </c>
      <c r="GC102" t="e">
        <f>AND(#REF!,"AAAAAD+37rg=")</f>
        <v>#REF!</v>
      </c>
      <c r="GD102" t="e">
        <f>AND(#REF!,"AAAAAD+37rk=")</f>
        <v>#REF!</v>
      </c>
      <c r="GE102" t="e">
        <f>AND(#REF!,"AAAAAD+37ro=")</f>
        <v>#REF!</v>
      </c>
      <c r="GF102" t="e">
        <f>AND(#REF!,"AAAAAD+37rs=")</f>
        <v>#REF!</v>
      </c>
      <c r="GG102" t="e">
        <f>AND(#REF!,"AAAAAD+37rw=")</f>
        <v>#REF!</v>
      </c>
      <c r="GH102" t="e">
        <f>AND(#REF!,"AAAAAD+37r0=")</f>
        <v>#REF!</v>
      </c>
      <c r="GI102" t="e">
        <f>AND(#REF!,"AAAAAD+37r4=")</f>
        <v>#REF!</v>
      </c>
      <c r="GJ102" t="e">
        <f>AND(#REF!,"AAAAAD+37r8=")</f>
        <v>#REF!</v>
      </c>
      <c r="GK102" t="e">
        <f>AND(#REF!,"AAAAAD+37sA=")</f>
        <v>#REF!</v>
      </c>
      <c r="GL102" t="e">
        <f>AND(#REF!,"AAAAAD+37sE=")</f>
        <v>#REF!</v>
      </c>
      <c r="GM102" t="e">
        <f>AND(#REF!,"AAAAAD+37sI=")</f>
        <v>#REF!</v>
      </c>
      <c r="GN102" t="e">
        <f>AND(#REF!,"AAAAAD+37sM=")</f>
        <v>#REF!</v>
      </c>
      <c r="GO102" t="e">
        <f>AND(#REF!,"AAAAAD+37sQ=")</f>
        <v>#REF!</v>
      </c>
      <c r="GP102" t="e">
        <f>AND(#REF!,"AAAAAD+37sU=")</f>
        <v>#REF!</v>
      </c>
      <c r="GQ102" t="e">
        <f>AND(#REF!,"AAAAAD+37sY=")</f>
        <v>#REF!</v>
      </c>
      <c r="GR102" t="e">
        <f>AND(#REF!,"AAAAAD+37sc=")</f>
        <v>#REF!</v>
      </c>
      <c r="GS102" t="e">
        <f>AND(#REF!,"AAAAAD+37sg=")</f>
        <v>#REF!</v>
      </c>
      <c r="GT102" t="e">
        <f>AND(#REF!,"AAAAAD+37sk=")</f>
        <v>#REF!</v>
      </c>
      <c r="GU102" t="e">
        <f>AND(#REF!,"AAAAAD+37so=")</f>
        <v>#REF!</v>
      </c>
      <c r="GV102" t="e">
        <f>AND(#REF!,"AAAAAD+37ss=")</f>
        <v>#REF!</v>
      </c>
      <c r="GW102" t="e">
        <f>AND(#REF!,"AAAAAD+37sw=")</f>
        <v>#REF!</v>
      </c>
      <c r="GX102" t="e">
        <f>AND(#REF!,"AAAAAD+37s0=")</f>
        <v>#REF!</v>
      </c>
      <c r="GY102" t="e">
        <f>AND(#REF!,"AAAAAD+37s4=")</f>
        <v>#REF!</v>
      </c>
      <c r="GZ102" t="e">
        <f>AND(#REF!,"AAAAAD+37s8=")</f>
        <v>#REF!</v>
      </c>
      <c r="HA102" t="e">
        <f>AND(#REF!,"AAAAAD+37tA=")</f>
        <v>#REF!</v>
      </c>
      <c r="HB102" t="e">
        <f>AND(#REF!,"AAAAAD+37tE=")</f>
        <v>#REF!</v>
      </c>
      <c r="HC102" t="e">
        <f>AND(#REF!,"AAAAAD+37tI=")</f>
        <v>#REF!</v>
      </c>
      <c r="HD102" t="e">
        <f>AND(#REF!,"AAAAAD+37tM=")</f>
        <v>#REF!</v>
      </c>
      <c r="HE102" t="e">
        <f>AND(#REF!,"AAAAAD+37tQ=")</f>
        <v>#REF!</v>
      </c>
      <c r="HF102" t="e">
        <f>AND(#REF!,"AAAAAD+37tU=")</f>
        <v>#REF!</v>
      </c>
      <c r="HG102" t="e">
        <f>AND(#REF!,"AAAAAD+37tY=")</f>
        <v>#REF!</v>
      </c>
      <c r="HH102" t="e">
        <f>AND(#REF!,"AAAAAD+37tc=")</f>
        <v>#REF!</v>
      </c>
      <c r="HI102" t="e">
        <f>AND(#REF!,"AAAAAD+37tg=")</f>
        <v>#REF!</v>
      </c>
      <c r="HJ102" t="e">
        <f>AND(#REF!,"AAAAAD+37tk=")</f>
        <v>#REF!</v>
      </c>
      <c r="HK102" t="e">
        <f>AND(#REF!,"AAAAAD+37to=")</f>
        <v>#REF!</v>
      </c>
      <c r="HL102" t="e">
        <f>AND(#REF!,"AAAAAD+37ts=")</f>
        <v>#REF!</v>
      </c>
      <c r="HM102" t="e">
        <f>AND(#REF!,"AAAAAD+37tw=")</f>
        <v>#REF!</v>
      </c>
      <c r="HN102" t="e">
        <f>AND(#REF!,"AAAAAD+37t0=")</f>
        <v>#REF!</v>
      </c>
      <c r="HO102" t="e">
        <f>AND(#REF!,"AAAAAD+37t4=")</f>
        <v>#REF!</v>
      </c>
      <c r="HP102" t="e">
        <f>AND(#REF!,"AAAAAD+37t8=")</f>
        <v>#REF!</v>
      </c>
      <c r="HQ102" t="e">
        <f>AND(#REF!,"AAAAAD+37uA=")</f>
        <v>#REF!</v>
      </c>
      <c r="HR102" t="e">
        <f>AND(#REF!,"AAAAAD+37uE=")</f>
        <v>#REF!</v>
      </c>
      <c r="HS102" t="e">
        <f>AND(#REF!,"AAAAAD+37uI=")</f>
        <v>#REF!</v>
      </c>
      <c r="HT102" t="e">
        <f>AND(#REF!,"AAAAAD+37uM=")</f>
        <v>#REF!</v>
      </c>
      <c r="HU102" t="e">
        <f>AND(#REF!,"AAAAAD+37uQ=")</f>
        <v>#REF!</v>
      </c>
      <c r="HV102" t="e">
        <f>AND(#REF!,"AAAAAD+37uU=")</f>
        <v>#REF!</v>
      </c>
      <c r="HW102" t="e">
        <f>AND(#REF!,"AAAAAD+37uY=")</f>
        <v>#REF!</v>
      </c>
      <c r="HX102" t="e">
        <f>AND(#REF!,"AAAAAD+37uc=")</f>
        <v>#REF!</v>
      </c>
      <c r="HY102" t="e">
        <f>AND(#REF!,"AAAAAD+37ug=")</f>
        <v>#REF!</v>
      </c>
      <c r="HZ102" t="e">
        <f>AND(#REF!,"AAAAAD+37uk=")</f>
        <v>#REF!</v>
      </c>
      <c r="IA102" t="e">
        <f>AND(#REF!,"AAAAAD+37uo=")</f>
        <v>#REF!</v>
      </c>
      <c r="IB102" t="e">
        <f>AND(#REF!,"AAAAAD+37us=")</f>
        <v>#REF!</v>
      </c>
      <c r="IC102" t="e">
        <f>AND(#REF!,"AAAAAD+37uw=")</f>
        <v>#REF!</v>
      </c>
      <c r="ID102" t="e">
        <f>AND(#REF!,"AAAAAD+37u0=")</f>
        <v>#REF!</v>
      </c>
      <c r="IE102" t="e">
        <f>AND(#REF!,"AAAAAD+37u4=")</f>
        <v>#REF!</v>
      </c>
      <c r="IF102" t="e">
        <f>AND(#REF!,"AAAAAD+37u8=")</f>
        <v>#REF!</v>
      </c>
      <c r="IG102" t="e">
        <f>AND(#REF!,"AAAAAD+37vA=")</f>
        <v>#REF!</v>
      </c>
      <c r="IH102" t="e">
        <f>AND(#REF!,"AAAAAD+37vE=")</f>
        <v>#REF!</v>
      </c>
      <c r="II102" t="e">
        <f>AND(#REF!,"AAAAAD+37vI=")</f>
        <v>#REF!</v>
      </c>
      <c r="IJ102" t="e">
        <f>AND(#REF!,"AAAAAD+37vM=")</f>
        <v>#REF!</v>
      </c>
      <c r="IK102" t="e">
        <f>AND(#REF!,"AAAAAD+37vQ=")</f>
        <v>#REF!</v>
      </c>
      <c r="IL102" t="e">
        <f>AND(#REF!,"AAAAAD+37vU=")</f>
        <v>#REF!</v>
      </c>
      <c r="IM102" t="e">
        <f>AND(#REF!,"AAAAAD+37vY=")</f>
        <v>#REF!</v>
      </c>
      <c r="IN102" t="e">
        <f>AND(#REF!,"AAAAAD+37vc=")</f>
        <v>#REF!</v>
      </c>
      <c r="IO102" t="e">
        <f>AND(#REF!,"AAAAAD+37vg=")</f>
        <v>#REF!</v>
      </c>
      <c r="IP102" t="e">
        <f>AND(#REF!,"AAAAAD+37vk=")</f>
        <v>#REF!</v>
      </c>
      <c r="IQ102" t="e">
        <f>AND(#REF!,"AAAAAD+37vo=")</f>
        <v>#REF!</v>
      </c>
      <c r="IR102" t="e">
        <f>AND(#REF!,"AAAAAD+37vs=")</f>
        <v>#REF!</v>
      </c>
      <c r="IS102" t="e">
        <f>AND(#REF!,"AAAAAD+37vw=")</f>
        <v>#REF!</v>
      </c>
      <c r="IT102" t="e">
        <f>AND(#REF!,"AAAAAD+37v0=")</f>
        <v>#REF!</v>
      </c>
      <c r="IU102" t="e">
        <f>AND(#REF!,"AAAAAD+37v4=")</f>
        <v>#REF!</v>
      </c>
      <c r="IV102" t="e">
        <f>AND(#REF!,"AAAAAD+37v8=")</f>
        <v>#REF!</v>
      </c>
    </row>
    <row r="103" spans="1:256" x14ac:dyDescent="0.25">
      <c r="A103" t="e">
        <f>AND(#REF!,"AAAAACv/bgA=")</f>
        <v>#REF!</v>
      </c>
      <c r="B103" t="e">
        <f>AND(#REF!,"AAAAACv/bgE=")</f>
        <v>#REF!</v>
      </c>
      <c r="C103" t="e">
        <f>AND(#REF!,"AAAAACv/bgI=")</f>
        <v>#REF!</v>
      </c>
      <c r="D103" t="e">
        <f>AND(#REF!,"AAAAACv/bgM=")</f>
        <v>#REF!</v>
      </c>
      <c r="E103" t="e">
        <f>AND(#REF!,"AAAAACv/bgQ=")</f>
        <v>#REF!</v>
      </c>
      <c r="F103" t="e">
        <f>AND(#REF!,"AAAAACv/bgU=")</f>
        <v>#REF!</v>
      </c>
      <c r="G103" t="e">
        <f>AND(#REF!,"AAAAACv/bgY=")</f>
        <v>#REF!</v>
      </c>
      <c r="H103" t="e">
        <f>AND(#REF!,"AAAAACv/bgc=")</f>
        <v>#REF!</v>
      </c>
      <c r="I103" t="e">
        <f>AND(#REF!,"AAAAACv/bgg=")</f>
        <v>#REF!</v>
      </c>
      <c r="J103" t="e">
        <f>AND(#REF!,"AAAAACv/bgk=")</f>
        <v>#REF!</v>
      </c>
      <c r="K103" t="e">
        <f>AND(#REF!,"AAAAACv/bgo=")</f>
        <v>#REF!</v>
      </c>
      <c r="L103" t="e">
        <f>AND(#REF!,"AAAAACv/bgs=")</f>
        <v>#REF!</v>
      </c>
      <c r="M103" t="e">
        <f>AND(#REF!,"AAAAACv/bgw=")</f>
        <v>#REF!</v>
      </c>
      <c r="N103" t="e">
        <f>AND(#REF!,"AAAAACv/bg0=")</f>
        <v>#REF!</v>
      </c>
      <c r="O103" t="e">
        <f>AND(#REF!,"AAAAACv/bg4=")</f>
        <v>#REF!</v>
      </c>
      <c r="P103" t="e">
        <f>AND(#REF!,"AAAAACv/bg8=")</f>
        <v>#REF!</v>
      </c>
      <c r="Q103" t="e">
        <f>AND(#REF!,"AAAAACv/bhA=")</f>
        <v>#REF!</v>
      </c>
      <c r="R103" t="e">
        <f>AND(#REF!,"AAAAACv/bhE=")</f>
        <v>#REF!</v>
      </c>
      <c r="S103" t="e">
        <f>AND(#REF!,"AAAAACv/bhI=")</f>
        <v>#REF!</v>
      </c>
      <c r="T103" t="e">
        <f>AND(#REF!,"AAAAACv/bhM=")</f>
        <v>#REF!</v>
      </c>
      <c r="U103" t="e">
        <f>AND(#REF!,"AAAAACv/bhQ=")</f>
        <v>#REF!</v>
      </c>
      <c r="V103" t="e">
        <f>AND(#REF!,"AAAAACv/bhU=")</f>
        <v>#REF!</v>
      </c>
      <c r="W103" t="e">
        <f>AND(#REF!,"AAAAACv/bhY=")</f>
        <v>#REF!</v>
      </c>
      <c r="X103" t="e">
        <f>AND(#REF!,"AAAAACv/bhc=")</f>
        <v>#REF!</v>
      </c>
      <c r="Y103" t="e">
        <f>AND(#REF!,"AAAAACv/bhg=")</f>
        <v>#REF!</v>
      </c>
      <c r="Z103" t="e">
        <f>AND(#REF!,"AAAAACv/bhk=")</f>
        <v>#REF!</v>
      </c>
      <c r="AA103" t="e">
        <f>AND(#REF!,"AAAAACv/bho=")</f>
        <v>#REF!</v>
      </c>
      <c r="AB103" t="e">
        <f>AND(#REF!,"AAAAACv/bhs=")</f>
        <v>#REF!</v>
      </c>
      <c r="AC103" t="e">
        <f>AND(#REF!,"AAAAACv/bhw=")</f>
        <v>#REF!</v>
      </c>
      <c r="AD103" t="e">
        <f>AND(#REF!,"AAAAACv/bh0=")</f>
        <v>#REF!</v>
      </c>
      <c r="AE103" t="e">
        <f>AND(#REF!,"AAAAACv/bh4=")</f>
        <v>#REF!</v>
      </c>
      <c r="AF103" t="e">
        <f>AND(#REF!,"AAAAACv/bh8=")</f>
        <v>#REF!</v>
      </c>
      <c r="AG103" t="e">
        <f>AND(#REF!,"AAAAACv/biA=")</f>
        <v>#REF!</v>
      </c>
      <c r="AH103" t="e">
        <f>AND(#REF!,"AAAAACv/biE=")</f>
        <v>#REF!</v>
      </c>
      <c r="AI103" t="e">
        <f>AND(#REF!,"AAAAACv/biI=")</f>
        <v>#REF!</v>
      </c>
      <c r="AJ103" t="e">
        <f>AND(#REF!,"AAAAACv/biM=")</f>
        <v>#REF!</v>
      </c>
      <c r="AK103" t="e">
        <f>AND(#REF!,"AAAAACv/biQ=")</f>
        <v>#REF!</v>
      </c>
      <c r="AL103" t="e">
        <f>AND(#REF!,"AAAAACv/biU=")</f>
        <v>#REF!</v>
      </c>
      <c r="AM103" t="e">
        <f>AND(#REF!,"AAAAACv/biY=")</f>
        <v>#REF!</v>
      </c>
      <c r="AN103" t="e">
        <f>AND(#REF!,"AAAAACv/bic=")</f>
        <v>#REF!</v>
      </c>
      <c r="AO103" t="e">
        <f>AND(#REF!,"AAAAACv/big=")</f>
        <v>#REF!</v>
      </c>
      <c r="AP103" t="e">
        <f>AND(#REF!,"AAAAACv/bik=")</f>
        <v>#REF!</v>
      </c>
      <c r="AQ103" t="e">
        <f>AND(#REF!,"AAAAACv/bio=")</f>
        <v>#REF!</v>
      </c>
      <c r="AR103" t="e">
        <f>AND(#REF!,"AAAAACv/bis=")</f>
        <v>#REF!</v>
      </c>
      <c r="AS103" t="e">
        <f>AND(#REF!,"AAAAACv/biw=")</f>
        <v>#REF!</v>
      </c>
      <c r="AT103" t="e">
        <f>AND(#REF!,"AAAAACv/bi0=")</f>
        <v>#REF!</v>
      </c>
      <c r="AU103" t="e">
        <f>AND(#REF!,"AAAAACv/bi4=")</f>
        <v>#REF!</v>
      </c>
      <c r="AV103" t="e">
        <f>AND(#REF!,"AAAAACv/bi8=")</f>
        <v>#REF!</v>
      </c>
      <c r="AW103" t="e">
        <f>AND(#REF!,"AAAAACv/bjA=")</f>
        <v>#REF!</v>
      </c>
      <c r="AX103" t="e">
        <f>AND(#REF!,"AAAAACv/bjE=")</f>
        <v>#REF!</v>
      </c>
      <c r="AY103" t="e">
        <f>AND(#REF!,"AAAAACv/bjI=")</f>
        <v>#REF!</v>
      </c>
      <c r="AZ103" t="e">
        <f>AND(#REF!,"AAAAACv/bjM=")</f>
        <v>#REF!</v>
      </c>
      <c r="BA103" t="e">
        <f>AND(#REF!,"AAAAACv/bjQ=")</f>
        <v>#REF!</v>
      </c>
      <c r="BB103" t="e">
        <f>AND(#REF!,"AAAAACv/bjU=")</f>
        <v>#REF!</v>
      </c>
      <c r="BC103" t="e">
        <f>AND(#REF!,"AAAAACv/bjY=")</f>
        <v>#REF!</v>
      </c>
      <c r="BD103" t="e">
        <f>AND(#REF!,"AAAAACv/bjc=")</f>
        <v>#REF!</v>
      </c>
      <c r="BE103" t="e">
        <f>AND(#REF!,"AAAAACv/bjg=")</f>
        <v>#REF!</v>
      </c>
      <c r="BF103" t="e">
        <f>AND(#REF!,"AAAAACv/bjk=")</f>
        <v>#REF!</v>
      </c>
      <c r="BG103" t="e">
        <f>AND(#REF!,"AAAAACv/bjo=")</f>
        <v>#REF!</v>
      </c>
      <c r="BH103" t="e">
        <f>AND(#REF!,"AAAAACv/bjs=")</f>
        <v>#REF!</v>
      </c>
      <c r="BI103" t="e">
        <f>AND(#REF!,"AAAAACv/bjw=")</f>
        <v>#REF!</v>
      </c>
      <c r="BJ103" t="e">
        <f>AND(#REF!,"AAAAACv/bj0=")</f>
        <v>#REF!</v>
      </c>
      <c r="BK103" t="e">
        <f>AND(#REF!,"AAAAACv/bj4=")</f>
        <v>#REF!</v>
      </c>
      <c r="BL103" t="e">
        <f>AND(#REF!,"AAAAACv/bj8=")</f>
        <v>#REF!</v>
      </c>
      <c r="BM103" t="e">
        <f>AND(#REF!,"AAAAACv/bkA=")</f>
        <v>#REF!</v>
      </c>
      <c r="BN103" t="e">
        <f>AND(#REF!,"AAAAACv/bkE=")</f>
        <v>#REF!</v>
      </c>
      <c r="BO103" t="e">
        <f>AND(#REF!,"AAAAACv/bkI=")</f>
        <v>#REF!</v>
      </c>
      <c r="BP103" t="e">
        <f>AND(#REF!,"AAAAACv/bkM=")</f>
        <v>#REF!</v>
      </c>
      <c r="BQ103" t="e">
        <f>AND(#REF!,"AAAAACv/bkQ=")</f>
        <v>#REF!</v>
      </c>
      <c r="BR103" t="e">
        <f>AND(#REF!,"AAAAACv/bkU=")</f>
        <v>#REF!</v>
      </c>
      <c r="BS103" t="e">
        <f>AND(#REF!,"AAAAACv/bkY=")</f>
        <v>#REF!</v>
      </c>
      <c r="BT103" t="e">
        <f>AND(#REF!,"AAAAACv/bkc=")</f>
        <v>#REF!</v>
      </c>
      <c r="BU103" t="e">
        <f>AND(#REF!,"AAAAACv/bkg=")</f>
        <v>#REF!</v>
      </c>
      <c r="BV103" t="e">
        <f>AND(#REF!,"AAAAACv/bkk=")</f>
        <v>#REF!</v>
      </c>
      <c r="BW103" t="e">
        <f>AND(#REF!,"AAAAACv/bko=")</f>
        <v>#REF!</v>
      </c>
      <c r="BX103" t="e">
        <f>AND(#REF!,"AAAAACv/bks=")</f>
        <v>#REF!</v>
      </c>
      <c r="BY103" t="e">
        <f>AND(#REF!,"AAAAACv/bkw=")</f>
        <v>#REF!</v>
      </c>
      <c r="BZ103" t="e">
        <f>AND(#REF!,"AAAAACv/bk0=")</f>
        <v>#REF!</v>
      </c>
      <c r="CA103" t="e">
        <f>AND(#REF!,"AAAAACv/bk4=")</f>
        <v>#REF!</v>
      </c>
      <c r="CB103" t="e">
        <f>AND(#REF!,"AAAAACv/bk8=")</f>
        <v>#REF!</v>
      </c>
      <c r="CC103" t="e">
        <f>AND(#REF!,"AAAAACv/blA=")</f>
        <v>#REF!</v>
      </c>
      <c r="CD103" t="e">
        <f>AND(#REF!,"AAAAACv/blE=")</f>
        <v>#REF!</v>
      </c>
      <c r="CE103" t="e">
        <f>AND(#REF!,"AAAAACv/blI=")</f>
        <v>#REF!</v>
      </c>
      <c r="CF103" t="e">
        <f>AND(#REF!,"AAAAACv/blM=")</f>
        <v>#REF!</v>
      </c>
      <c r="CG103" t="e">
        <f>AND(#REF!,"AAAAACv/blQ=")</f>
        <v>#REF!</v>
      </c>
      <c r="CH103" t="e">
        <f>AND(#REF!,"AAAAACv/blU=")</f>
        <v>#REF!</v>
      </c>
      <c r="CI103" t="e">
        <f>AND(#REF!,"AAAAACv/blY=")</f>
        <v>#REF!</v>
      </c>
      <c r="CJ103" t="e">
        <f>AND(#REF!,"AAAAACv/blc=")</f>
        <v>#REF!</v>
      </c>
      <c r="CK103" t="e">
        <f>AND(#REF!,"AAAAACv/blg=")</f>
        <v>#REF!</v>
      </c>
      <c r="CL103" t="e">
        <f>AND(#REF!,"AAAAACv/blk=")</f>
        <v>#REF!</v>
      </c>
      <c r="CM103" t="e">
        <f>AND(#REF!,"AAAAACv/blo=")</f>
        <v>#REF!</v>
      </c>
      <c r="CN103" t="e">
        <f>AND(#REF!,"AAAAACv/bls=")</f>
        <v>#REF!</v>
      </c>
      <c r="CO103" t="e">
        <f>AND(#REF!,"AAAAACv/blw=")</f>
        <v>#REF!</v>
      </c>
      <c r="CP103" t="e">
        <f>AND(#REF!,"AAAAACv/bl0=")</f>
        <v>#REF!</v>
      </c>
      <c r="CQ103" t="e">
        <f>AND(#REF!,"AAAAACv/bl4=")</f>
        <v>#REF!</v>
      </c>
      <c r="CR103" t="e">
        <f>AND(#REF!,"AAAAACv/bl8=")</f>
        <v>#REF!</v>
      </c>
      <c r="CS103" t="e">
        <f>AND(#REF!,"AAAAACv/bmA=")</f>
        <v>#REF!</v>
      </c>
      <c r="CT103" t="e">
        <f>AND(#REF!,"AAAAACv/bmE=")</f>
        <v>#REF!</v>
      </c>
      <c r="CU103" t="e">
        <f>AND(#REF!,"AAAAACv/bmI=")</f>
        <v>#REF!</v>
      </c>
      <c r="CV103" t="e">
        <f>AND(#REF!,"AAAAACv/bmM=")</f>
        <v>#REF!</v>
      </c>
      <c r="CW103" t="e">
        <f>AND(#REF!,"AAAAACv/bmQ=")</f>
        <v>#REF!</v>
      </c>
      <c r="CX103" t="e">
        <f>AND(#REF!,"AAAAACv/bmU=")</f>
        <v>#REF!</v>
      </c>
      <c r="CY103" t="e">
        <f>AND(#REF!,"AAAAACv/bmY=")</f>
        <v>#REF!</v>
      </c>
      <c r="CZ103" t="e">
        <f>AND(#REF!,"AAAAACv/bmc=")</f>
        <v>#REF!</v>
      </c>
      <c r="DA103" t="e">
        <f>AND(#REF!,"AAAAACv/bmg=")</f>
        <v>#REF!</v>
      </c>
      <c r="DB103" t="e">
        <f>AND(#REF!,"AAAAACv/bmk=")</f>
        <v>#REF!</v>
      </c>
      <c r="DC103" t="e">
        <f>AND(#REF!,"AAAAACv/bmo=")</f>
        <v>#REF!</v>
      </c>
      <c r="DD103" t="e">
        <f>AND(#REF!,"AAAAACv/bms=")</f>
        <v>#REF!</v>
      </c>
      <c r="DE103" t="e">
        <f>AND(#REF!,"AAAAACv/bmw=")</f>
        <v>#REF!</v>
      </c>
      <c r="DF103" t="e">
        <f>AND(#REF!,"AAAAACv/bm0=")</f>
        <v>#REF!</v>
      </c>
      <c r="DG103" t="e">
        <f>AND(#REF!,"AAAAACv/bm4=")</f>
        <v>#REF!</v>
      </c>
      <c r="DH103" t="e">
        <f>AND(#REF!,"AAAAACv/bm8=")</f>
        <v>#REF!</v>
      </c>
      <c r="DI103" t="e">
        <f>AND(#REF!,"AAAAACv/bnA=")</f>
        <v>#REF!</v>
      </c>
      <c r="DJ103" t="e">
        <f>AND(#REF!,"AAAAACv/bnE=")</f>
        <v>#REF!</v>
      </c>
      <c r="DK103" t="e">
        <f>AND(#REF!,"AAAAACv/bnI=")</f>
        <v>#REF!</v>
      </c>
      <c r="DL103" t="e">
        <f>AND(#REF!,"AAAAACv/bnM=")</f>
        <v>#REF!</v>
      </c>
      <c r="DM103" t="e">
        <f>AND(#REF!,"AAAAACv/bnQ=")</f>
        <v>#REF!</v>
      </c>
      <c r="DN103" t="e">
        <f>AND(#REF!,"AAAAACv/bnU=")</f>
        <v>#REF!</v>
      </c>
      <c r="DO103" t="e">
        <f>AND(#REF!,"AAAAACv/bnY=")</f>
        <v>#REF!</v>
      </c>
      <c r="DP103" t="e">
        <f>AND(#REF!,"AAAAACv/bnc=")</f>
        <v>#REF!</v>
      </c>
      <c r="DQ103" t="e">
        <f>AND(#REF!,"AAAAACv/bng=")</f>
        <v>#REF!</v>
      </c>
      <c r="DR103" t="e">
        <f>AND(#REF!,"AAAAACv/bnk=")</f>
        <v>#REF!</v>
      </c>
      <c r="DS103" t="e">
        <f>AND(#REF!,"AAAAACv/bno=")</f>
        <v>#REF!</v>
      </c>
      <c r="DT103" t="e">
        <f>AND(#REF!,"AAAAACv/bns=")</f>
        <v>#REF!</v>
      </c>
      <c r="DU103" t="e">
        <f>AND(#REF!,"AAAAACv/bnw=")</f>
        <v>#REF!</v>
      </c>
      <c r="DV103" t="e">
        <f>AND(#REF!,"AAAAACv/bn0=")</f>
        <v>#REF!</v>
      </c>
      <c r="DW103" t="e">
        <f>AND(#REF!,"AAAAACv/bn4=")</f>
        <v>#REF!</v>
      </c>
      <c r="DX103" t="e">
        <f>AND(#REF!,"AAAAACv/bn8=")</f>
        <v>#REF!</v>
      </c>
      <c r="DY103" t="e">
        <f>AND(#REF!,"AAAAACv/boA=")</f>
        <v>#REF!</v>
      </c>
      <c r="DZ103" t="e">
        <f>AND(#REF!,"AAAAACv/boE=")</f>
        <v>#REF!</v>
      </c>
      <c r="EA103" t="e">
        <f>AND(#REF!,"AAAAACv/boI=")</f>
        <v>#REF!</v>
      </c>
      <c r="EB103" t="e">
        <f>AND(#REF!,"AAAAACv/boM=")</f>
        <v>#REF!</v>
      </c>
      <c r="EC103" t="e">
        <f>AND(#REF!,"AAAAACv/boQ=")</f>
        <v>#REF!</v>
      </c>
      <c r="ED103" t="e">
        <f>AND(#REF!,"AAAAACv/boU=")</f>
        <v>#REF!</v>
      </c>
      <c r="EE103" t="e">
        <f>AND(#REF!,"AAAAACv/boY=")</f>
        <v>#REF!</v>
      </c>
      <c r="EF103" t="e">
        <f>AND(#REF!,"AAAAACv/boc=")</f>
        <v>#REF!</v>
      </c>
      <c r="EG103" t="e">
        <f>AND(#REF!,"AAAAACv/bog=")</f>
        <v>#REF!</v>
      </c>
      <c r="EH103" t="e">
        <f>AND(#REF!,"AAAAACv/bok=")</f>
        <v>#REF!</v>
      </c>
      <c r="EI103" t="e">
        <f>AND(#REF!,"AAAAACv/boo=")</f>
        <v>#REF!</v>
      </c>
      <c r="EJ103" t="e">
        <f>AND(#REF!,"AAAAACv/bos=")</f>
        <v>#REF!</v>
      </c>
      <c r="EK103" t="e">
        <f>AND(#REF!,"AAAAACv/bow=")</f>
        <v>#REF!</v>
      </c>
      <c r="EL103" t="e">
        <f>AND(#REF!,"AAAAACv/bo0=")</f>
        <v>#REF!</v>
      </c>
      <c r="EM103" t="e">
        <f>AND(#REF!,"AAAAACv/bo4=")</f>
        <v>#REF!</v>
      </c>
      <c r="EN103" t="e">
        <f>AND(#REF!,"AAAAACv/bo8=")</f>
        <v>#REF!</v>
      </c>
      <c r="EO103" t="e">
        <f>AND(#REF!,"AAAAACv/bpA=")</f>
        <v>#REF!</v>
      </c>
      <c r="EP103" t="e">
        <f>AND(#REF!,"AAAAACv/bpE=")</f>
        <v>#REF!</v>
      </c>
      <c r="EQ103" t="e">
        <f>AND(#REF!,"AAAAACv/bpI=")</f>
        <v>#REF!</v>
      </c>
      <c r="ER103" t="e">
        <f>AND(#REF!,"AAAAACv/bpM=")</f>
        <v>#REF!</v>
      </c>
      <c r="ES103" t="e">
        <f>AND(#REF!,"AAAAACv/bpQ=")</f>
        <v>#REF!</v>
      </c>
      <c r="ET103" t="e">
        <f>AND(#REF!,"AAAAACv/bpU=")</f>
        <v>#REF!</v>
      </c>
      <c r="EU103" t="e">
        <f>AND(#REF!,"AAAAACv/bpY=")</f>
        <v>#REF!</v>
      </c>
      <c r="EV103" t="e">
        <f>AND(#REF!,"AAAAACv/bpc=")</f>
        <v>#REF!</v>
      </c>
      <c r="EW103" t="e">
        <f>AND(#REF!,"AAAAACv/bpg=")</f>
        <v>#REF!</v>
      </c>
      <c r="EX103" t="e">
        <f>AND(#REF!,"AAAAACv/bpk=")</f>
        <v>#REF!</v>
      </c>
      <c r="EY103" t="e">
        <f>AND(#REF!,"AAAAACv/bpo=")</f>
        <v>#REF!</v>
      </c>
      <c r="EZ103" t="e">
        <f>AND(#REF!,"AAAAACv/bps=")</f>
        <v>#REF!</v>
      </c>
      <c r="FA103" t="e">
        <f>AND(#REF!,"AAAAACv/bpw=")</f>
        <v>#REF!</v>
      </c>
      <c r="FB103" t="e">
        <f>AND(#REF!,"AAAAACv/bp0=")</f>
        <v>#REF!</v>
      </c>
      <c r="FC103" t="e">
        <f>AND(#REF!,"AAAAACv/bp4=")</f>
        <v>#REF!</v>
      </c>
      <c r="FD103" t="e">
        <f>AND(#REF!,"AAAAACv/bp8=")</f>
        <v>#REF!</v>
      </c>
      <c r="FE103" t="e">
        <f>AND(#REF!,"AAAAACv/bqA=")</f>
        <v>#REF!</v>
      </c>
      <c r="FF103" t="e">
        <f>AND(#REF!,"AAAAACv/bqE=")</f>
        <v>#REF!</v>
      </c>
      <c r="FG103" t="e">
        <f>AND(#REF!,"AAAAACv/bqI=")</f>
        <v>#REF!</v>
      </c>
      <c r="FH103" t="e">
        <f>AND(#REF!,"AAAAACv/bqM=")</f>
        <v>#REF!</v>
      </c>
      <c r="FI103" t="e">
        <f>AND(#REF!,"AAAAACv/bqQ=")</f>
        <v>#REF!</v>
      </c>
      <c r="FJ103" t="e">
        <f>AND(#REF!,"AAAAACv/bqU=")</f>
        <v>#REF!</v>
      </c>
      <c r="FK103" t="e">
        <f>AND(#REF!,"AAAAACv/bqY=")</f>
        <v>#REF!</v>
      </c>
      <c r="FL103" t="e">
        <f>AND(#REF!,"AAAAACv/bqc=")</f>
        <v>#REF!</v>
      </c>
      <c r="FM103" t="e">
        <f>AND(#REF!,"AAAAACv/bqg=")</f>
        <v>#REF!</v>
      </c>
      <c r="FN103" t="e">
        <f>AND(#REF!,"AAAAACv/bqk=")</f>
        <v>#REF!</v>
      </c>
      <c r="FO103" t="e">
        <f>AND(#REF!,"AAAAACv/bqo=")</f>
        <v>#REF!</v>
      </c>
      <c r="FP103" t="e">
        <f>AND(#REF!,"AAAAACv/bqs=")</f>
        <v>#REF!</v>
      </c>
      <c r="FQ103" t="e">
        <f>AND(#REF!,"AAAAACv/bqw=")</f>
        <v>#REF!</v>
      </c>
      <c r="FR103" t="e">
        <f>AND(#REF!,"AAAAACv/bq0=")</f>
        <v>#REF!</v>
      </c>
      <c r="FS103" t="e">
        <f>AND(#REF!,"AAAAACv/bq4=")</f>
        <v>#REF!</v>
      </c>
      <c r="FT103" t="e">
        <f>AND(#REF!,"AAAAACv/bq8=")</f>
        <v>#REF!</v>
      </c>
      <c r="FU103" t="e">
        <f>AND(#REF!,"AAAAACv/brA=")</f>
        <v>#REF!</v>
      </c>
      <c r="FV103" t="e">
        <f>AND(#REF!,"AAAAACv/brE=")</f>
        <v>#REF!</v>
      </c>
      <c r="FW103" t="e">
        <f>AND(#REF!,"AAAAACv/brI=")</f>
        <v>#REF!</v>
      </c>
      <c r="FX103" t="e">
        <f>AND(#REF!,"AAAAACv/brM=")</f>
        <v>#REF!</v>
      </c>
      <c r="FY103" t="e">
        <f>AND(#REF!,"AAAAACv/brQ=")</f>
        <v>#REF!</v>
      </c>
      <c r="FZ103" t="e">
        <f>AND(#REF!,"AAAAACv/brU=")</f>
        <v>#REF!</v>
      </c>
      <c r="GA103" t="e">
        <f>AND(#REF!,"AAAAACv/brY=")</f>
        <v>#REF!</v>
      </c>
      <c r="GB103" t="e">
        <f>AND(#REF!,"AAAAACv/brc=")</f>
        <v>#REF!</v>
      </c>
      <c r="GC103" t="e">
        <f>AND(#REF!,"AAAAACv/brg=")</f>
        <v>#REF!</v>
      </c>
      <c r="GD103" t="e">
        <f>AND(#REF!,"AAAAACv/brk=")</f>
        <v>#REF!</v>
      </c>
      <c r="GE103" t="e">
        <f>AND(#REF!,"AAAAACv/bro=")</f>
        <v>#REF!</v>
      </c>
      <c r="GF103" t="e">
        <f>AND(#REF!,"AAAAACv/brs=")</f>
        <v>#REF!</v>
      </c>
      <c r="GG103" t="e">
        <f>AND(#REF!,"AAAAACv/brw=")</f>
        <v>#REF!</v>
      </c>
      <c r="GH103" t="e">
        <f>AND(#REF!,"AAAAACv/br0=")</f>
        <v>#REF!</v>
      </c>
      <c r="GI103" t="e">
        <f>AND(#REF!,"AAAAACv/br4=")</f>
        <v>#REF!</v>
      </c>
      <c r="GJ103" t="e">
        <f>AND(#REF!,"AAAAACv/br8=")</f>
        <v>#REF!</v>
      </c>
      <c r="GK103" t="e">
        <f>AND(#REF!,"AAAAACv/bsA=")</f>
        <v>#REF!</v>
      </c>
      <c r="GL103" t="e">
        <f>AND(#REF!,"AAAAACv/bsE=")</f>
        <v>#REF!</v>
      </c>
      <c r="GM103" t="e">
        <f>AND(#REF!,"AAAAACv/bsI=")</f>
        <v>#REF!</v>
      </c>
      <c r="GN103" t="e">
        <f>AND(#REF!,"AAAAACv/bsM=")</f>
        <v>#REF!</v>
      </c>
      <c r="GO103" t="e">
        <f>AND(#REF!,"AAAAACv/bsQ=")</f>
        <v>#REF!</v>
      </c>
      <c r="GP103" t="e">
        <f>AND(#REF!,"AAAAACv/bsU=")</f>
        <v>#REF!</v>
      </c>
      <c r="GQ103" t="e">
        <f>AND(#REF!,"AAAAACv/bsY=")</f>
        <v>#REF!</v>
      </c>
      <c r="GR103" t="e">
        <f>AND(#REF!,"AAAAACv/bsc=")</f>
        <v>#REF!</v>
      </c>
      <c r="GS103" t="e">
        <f>AND(#REF!,"AAAAACv/bsg=")</f>
        <v>#REF!</v>
      </c>
      <c r="GT103" t="e">
        <f>AND(#REF!,"AAAAACv/bsk=")</f>
        <v>#REF!</v>
      </c>
      <c r="GU103" t="e">
        <f>AND(#REF!,"AAAAACv/bso=")</f>
        <v>#REF!</v>
      </c>
      <c r="GV103" t="e">
        <f>AND(#REF!,"AAAAACv/bss=")</f>
        <v>#REF!</v>
      </c>
      <c r="GW103" t="e">
        <f>AND(#REF!,"AAAAACv/bsw=")</f>
        <v>#REF!</v>
      </c>
      <c r="GX103" t="e">
        <f>AND(#REF!,"AAAAACv/bs0=")</f>
        <v>#REF!</v>
      </c>
      <c r="GY103" t="e">
        <f>AND(#REF!,"AAAAACv/bs4=")</f>
        <v>#REF!</v>
      </c>
      <c r="GZ103" t="e">
        <f>AND(#REF!,"AAAAACv/bs8=")</f>
        <v>#REF!</v>
      </c>
      <c r="HA103" t="e">
        <f>AND(#REF!,"AAAAACv/btA=")</f>
        <v>#REF!</v>
      </c>
      <c r="HB103" t="e">
        <f>AND(#REF!,"AAAAACv/btE=")</f>
        <v>#REF!</v>
      </c>
      <c r="HC103" t="e">
        <f>AND(#REF!,"AAAAACv/btI=")</f>
        <v>#REF!</v>
      </c>
      <c r="HD103" t="e">
        <f>AND(#REF!,"AAAAACv/btM=")</f>
        <v>#REF!</v>
      </c>
      <c r="HE103" t="e">
        <f>AND(#REF!,"AAAAACv/btQ=")</f>
        <v>#REF!</v>
      </c>
      <c r="HF103" t="e">
        <f>AND(#REF!,"AAAAACv/btU=")</f>
        <v>#REF!</v>
      </c>
      <c r="HG103" t="e">
        <f>AND(#REF!,"AAAAACv/btY=")</f>
        <v>#REF!</v>
      </c>
      <c r="HH103" t="e">
        <f>AND(#REF!,"AAAAACv/btc=")</f>
        <v>#REF!</v>
      </c>
      <c r="HI103" t="e">
        <f>AND(#REF!,"AAAAACv/btg=")</f>
        <v>#REF!</v>
      </c>
      <c r="HJ103" t="e">
        <f>AND(#REF!,"AAAAACv/btk=")</f>
        <v>#REF!</v>
      </c>
      <c r="HK103" t="e">
        <f>AND(#REF!,"AAAAACv/bto=")</f>
        <v>#REF!</v>
      </c>
      <c r="HL103" t="e">
        <f>AND(#REF!,"AAAAACv/bts=")</f>
        <v>#REF!</v>
      </c>
      <c r="HM103" t="e">
        <f>AND(#REF!,"AAAAACv/btw=")</f>
        <v>#REF!</v>
      </c>
      <c r="HN103" t="e">
        <f>AND(#REF!,"AAAAACv/bt0=")</f>
        <v>#REF!</v>
      </c>
      <c r="HO103" t="e">
        <f>AND(#REF!,"AAAAACv/bt4=")</f>
        <v>#REF!</v>
      </c>
      <c r="HP103" t="e">
        <f>AND(#REF!,"AAAAACv/bt8=")</f>
        <v>#REF!</v>
      </c>
      <c r="HQ103" t="e">
        <f>AND(#REF!,"AAAAACv/buA=")</f>
        <v>#REF!</v>
      </c>
      <c r="HR103" t="e">
        <f>AND(#REF!,"AAAAACv/buE=")</f>
        <v>#REF!</v>
      </c>
      <c r="HS103" t="e">
        <f>AND(#REF!,"AAAAACv/buI=")</f>
        <v>#REF!</v>
      </c>
      <c r="HT103" t="e">
        <f>AND(#REF!,"AAAAACv/buM=")</f>
        <v>#REF!</v>
      </c>
      <c r="HU103" t="e">
        <f>AND(#REF!,"AAAAACv/buQ=")</f>
        <v>#REF!</v>
      </c>
      <c r="HV103" t="e">
        <f>AND(#REF!,"AAAAACv/buU=")</f>
        <v>#REF!</v>
      </c>
      <c r="HW103" t="e">
        <f>AND(#REF!,"AAAAACv/buY=")</f>
        <v>#REF!</v>
      </c>
      <c r="HX103" t="e">
        <f>AND(#REF!,"AAAAACv/buc=")</f>
        <v>#REF!</v>
      </c>
      <c r="HY103" t="e">
        <f>AND(#REF!,"AAAAACv/bug=")</f>
        <v>#REF!</v>
      </c>
      <c r="HZ103" t="e">
        <f>AND(#REF!,"AAAAACv/buk=")</f>
        <v>#REF!</v>
      </c>
      <c r="IA103" t="e">
        <f>AND(#REF!,"AAAAACv/buo=")</f>
        <v>#REF!</v>
      </c>
      <c r="IB103" t="e">
        <f>AND(#REF!,"AAAAACv/bus=")</f>
        <v>#REF!</v>
      </c>
      <c r="IC103" t="e">
        <f>AND(#REF!,"AAAAACv/buw=")</f>
        <v>#REF!</v>
      </c>
      <c r="ID103" t="e">
        <f>AND(#REF!,"AAAAACv/bu0=")</f>
        <v>#REF!</v>
      </c>
      <c r="IE103" t="e">
        <f>AND(#REF!,"AAAAACv/bu4=")</f>
        <v>#REF!</v>
      </c>
      <c r="IF103" t="e">
        <f>AND(#REF!,"AAAAACv/bu8=")</f>
        <v>#REF!</v>
      </c>
      <c r="IG103" t="e">
        <f>AND(#REF!,"AAAAACv/bvA=")</f>
        <v>#REF!</v>
      </c>
      <c r="IH103" t="e">
        <f>AND(#REF!,"AAAAACv/bvE=")</f>
        <v>#REF!</v>
      </c>
      <c r="II103" t="e">
        <f>AND(#REF!,"AAAAACv/bvI=")</f>
        <v>#REF!</v>
      </c>
      <c r="IJ103" t="e">
        <f>AND(#REF!,"AAAAACv/bvM=")</f>
        <v>#REF!</v>
      </c>
      <c r="IK103" t="e">
        <f>AND(#REF!,"AAAAACv/bvQ=")</f>
        <v>#REF!</v>
      </c>
      <c r="IL103" t="e">
        <f>AND(#REF!,"AAAAACv/bvU=")</f>
        <v>#REF!</v>
      </c>
      <c r="IM103" t="e">
        <f>AND(#REF!,"AAAAACv/bvY=")</f>
        <v>#REF!</v>
      </c>
      <c r="IN103" t="e">
        <f>AND(#REF!,"AAAAACv/bvc=")</f>
        <v>#REF!</v>
      </c>
      <c r="IO103" t="e">
        <f>AND(#REF!,"AAAAACv/bvg=")</f>
        <v>#REF!</v>
      </c>
      <c r="IP103" t="e">
        <f>AND(#REF!,"AAAAACv/bvk=")</f>
        <v>#REF!</v>
      </c>
      <c r="IQ103" t="e">
        <f>AND(#REF!,"AAAAACv/bvo=")</f>
        <v>#REF!</v>
      </c>
      <c r="IR103" t="e">
        <f>AND(#REF!,"AAAAACv/bvs=")</f>
        <v>#REF!</v>
      </c>
      <c r="IS103" t="e">
        <f>AND(#REF!,"AAAAACv/bvw=")</f>
        <v>#REF!</v>
      </c>
      <c r="IT103" t="e">
        <f>AND(#REF!,"AAAAACv/bv0=")</f>
        <v>#REF!</v>
      </c>
      <c r="IU103" t="e">
        <f>AND(#REF!,"AAAAACv/bv4=")</f>
        <v>#REF!</v>
      </c>
      <c r="IV103" t="e">
        <f>AND(#REF!,"AAAAACv/bv8=")</f>
        <v>#REF!</v>
      </c>
    </row>
    <row r="104" spans="1:256" x14ac:dyDescent="0.25">
      <c r="A104" t="e">
        <f>AND(#REF!,"AAAAAD2vvQA=")</f>
        <v>#REF!</v>
      </c>
      <c r="B104" t="e">
        <f>AND(#REF!,"AAAAAD2vvQE=")</f>
        <v>#REF!</v>
      </c>
      <c r="C104" t="e">
        <f>IF(#REF!,"AAAAAD2vvQI=",0)</f>
        <v>#REF!</v>
      </c>
      <c r="D104" t="e">
        <f>AND(#REF!,"AAAAAD2vvQM=")</f>
        <v>#REF!</v>
      </c>
      <c r="E104" t="e">
        <f>AND(#REF!,"AAAAAD2vvQQ=")</f>
        <v>#REF!</v>
      </c>
      <c r="F104" t="e">
        <f>AND(#REF!,"AAAAAD2vvQU=")</f>
        <v>#REF!</v>
      </c>
      <c r="G104" t="e">
        <f>AND(#REF!,"AAAAAD2vvQY=")</f>
        <v>#REF!</v>
      </c>
      <c r="H104" t="e">
        <f>AND(#REF!,"AAAAAD2vvQc=")</f>
        <v>#REF!</v>
      </c>
      <c r="I104" t="e">
        <f>AND(#REF!,"AAAAAD2vvQg=")</f>
        <v>#REF!</v>
      </c>
      <c r="J104" t="e">
        <f>AND(#REF!,"AAAAAD2vvQk=")</f>
        <v>#REF!</v>
      </c>
      <c r="K104" t="e">
        <f>AND(#REF!,"AAAAAD2vvQo=")</f>
        <v>#REF!</v>
      </c>
      <c r="L104" t="e">
        <f>AND(#REF!,"AAAAAD2vvQs=")</f>
        <v>#REF!</v>
      </c>
      <c r="M104" t="e">
        <f>AND(#REF!,"AAAAAD2vvQw=")</f>
        <v>#REF!</v>
      </c>
      <c r="N104" t="e">
        <f>AND(#REF!,"AAAAAD2vvQ0=")</f>
        <v>#REF!</v>
      </c>
      <c r="O104" t="e">
        <f>AND(#REF!,"AAAAAD2vvQ4=")</f>
        <v>#REF!</v>
      </c>
      <c r="P104" t="e">
        <f>AND(#REF!,"AAAAAD2vvQ8=")</f>
        <v>#REF!</v>
      </c>
      <c r="Q104" t="e">
        <f>AND(#REF!,"AAAAAD2vvRA=")</f>
        <v>#REF!</v>
      </c>
      <c r="R104" t="e">
        <f>AND(#REF!,"AAAAAD2vvRE=")</f>
        <v>#REF!</v>
      </c>
      <c r="S104" t="e">
        <f>AND(#REF!,"AAAAAD2vvRI=")</f>
        <v>#REF!</v>
      </c>
      <c r="T104" t="e">
        <f>AND(#REF!,"AAAAAD2vvRM=")</f>
        <v>#REF!</v>
      </c>
      <c r="U104" t="e">
        <f>AND(#REF!,"AAAAAD2vvRQ=")</f>
        <v>#REF!</v>
      </c>
      <c r="V104" t="e">
        <f>AND(#REF!,"AAAAAD2vvRU=")</f>
        <v>#REF!</v>
      </c>
      <c r="W104" t="e">
        <f>AND(#REF!,"AAAAAD2vvRY=")</f>
        <v>#REF!</v>
      </c>
      <c r="X104" t="e">
        <f>AND(#REF!,"AAAAAD2vvRc=")</f>
        <v>#REF!</v>
      </c>
      <c r="Y104" t="e">
        <f>AND(#REF!,"AAAAAD2vvRg=")</f>
        <v>#REF!</v>
      </c>
      <c r="Z104" t="e">
        <f>AND(#REF!,"AAAAAD2vvRk=")</f>
        <v>#REF!</v>
      </c>
      <c r="AA104" t="e">
        <f>AND(#REF!,"AAAAAD2vvRo=")</f>
        <v>#REF!</v>
      </c>
      <c r="AB104" t="e">
        <f>AND(#REF!,"AAAAAD2vvRs=")</f>
        <v>#REF!</v>
      </c>
      <c r="AC104" t="e">
        <f>AND(#REF!,"AAAAAD2vvRw=")</f>
        <v>#REF!</v>
      </c>
      <c r="AD104" t="e">
        <f>AND(#REF!,"AAAAAD2vvR0=")</f>
        <v>#REF!</v>
      </c>
      <c r="AE104" t="e">
        <f>AND(#REF!,"AAAAAD2vvR4=")</f>
        <v>#REF!</v>
      </c>
      <c r="AF104" t="e">
        <f>AND(#REF!,"AAAAAD2vvR8=")</f>
        <v>#REF!</v>
      </c>
      <c r="AG104" t="e">
        <f>AND(#REF!,"AAAAAD2vvSA=")</f>
        <v>#REF!</v>
      </c>
      <c r="AH104" t="e">
        <f>AND(#REF!,"AAAAAD2vvSE=")</f>
        <v>#REF!</v>
      </c>
      <c r="AI104" t="e">
        <f>AND(#REF!,"AAAAAD2vvSI=")</f>
        <v>#REF!</v>
      </c>
      <c r="AJ104" t="e">
        <f>AND(#REF!,"AAAAAD2vvSM=")</f>
        <v>#REF!</v>
      </c>
      <c r="AK104" t="e">
        <f>AND(#REF!,"AAAAAD2vvSQ=")</f>
        <v>#REF!</v>
      </c>
      <c r="AL104" t="e">
        <f>AND(#REF!,"AAAAAD2vvSU=")</f>
        <v>#REF!</v>
      </c>
      <c r="AM104" t="e">
        <f>AND(#REF!,"AAAAAD2vvSY=")</f>
        <v>#REF!</v>
      </c>
      <c r="AN104" t="e">
        <f>AND(#REF!,"AAAAAD2vvSc=")</f>
        <v>#REF!</v>
      </c>
      <c r="AO104" t="e">
        <f>AND(#REF!,"AAAAAD2vvSg=")</f>
        <v>#REF!</v>
      </c>
      <c r="AP104" t="e">
        <f>AND(#REF!,"AAAAAD2vvSk=")</f>
        <v>#REF!</v>
      </c>
      <c r="AQ104" t="e">
        <f>AND(#REF!,"AAAAAD2vvSo=")</f>
        <v>#REF!</v>
      </c>
      <c r="AR104" t="e">
        <f>AND(#REF!,"AAAAAD2vvSs=")</f>
        <v>#REF!</v>
      </c>
      <c r="AS104" t="e">
        <f>AND(#REF!,"AAAAAD2vvSw=")</f>
        <v>#REF!</v>
      </c>
      <c r="AT104" t="e">
        <f>AND(#REF!,"AAAAAD2vvS0=")</f>
        <v>#REF!</v>
      </c>
      <c r="AU104" t="e">
        <f>AND(#REF!,"AAAAAD2vvS4=")</f>
        <v>#REF!</v>
      </c>
      <c r="AV104" t="e">
        <f>AND(#REF!,"AAAAAD2vvS8=")</f>
        <v>#REF!</v>
      </c>
      <c r="AW104" t="e">
        <f>AND(#REF!,"AAAAAD2vvTA=")</f>
        <v>#REF!</v>
      </c>
      <c r="AX104" t="e">
        <f>AND(#REF!,"AAAAAD2vvTE=")</f>
        <v>#REF!</v>
      </c>
      <c r="AY104" t="e">
        <f>AND(#REF!,"AAAAAD2vvTI=")</f>
        <v>#REF!</v>
      </c>
      <c r="AZ104" t="e">
        <f>AND(#REF!,"AAAAAD2vvTM=")</f>
        <v>#REF!</v>
      </c>
      <c r="BA104" t="e">
        <f>AND(#REF!,"AAAAAD2vvTQ=")</f>
        <v>#REF!</v>
      </c>
      <c r="BB104" t="e">
        <f>AND(#REF!,"AAAAAD2vvTU=")</f>
        <v>#REF!</v>
      </c>
      <c r="BC104" t="e">
        <f>AND(#REF!,"AAAAAD2vvTY=")</f>
        <v>#REF!</v>
      </c>
      <c r="BD104" t="e">
        <f>AND(#REF!,"AAAAAD2vvTc=")</f>
        <v>#REF!</v>
      </c>
      <c r="BE104" t="e">
        <f>AND(#REF!,"AAAAAD2vvTg=")</f>
        <v>#REF!</v>
      </c>
      <c r="BF104" t="e">
        <f>AND(#REF!,"AAAAAD2vvTk=")</f>
        <v>#REF!</v>
      </c>
      <c r="BG104" t="e">
        <f>AND(#REF!,"AAAAAD2vvTo=")</f>
        <v>#REF!</v>
      </c>
      <c r="BH104" t="e">
        <f>AND(#REF!,"AAAAAD2vvTs=")</f>
        <v>#REF!</v>
      </c>
      <c r="BI104" t="e">
        <f>AND(#REF!,"AAAAAD2vvTw=")</f>
        <v>#REF!</v>
      </c>
      <c r="BJ104" t="e">
        <f>AND(#REF!,"AAAAAD2vvT0=")</f>
        <v>#REF!</v>
      </c>
      <c r="BK104" t="e">
        <f>AND(#REF!,"AAAAAD2vvT4=")</f>
        <v>#REF!</v>
      </c>
      <c r="BL104" t="e">
        <f>AND(#REF!,"AAAAAD2vvT8=")</f>
        <v>#REF!</v>
      </c>
      <c r="BM104" t="e">
        <f>AND(#REF!,"AAAAAD2vvUA=")</f>
        <v>#REF!</v>
      </c>
      <c r="BN104" t="e">
        <f>AND(#REF!,"AAAAAD2vvUE=")</f>
        <v>#REF!</v>
      </c>
      <c r="BO104" t="e">
        <f>AND(#REF!,"AAAAAD2vvUI=")</f>
        <v>#REF!</v>
      </c>
      <c r="BP104" t="e">
        <f>AND(#REF!,"AAAAAD2vvUM=")</f>
        <v>#REF!</v>
      </c>
      <c r="BQ104" t="e">
        <f>AND(#REF!,"AAAAAD2vvUQ=")</f>
        <v>#REF!</v>
      </c>
      <c r="BR104" t="e">
        <f>AND(#REF!,"AAAAAD2vvUU=")</f>
        <v>#REF!</v>
      </c>
      <c r="BS104" t="e">
        <f>AND(#REF!,"AAAAAD2vvUY=")</f>
        <v>#REF!</v>
      </c>
      <c r="BT104" t="e">
        <f>AND(#REF!,"AAAAAD2vvUc=")</f>
        <v>#REF!</v>
      </c>
      <c r="BU104" t="e">
        <f>AND(#REF!,"AAAAAD2vvUg=")</f>
        <v>#REF!</v>
      </c>
      <c r="BV104" t="e">
        <f>AND(#REF!,"AAAAAD2vvUk=")</f>
        <v>#REF!</v>
      </c>
      <c r="BW104" t="e">
        <f>AND(#REF!,"AAAAAD2vvUo=")</f>
        <v>#REF!</v>
      </c>
      <c r="BX104" t="e">
        <f>AND(#REF!,"AAAAAD2vvUs=")</f>
        <v>#REF!</v>
      </c>
      <c r="BY104" t="e">
        <f>AND(#REF!,"AAAAAD2vvUw=")</f>
        <v>#REF!</v>
      </c>
      <c r="BZ104" t="e">
        <f>AND(#REF!,"AAAAAD2vvU0=")</f>
        <v>#REF!</v>
      </c>
      <c r="CA104" t="e">
        <f>AND(#REF!,"AAAAAD2vvU4=")</f>
        <v>#REF!</v>
      </c>
      <c r="CB104" t="e">
        <f>AND(#REF!,"AAAAAD2vvU8=")</f>
        <v>#REF!</v>
      </c>
      <c r="CC104" t="e">
        <f>AND(#REF!,"AAAAAD2vvVA=")</f>
        <v>#REF!</v>
      </c>
      <c r="CD104" t="e">
        <f>AND(#REF!,"AAAAAD2vvVE=")</f>
        <v>#REF!</v>
      </c>
      <c r="CE104" t="e">
        <f>AND(#REF!,"AAAAAD2vvVI=")</f>
        <v>#REF!</v>
      </c>
      <c r="CF104" t="e">
        <f>AND(#REF!,"AAAAAD2vvVM=")</f>
        <v>#REF!</v>
      </c>
      <c r="CG104" t="e">
        <f>AND(#REF!,"AAAAAD2vvVQ=")</f>
        <v>#REF!</v>
      </c>
      <c r="CH104" t="e">
        <f>AND(#REF!,"AAAAAD2vvVU=")</f>
        <v>#REF!</v>
      </c>
      <c r="CI104" t="e">
        <f>AND(#REF!,"AAAAAD2vvVY=")</f>
        <v>#REF!</v>
      </c>
      <c r="CJ104" t="e">
        <f>AND(#REF!,"AAAAAD2vvVc=")</f>
        <v>#REF!</v>
      </c>
      <c r="CK104" t="e">
        <f>AND(#REF!,"AAAAAD2vvVg=")</f>
        <v>#REF!</v>
      </c>
      <c r="CL104" t="e">
        <f>AND(#REF!,"AAAAAD2vvVk=")</f>
        <v>#REF!</v>
      </c>
      <c r="CM104" t="e">
        <f>AND(#REF!,"AAAAAD2vvVo=")</f>
        <v>#REF!</v>
      </c>
      <c r="CN104" t="e">
        <f>AND(#REF!,"AAAAAD2vvVs=")</f>
        <v>#REF!</v>
      </c>
      <c r="CO104" t="e">
        <f>AND(#REF!,"AAAAAD2vvVw=")</f>
        <v>#REF!</v>
      </c>
      <c r="CP104" t="e">
        <f>AND(#REF!,"AAAAAD2vvV0=")</f>
        <v>#REF!</v>
      </c>
      <c r="CQ104" t="e">
        <f>AND(#REF!,"AAAAAD2vvV4=")</f>
        <v>#REF!</v>
      </c>
      <c r="CR104" t="e">
        <f>AND(#REF!,"AAAAAD2vvV8=")</f>
        <v>#REF!</v>
      </c>
      <c r="CS104" t="e">
        <f>AND(#REF!,"AAAAAD2vvWA=")</f>
        <v>#REF!</v>
      </c>
      <c r="CT104" t="e">
        <f>AND(#REF!,"AAAAAD2vvWE=")</f>
        <v>#REF!</v>
      </c>
      <c r="CU104" t="e">
        <f>AND(#REF!,"AAAAAD2vvWI=")</f>
        <v>#REF!</v>
      </c>
      <c r="CV104" t="e">
        <f>AND(#REF!,"AAAAAD2vvWM=")</f>
        <v>#REF!</v>
      </c>
      <c r="CW104" t="e">
        <f>AND(#REF!,"AAAAAD2vvWQ=")</f>
        <v>#REF!</v>
      </c>
      <c r="CX104" t="e">
        <f>AND(#REF!,"AAAAAD2vvWU=")</f>
        <v>#REF!</v>
      </c>
      <c r="CY104" t="e">
        <f>AND(#REF!,"AAAAAD2vvWY=")</f>
        <v>#REF!</v>
      </c>
      <c r="CZ104" t="e">
        <f>AND(#REF!,"AAAAAD2vvWc=")</f>
        <v>#REF!</v>
      </c>
      <c r="DA104" t="e">
        <f>AND(#REF!,"AAAAAD2vvWg=")</f>
        <v>#REF!</v>
      </c>
      <c r="DB104" t="e">
        <f>AND(#REF!,"AAAAAD2vvWk=")</f>
        <v>#REF!</v>
      </c>
      <c r="DC104" t="e">
        <f>AND(#REF!,"AAAAAD2vvWo=")</f>
        <v>#REF!</v>
      </c>
      <c r="DD104" t="e">
        <f>AND(#REF!,"AAAAAD2vvWs=")</f>
        <v>#REF!</v>
      </c>
      <c r="DE104" t="e">
        <f>AND(#REF!,"AAAAAD2vvWw=")</f>
        <v>#REF!</v>
      </c>
      <c r="DF104" t="e">
        <f>AND(#REF!,"AAAAAD2vvW0=")</f>
        <v>#REF!</v>
      </c>
      <c r="DG104" t="e">
        <f>AND(#REF!,"AAAAAD2vvW4=")</f>
        <v>#REF!</v>
      </c>
      <c r="DH104" t="e">
        <f>AND(#REF!,"AAAAAD2vvW8=")</f>
        <v>#REF!</v>
      </c>
      <c r="DI104" t="e">
        <f>AND(#REF!,"AAAAAD2vvXA=")</f>
        <v>#REF!</v>
      </c>
      <c r="DJ104" t="e">
        <f>AND(#REF!,"AAAAAD2vvXE=")</f>
        <v>#REF!</v>
      </c>
      <c r="DK104" t="e">
        <f>AND(#REF!,"AAAAAD2vvXI=")</f>
        <v>#REF!</v>
      </c>
      <c r="DL104" t="e">
        <f>AND(#REF!,"AAAAAD2vvXM=")</f>
        <v>#REF!</v>
      </c>
      <c r="DM104" t="e">
        <f>AND(#REF!,"AAAAAD2vvXQ=")</f>
        <v>#REF!</v>
      </c>
      <c r="DN104" t="e">
        <f>AND(#REF!,"AAAAAD2vvXU=")</f>
        <v>#REF!</v>
      </c>
      <c r="DO104" t="e">
        <f>AND(#REF!,"AAAAAD2vvXY=")</f>
        <v>#REF!</v>
      </c>
      <c r="DP104" t="e">
        <f>AND(#REF!,"AAAAAD2vvXc=")</f>
        <v>#REF!</v>
      </c>
      <c r="DQ104" t="e">
        <f>AND(#REF!,"AAAAAD2vvXg=")</f>
        <v>#REF!</v>
      </c>
      <c r="DR104" t="e">
        <f>AND(#REF!,"AAAAAD2vvXk=")</f>
        <v>#REF!</v>
      </c>
      <c r="DS104" t="e">
        <f>AND(#REF!,"AAAAAD2vvXo=")</f>
        <v>#REF!</v>
      </c>
      <c r="DT104" t="e">
        <f>AND(#REF!,"AAAAAD2vvXs=")</f>
        <v>#REF!</v>
      </c>
      <c r="DU104" t="e">
        <f>AND(#REF!,"AAAAAD2vvXw=")</f>
        <v>#REF!</v>
      </c>
      <c r="DV104" t="e">
        <f>AND(#REF!,"AAAAAD2vvX0=")</f>
        <v>#REF!</v>
      </c>
      <c r="DW104" t="e">
        <f>AND(#REF!,"AAAAAD2vvX4=")</f>
        <v>#REF!</v>
      </c>
      <c r="DX104" t="e">
        <f>AND(#REF!,"AAAAAD2vvX8=")</f>
        <v>#REF!</v>
      </c>
      <c r="DY104" t="e">
        <f>AND(#REF!,"AAAAAD2vvYA=")</f>
        <v>#REF!</v>
      </c>
      <c r="DZ104" t="e">
        <f>AND(#REF!,"AAAAAD2vvYE=")</f>
        <v>#REF!</v>
      </c>
      <c r="EA104" t="e">
        <f>AND(#REF!,"AAAAAD2vvYI=")</f>
        <v>#REF!</v>
      </c>
      <c r="EB104" t="e">
        <f>AND(#REF!,"AAAAAD2vvYM=")</f>
        <v>#REF!</v>
      </c>
      <c r="EC104" t="e">
        <f>AND(#REF!,"AAAAAD2vvYQ=")</f>
        <v>#REF!</v>
      </c>
      <c r="ED104" t="e">
        <f>AND(#REF!,"AAAAAD2vvYU=")</f>
        <v>#REF!</v>
      </c>
      <c r="EE104" t="e">
        <f>AND(#REF!,"AAAAAD2vvYY=")</f>
        <v>#REF!</v>
      </c>
      <c r="EF104" t="e">
        <f>AND(#REF!,"AAAAAD2vvYc=")</f>
        <v>#REF!</v>
      </c>
      <c r="EG104" t="e">
        <f>AND(#REF!,"AAAAAD2vvYg=")</f>
        <v>#REF!</v>
      </c>
      <c r="EH104" t="e">
        <f>AND(#REF!,"AAAAAD2vvYk=")</f>
        <v>#REF!</v>
      </c>
      <c r="EI104" t="e">
        <f>AND(#REF!,"AAAAAD2vvYo=")</f>
        <v>#REF!</v>
      </c>
      <c r="EJ104" t="e">
        <f>AND(#REF!,"AAAAAD2vvYs=")</f>
        <v>#REF!</v>
      </c>
      <c r="EK104" t="e">
        <f>AND(#REF!,"AAAAAD2vvYw=")</f>
        <v>#REF!</v>
      </c>
      <c r="EL104" t="e">
        <f>AND(#REF!,"AAAAAD2vvY0=")</f>
        <v>#REF!</v>
      </c>
      <c r="EM104" t="e">
        <f>AND(#REF!,"AAAAAD2vvY4=")</f>
        <v>#REF!</v>
      </c>
      <c r="EN104" t="e">
        <f>AND(#REF!,"AAAAAD2vvY8=")</f>
        <v>#REF!</v>
      </c>
      <c r="EO104" t="e">
        <f>AND(#REF!,"AAAAAD2vvZA=")</f>
        <v>#REF!</v>
      </c>
      <c r="EP104" t="e">
        <f>AND(#REF!,"AAAAAD2vvZE=")</f>
        <v>#REF!</v>
      </c>
      <c r="EQ104" t="e">
        <f>AND(#REF!,"AAAAAD2vvZI=")</f>
        <v>#REF!</v>
      </c>
      <c r="ER104" t="e">
        <f>AND(#REF!,"AAAAAD2vvZM=")</f>
        <v>#REF!</v>
      </c>
      <c r="ES104" t="e">
        <f>AND(#REF!,"AAAAAD2vvZQ=")</f>
        <v>#REF!</v>
      </c>
      <c r="ET104" t="e">
        <f>AND(#REF!,"AAAAAD2vvZU=")</f>
        <v>#REF!</v>
      </c>
      <c r="EU104" t="e">
        <f>AND(#REF!,"AAAAAD2vvZY=")</f>
        <v>#REF!</v>
      </c>
      <c r="EV104" t="e">
        <f>AND(#REF!,"AAAAAD2vvZc=")</f>
        <v>#REF!</v>
      </c>
      <c r="EW104" t="e">
        <f>AND(#REF!,"AAAAAD2vvZg=")</f>
        <v>#REF!</v>
      </c>
      <c r="EX104" t="e">
        <f>AND(#REF!,"AAAAAD2vvZk=")</f>
        <v>#REF!</v>
      </c>
      <c r="EY104" t="e">
        <f>AND(#REF!,"AAAAAD2vvZo=")</f>
        <v>#REF!</v>
      </c>
      <c r="EZ104" t="e">
        <f>AND(#REF!,"AAAAAD2vvZs=")</f>
        <v>#REF!</v>
      </c>
      <c r="FA104" t="e">
        <f>AND(#REF!,"AAAAAD2vvZw=")</f>
        <v>#REF!</v>
      </c>
      <c r="FB104" t="e">
        <f>AND(#REF!,"AAAAAD2vvZ0=")</f>
        <v>#REF!</v>
      </c>
      <c r="FC104" t="e">
        <f>AND(#REF!,"AAAAAD2vvZ4=")</f>
        <v>#REF!</v>
      </c>
      <c r="FD104" t="e">
        <f>AND(#REF!,"AAAAAD2vvZ8=")</f>
        <v>#REF!</v>
      </c>
      <c r="FE104" t="e">
        <f>AND(#REF!,"AAAAAD2vvaA=")</f>
        <v>#REF!</v>
      </c>
      <c r="FF104" t="e">
        <f>AND(#REF!,"AAAAAD2vvaE=")</f>
        <v>#REF!</v>
      </c>
      <c r="FG104" t="e">
        <f>AND(#REF!,"AAAAAD2vvaI=")</f>
        <v>#REF!</v>
      </c>
      <c r="FH104" t="e">
        <f>AND(#REF!,"AAAAAD2vvaM=")</f>
        <v>#REF!</v>
      </c>
      <c r="FI104" t="e">
        <f>AND(#REF!,"AAAAAD2vvaQ=")</f>
        <v>#REF!</v>
      </c>
      <c r="FJ104" t="e">
        <f>AND(#REF!,"AAAAAD2vvaU=")</f>
        <v>#REF!</v>
      </c>
      <c r="FK104" t="e">
        <f>AND(#REF!,"AAAAAD2vvaY=")</f>
        <v>#REF!</v>
      </c>
      <c r="FL104" t="e">
        <f>AND(#REF!,"AAAAAD2vvac=")</f>
        <v>#REF!</v>
      </c>
      <c r="FM104" t="e">
        <f>AND(#REF!,"AAAAAD2vvag=")</f>
        <v>#REF!</v>
      </c>
      <c r="FN104" t="e">
        <f>AND(#REF!,"AAAAAD2vvak=")</f>
        <v>#REF!</v>
      </c>
      <c r="FO104" t="e">
        <f>AND(#REF!,"AAAAAD2vvao=")</f>
        <v>#REF!</v>
      </c>
      <c r="FP104" t="e">
        <f>AND(#REF!,"AAAAAD2vvas=")</f>
        <v>#REF!</v>
      </c>
      <c r="FQ104" t="e">
        <f>AND(#REF!,"AAAAAD2vvaw=")</f>
        <v>#REF!</v>
      </c>
      <c r="FR104" t="e">
        <f>AND(#REF!,"AAAAAD2vva0=")</f>
        <v>#REF!</v>
      </c>
      <c r="FS104" t="e">
        <f>AND(#REF!,"AAAAAD2vva4=")</f>
        <v>#REF!</v>
      </c>
      <c r="FT104" t="e">
        <f>AND(#REF!,"AAAAAD2vva8=")</f>
        <v>#REF!</v>
      </c>
      <c r="FU104" t="e">
        <f>AND(#REF!,"AAAAAD2vvbA=")</f>
        <v>#REF!</v>
      </c>
      <c r="FV104" t="e">
        <f>AND(#REF!,"AAAAAD2vvbE=")</f>
        <v>#REF!</v>
      </c>
      <c r="FW104" t="e">
        <f>AND(#REF!,"AAAAAD2vvbI=")</f>
        <v>#REF!</v>
      </c>
      <c r="FX104" t="e">
        <f>AND(#REF!,"AAAAAD2vvbM=")</f>
        <v>#REF!</v>
      </c>
      <c r="FY104" t="e">
        <f>AND(#REF!,"AAAAAD2vvbQ=")</f>
        <v>#REF!</v>
      </c>
      <c r="FZ104" t="e">
        <f>AND(#REF!,"AAAAAD2vvbU=")</f>
        <v>#REF!</v>
      </c>
      <c r="GA104" t="e">
        <f>AND(#REF!,"AAAAAD2vvbY=")</f>
        <v>#REF!</v>
      </c>
      <c r="GB104" t="e">
        <f>AND(#REF!,"AAAAAD2vvbc=")</f>
        <v>#REF!</v>
      </c>
      <c r="GC104" t="e">
        <f>AND(#REF!,"AAAAAD2vvbg=")</f>
        <v>#REF!</v>
      </c>
      <c r="GD104" t="e">
        <f>AND(#REF!,"AAAAAD2vvbk=")</f>
        <v>#REF!</v>
      </c>
      <c r="GE104" t="e">
        <f>AND(#REF!,"AAAAAD2vvbo=")</f>
        <v>#REF!</v>
      </c>
      <c r="GF104" t="e">
        <f>AND(#REF!,"AAAAAD2vvbs=")</f>
        <v>#REF!</v>
      </c>
      <c r="GG104" t="e">
        <f>AND(#REF!,"AAAAAD2vvbw=")</f>
        <v>#REF!</v>
      </c>
      <c r="GH104" t="e">
        <f>AND(#REF!,"AAAAAD2vvb0=")</f>
        <v>#REF!</v>
      </c>
      <c r="GI104" t="e">
        <f>AND(#REF!,"AAAAAD2vvb4=")</f>
        <v>#REF!</v>
      </c>
      <c r="GJ104" t="e">
        <f>AND(#REF!,"AAAAAD2vvb8=")</f>
        <v>#REF!</v>
      </c>
      <c r="GK104" t="e">
        <f>AND(#REF!,"AAAAAD2vvcA=")</f>
        <v>#REF!</v>
      </c>
      <c r="GL104" t="e">
        <f>AND(#REF!,"AAAAAD2vvcE=")</f>
        <v>#REF!</v>
      </c>
      <c r="GM104" t="e">
        <f>AND(#REF!,"AAAAAD2vvcI=")</f>
        <v>#REF!</v>
      </c>
      <c r="GN104" t="e">
        <f>AND(#REF!,"AAAAAD2vvcM=")</f>
        <v>#REF!</v>
      </c>
      <c r="GO104" t="e">
        <f>AND(#REF!,"AAAAAD2vvcQ=")</f>
        <v>#REF!</v>
      </c>
      <c r="GP104" t="e">
        <f>AND(#REF!,"AAAAAD2vvcU=")</f>
        <v>#REF!</v>
      </c>
      <c r="GQ104" t="e">
        <f>AND(#REF!,"AAAAAD2vvcY=")</f>
        <v>#REF!</v>
      </c>
      <c r="GR104" t="e">
        <f>AND(#REF!,"AAAAAD2vvcc=")</f>
        <v>#REF!</v>
      </c>
      <c r="GS104" t="e">
        <f>AND(#REF!,"AAAAAD2vvcg=")</f>
        <v>#REF!</v>
      </c>
      <c r="GT104" t="e">
        <f>AND(#REF!,"AAAAAD2vvck=")</f>
        <v>#REF!</v>
      </c>
      <c r="GU104" t="e">
        <f>AND(#REF!,"AAAAAD2vvco=")</f>
        <v>#REF!</v>
      </c>
      <c r="GV104" t="e">
        <f>AND(#REF!,"AAAAAD2vvcs=")</f>
        <v>#REF!</v>
      </c>
      <c r="GW104" t="e">
        <f>AND(#REF!,"AAAAAD2vvcw=")</f>
        <v>#REF!</v>
      </c>
      <c r="GX104" t="e">
        <f>AND(#REF!,"AAAAAD2vvc0=")</f>
        <v>#REF!</v>
      </c>
      <c r="GY104" t="e">
        <f>AND(#REF!,"AAAAAD2vvc4=")</f>
        <v>#REF!</v>
      </c>
      <c r="GZ104" t="e">
        <f>AND(#REF!,"AAAAAD2vvc8=")</f>
        <v>#REF!</v>
      </c>
      <c r="HA104" t="e">
        <f>AND(#REF!,"AAAAAD2vvdA=")</f>
        <v>#REF!</v>
      </c>
      <c r="HB104" t="e">
        <f>AND(#REF!,"AAAAAD2vvdE=")</f>
        <v>#REF!</v>
      </c>
      <c r="HC104" t="e">
        <f>AND(#REF!,"AAAAAD2vvdI=")</f>
        <v>#REF!</v>
      </c>
      <c r="HD104" t="e">
        <f>AND(#REF!,"AAAAAD2vvdM=")</f>
        <v>#REF!</v>
      </c>
      <c r="HE104" t="e">
        <f>AND(#REF!,"AAAAAD2vvdQ=")</f>
        <v>#REF!</v>
      </c>
      <c r="HF104" t="e">
        <f>AND(#REF!,"AAAAAD2vvdU=")</f>
        <v>#REF!</v>
      </c>
      <c r="HG104" t="e">
        <f>AND(#REF!,"AAAAAD2vvdY=")</f>
        <v>#REF!</v>
      </c>
      <c r="HH104" t="e">
        <f>AND(#REF!,"AAAAAD2vvdc=")</f>
        <v>#REF!</v>
      </c>
      <c r="HI104" t="e">
        <f>AND(#REF!,"AAAAAD2vvdg=")</f>
        <v>#REF!</v>
      </c>
      <c r="HJ104" t="e">
        <f>AND(#REF!,"AAAAAD2vvdk=")</f>
        <v>#REF!</v>
      </c>
      <c r="HK104" t="e">
        <f>AND(#REF!,"AAAAAD2vvdo=")</f>
        <v>#REF!</v>
      </c>
      <c r="HL104" t="e">
        <f>AND(#REF!,"AAAAAD2vvds=")</f>
        <v>#REF!</v>
      </c>
      <c r="HM104" t="e">
        <f>AND(#REF!,"AAAAAD2vvdw=")</f>
        <v>#REF!</v>
      </c>
      <c r="HN104" t="e">
        <f>AND(#REF!,"AAAAAD2vvd0=")</f>
        <v>#REF!</v>
      </c>
      <c r="HO104" t="e">
        <f>AND(#REF!,"AAAAAD2vvd4=")</f>
        <v>#REF!</v>
      </c>
      <c r="HP104" t="e">
        <f>AND(#REF!,"AAAAAD2vvd8=")</f>
        <v>#REF!</v>
      </c>
      <c r="HQ104" t="e">
        <f>AND(#REF!,"AAAAAD2vveA=")</f>
        <v>#REF!</v>
      </c>
      <c r="HR104" t="e">
        <f>AND(#REF!,"AAAAAD2vveE=")</f>
        <v>#REF!</v>
      </c>
      <c r="HS104" t="e">
        <f>AND(#REF!,"AAAAAD2vveI=")</f>
        <v>#REF!</v>
      </c>
      <c r="HT104" t="e">
        <f>AND(#REF!,"AAAAAD2vveM=")</f>
        <v>#REF!</v>
      </c>
      <c r="HU104" t="e">
        <f>AND(#REF!,"AAAAAD2vveQ=")</f>
        <v>#REF!</v>
      </c>
      <c r="HV104" t="e">
        <f>AND(#REF!,"AAAAAD2vveU=")</f>
        <v>#REF!</v>
      </c>
      <c r="HW104" t="e">
        <f>AND(#REF!,"AAAAAD2vveY=")</f>
        <v>#REF!</v>
      </c>
      <c r="HX104" t="e">
        <f>AND(#REF!,"AAAAAD2vvec=")</f>
        <v>#REF!</v>
      </c>
      <c r="HY104" t="e">
        <f>AND(#REF!,"AAAAAD2vveg=")</f>
        <v>#REF!</v>
      </c>
      <c r="HZ104" t="e">
        <f>AND(#REF!,"AAAAAD2vvek=")</f>
        <v>#REF!</v>
      </c>
      <c r="IA104" t="e">
        <f>AND(#REF!,"AAAAAD2vveo=")</f>
        <v>#REF!</v>
      </c>
      <c r="IB104" t="e">
        <f>AND(#REF!,"AAAAAD2vves=")</f>
        <v>#REF!</v>
      </c>
      <c r="IC104" t="e">
        <f>AND(#REF!,"AAAAAD2vvew=")</f>
        <v>#REF!</v>
      </c>
      <c r="ID104" t="e">
        <f>AND(#REF!,"AAAAAD2vve0=")</f>
        <v>#REF!</v>
      </c>
      <c r="IE104" t="e">
        <f>AND(#REF!,"AAAAAD2vve4=")</f>
        <v>#REF!</v>
      </c>
      <c r="IF104" t="e">
        <f>AND(#REF!,"AAAAAD2vve8=")</f>
        <v>#REF!</v>
      </c>
      <c r="IG104" t="e">
        <f>AND(#REF!,"AAAAAD2vvfA=")</f>
        <v>#REF!</v>
      </c>
      <c r="IH104" t="e">
        <f>AND(#REF!,"AAAAAD2vvfE=")</f>
        <v>#REF!</v>
      </c>
      <c r="II104" t="e">
        <f>AND(#REF!,"AAAAAD2vvfI=")</f>
        <v>#REF!</v>
      </c>
      <c r="IJ104" t="e">
        <f>AND(#REF!,"AAAAAD2vvfM=")</f>
        <v>#REF!</v>
      </c>
      <c r="IK104" t="e">
        <f>AND(#REF!,"AAAAAD2vvfQ=")</f>
        <v>#REF!</v>
      </c>
      <c r="IL104" t="e">
        <f>AND(#REF!,"AAAAAD2vvfU=")</f>
        <v>#REF!</v>
      </c>
      <c r="IM104" t="e">
        <f>AND(#REF!,"AAAAAD2vvfY=")</f>
        <v>#REF!</v>
      </c>
      <c r="IN104" t="e">
        <f>AND(#REF!,"AAAAAD2vvfc=")</f>
        <v>#REF!</v>
      </c>
      <c r="IO104" t="e">
        <f>AND(#REF!,"AAAAAD2vvfg=")</f>
        <v>#REF!</v>
      </c>
      <c r="IP104" t="e">
        <f>AND(#REF!,"AAAAAD2vvfk=")</f>
        <v>#REF!</v>
      </c>
      <c r="IQ104" t="e">
        <f>AND(#REF!,"AAAAAD2vvfo=")</f>
        <v>#REF!</v>
      </c>
      <c r="IR104" t="e">
        <f>AND(#REF!,"AAAAAD2vvfs=")</f>
        <v>#REF!</v>
      </c>
      <c r="IS104" t="e">
        <f>AND(#REF!,"AAAAAD2vvfw=")</f>
        <v>#REF!</v>
      </c>
      <c r="IT104" t="e">
        <f>AND(#REF!,"AAAAAD2vvf0=")</f>
        <v>#REF!</v>
      </c>
      <c r="IU104" t="e">
        <f>AND(#REF!,"AAAAAD2vvf4=")</f>
        <v>#REF!</v>
      </c>
      <c r="IV104" t="e">
        <f>AND(#REF!,"AAAAAD2vvf8=")</f>
        <v>#REF!</v>
      </c>
    </row>
    <row r="105" spans="1:256" x14ac:dyDescent="0.25">
      <c r="A105" t="e">
        <f>AND(#REF!,"AAAAAHcjbAA=")</f>
        <v>#REF!</v>
      </c>
      <c r="B105" t="e">
        <f>AND(#REF!,"AAAAAHcjbAE=")</f>
        <v>#REF!</v>
      </c>
      <c r="C105" t="e">
        <f>AND(#REF!,"AAAAAHcjbAI=")</f>
        <v>#REF!</v>
      </c>
      <c r="D105" t="e">
        <f>AND(#REF!,"AAAAAHcjbAM=")</f>
        <v>#REF!</v>
      </c>
      <c r="E105" t="e">
        <f>AND(#REF!,"AAAAAHcjbAQ=")</f>
        <v>#REF!</v>
      </c>
      <c r="F105" t="e">
        <f>AND(#REF!,"AAAAAHcjbAU=")</f>
        <v>#REF!</v>
      </c>
      <c r="G105" t="e">
        <f>AND(#REF!,"AAAAAHcjbAY=")</f>
        <v>#REF!</v>
      </c>
      <c r="H105" t="e">
        <f>AND(#REF!,"AAAAAHcjbAc=")</f>
        <v>#REF!</v>
      </c>
      <c r="I105" t="e">
        <f>AND(#REF!,"AAAAAHcjbAg=")</f>
        <v>#REF!</v>
      </c>
      <c r="J105" t="e">
        <f>AND(#REF!,"AAAAAHcjbAk=")</f>
        <v>#REF!</v>
      </c>
      <c r="K105" t="e">
        <f>AND(#REF!,"AAAAAHcjbAo=")</f>
        <v>#REF!</v>
      </c>
      <c r="L105" t="e">
        <f>AND(#REF!,"AAAAAHcjbAs=")</f>
        <v>#REF!</v>
      </c>
      <c r="M105" t="e">
        <f>AND(#REF!,"AAAAAHcjbAw=")</f>
        <v>#REF!</v>
      </c>
      <c r="N105" t="e">
        <f>AND(#REF!,"AAAAAHcjbA0=")</f>
        <v>#REF!</v>
      </c>
      <c r="O105" t="e">
        <f>AND(#REF!,"AAAAAHcjbA4=")</f>
        <v>#REF!</v>
      </c>
      <c r="P105" t="e">
        <f>AND(#REF!,"AAAAAHcjbA8=")</f>
        <v>#REF!</v>
      </c>
      <c r="Q105" t="e">
        <f>AND(#REF!,"AAAAAHcjbBA=")</f>
        <v>#REF!</v>
      </c>
      <c r="R105" t="e">
        <f>AND(#REF!,"AAAAAHcjbBE=")</f>
        <v>#REF!</v>
      </c>
      <c r="S105" t="e">
        <f>AND(#REF!,"AAAAAHcjbBI=")</f>
        <v>#REF!</v>
      </c>
      <c r="T105" t="e">
        <f>AND(#REF!,"AAAAAHcjbBM=")</f>
        <v>#REF!</v>
      </c>
      <c r="U105" t="e">
        <f>AND(#REF!,"AAAAAHcjbBQ=")</f>
        <v>#REF!</v>
      </c>
      <c r="V105" t="e">
        <f>AND(#REF!,"AAAAAHcjbBU=")</f>
        <v>#REF!</v>
      </c>
      <c r="W105" t="e">
        <f>AND(#REF!,"AAAAAHcjbBY=")</f>
        <v>#REF!</v>
      </c>
      <c r="X105" t="e">
        <f>AND(#REF!,"AAAAAHcjbBc=")</f>
        <v>#REF!</v>
      </c>
      <c r="Y105" t="e">
        <f>AND(#REF!,"AAAAAHcjbBg=")</f>
        <v>#REF!</v>
      </c>
      <c r="Z105" t="e">
        <f>AND(#REF!,"AAAAAHcjbBk=")</f>
        <v>#REF!</v>
      </c>
      <c r="AA105" t="e">
        <f>AND(#REF!,"AAAAAHcjbBo=")</f>
        <v>#REF!</v>
      </c>
      <c r="AB105" t="e">
        <f>AND(#REF!,"AAAAAHcjbBs=")</f>
        <v>#REF!</v>
      </c>
      <c r="AC105" t="e">
        <f>AND(#REF!,"AAAAAHcjbBw=")</f>
        <v>#REF!</v>
      </c>
      <c r="AD105" t="e">
        <f>AND(#REF!,"AAAAAHcjbB0=")</f>
        <v>#REF!</v>
      </c>
      <c r="AE105" t="e">
        <f>AND(#REF!,"AAAAAHcjbB4=")</f>
        <v>#REF!</v>
      </c>
      <c r="AF105" t="e">
        <f>AND(#REF!,"AAAAAHcjbB8=")</f>
        <v>#REF!</v>
      </c>
      <c r="AG105" t="e">
        <f>AND(#REF!,"AAAAAHcjbCA=")</f>
        <v>#REF!</v>
      </c>
      <c r="AH105" t="e">
        <f>AND(#REF!,"AAAAAHcjbCE=")</f>
        <v>#REF!</v>
      </c>
      <c r="AI105" t="e">
        <f>AND(#REF!,"AAAAAHcjbCI=")</f>
        <v>#REF!</v>
      </c>
      <c r="AJ105" t="e">
        <f>AND(#REF!,"AAAAAHcjbCM=")</f>
        <v>#REF!</v>
      </c>
      <c r="AK105" t="e">
        <f>AND(#REF!,"AAAAAHcjbCQ=")</f>
        <v>#REF!</v>
      </c>
      <c r="AL105" t="e">
        <f>AND(#REF!,"AAAAAHcjbCU=")</f>
        <v>#REF!</v>
      </c>
      <c r="AM105" t="e">
        <f>AND(#REF!,"AAAAAHcjbCY=")</f>
        <v>#REF!</v>
      </c>
      <c r="AN105" t="e">
        <f>AND(#REF!,"AAAAAHcjbCc=")</f>
        <v>#REF!</v>
      </c>
      <c r="AO105" t="e">
        <f>AND(#REF!,"AAAAAHcjbCg=")</f>
        <v>#REF!</v>
      </c>
      <c r="AP105" t="e">
        <f>AND(#REF!,"AAAAAHcjbCk=")</f>
        <v>#REF!</v>
      </c>
      <c r="AQ105" t="e">
        <f>AND(#REF!,"AAAAAHcjbCo=")</f>
        <v>#REF!</v>
      </c>
      <c r="AR105" t="e">
        <f>AND(#REF!,"AAAAAHcjbCs=")</f>
        <v>#REF!</v>
      </c>
      <c r="AS105" t="e">
        <f>AND(#REF!,"AAAAAHcjbCw=")</f>
        <v>#REF!</v>
      </c>
      <c r="AT105" t="e">
        <f>AND(#REF!,"AAAAAHcjbC0=")</f>
        <v>#REF!</v>
      </c>
      <c r="AU105" t="e">
        <f>AND(#REF!,"AAAAAHcjbC4=")</f>
        <v>#REF!</v>
      </c>
      <c r="AV105" t="e">
        <f>AND(#REF!,"AAAAAHcjbC8=")</f>
        <v>#REF!</v>
      </c>
      <c r="AW105" t="e">
        <f>AND(#REF!,"AAAAAHcjbDA=")</f>
        <v>#REF!</v>
      </c>
      <c r="AX105" t="e">
        <f>AND(#REF!,"AAAAAHcjbDE=")</f>
        <v>#REF!</v>
      </c>
      <c r="AY105" t="e">
        <f>AND(#REF!,"AAAAAHcjbDI=")</f>
        <v>#REF!</v>
      </c>
      <c r="AZ105" t="e">
        <f>AND(#REF!,"AAAAAHcjbDM=")</f>
        <v>#REF!</v>
      </c>
      <c r="BA105" t="e">
        <f>AND(#REF!,"AAAAAHcjbDQ=")</f>
        <v>#REF!</v>
      </c>
      <c r="BB105" t="e">
        <f>AND(#REF!,"AAAAAHcjbDU=")</f>
        <v>#REF!</v>
      </c>
      <c r="BC105" t="e">
        <f>AND(#REF!,"AAAAAHcjbDY=")</f>
        <v>#REF!</v>
      </c>
      <c r="BD105" t="e">
        <f>AND(#REF!,"AAAAAHcjbDc=")</f>
        <v>#REF!</v>
      </c>
      <c r="BE105" t="e">
        <f>AND(#REF!,"AAAAAHcjbDg=")</f>
        <v>#REF!</v>
      </c>
      <c r="BF105" t="e">
        <f>AND(#REF!,"AAAAAHcjbDk=")</f>
        <v>#REF!</v>
      </c>
      <c r="BG105" t="e">
        <f>AND(#REF!,"AAAAAHcjbDo=")</f>
        <v>#REF!</v>
      </c>
      <c r="BH105" t="e">
        <f>AND(#REF!,"AAAAAHcjbDs=")</f>
        <v>#REF!</v>
      </c>
      <c r="BI105" t="e">
        <f>AND(#REF!,"AAAAAHcjbDw=")</f>
        <v>#REF!</v>
      </c>
      <c r="BJ105" t="e">
        <f>AND(#REF!,"AAAAAHcjbD0=")</f>
        <v>#REF!</v>
      </c>
      <c r="BK105" t="e">
        <f>AND(#REF!,"AAAAAHcjbD4=")</f>
        <v>#REF!</v>
      </c>
      <c r="BL105" t="e">
        <f>AND(#REF!,"AAAAAHcjbD8=")</f>
        <v>#REF!</v>
      </c>
      <c r="BM105" t="e">
        <f>AND(#REF!,"AAAAAHcjbEA=")</f>
        <v>#REF!</v>
      </c>
      <c r="BN105" t="e">
        <f>AND(#REF!,"AAAAAHcjbEE=")</f>
        <v>#REF!</v>
      </c>
      <c r="BO105" t="e">
        <f>AND(#REF!,"AAAAAHcjbEI=")</f>
        <v>#REF!</v>
      </c>
      <c r="BP105" t="e">
        <f>AND(#REF!,"AAAAAHcjbEM=")</f>
        <v>#REF!</v>
      </c>
      <c r="BQ105" t="e">
        <f>AND(#REF!,"AAAAAHcjbEQ=")</f>
        <v>#REF!</v>
      </c>
      <c r="BR105" t="e">
        <f>AND(#REF!,"AAAAAHcjbEU=")</f>
        <v>#REF!</v>
      </c>
      <c r="BS105" t="e">
        <f>AND(#REF!,"AAAAAHcjbEY=")</f>
        <v>#REF!</v>
      </c>
      <c r="BT105" t="e">
        <f>AND(#REF!,"AAAAAHcjbEc=")</f>
        <v>#REF!</v>
      </c>
      <c r="BU105" t="e">
        <f>AND(#REF!,"AAAAAHcjbEg=")</f>
        <v>#REF!</v>
      </c>
      <c r="BV105" t="e">
        <f>AND(#REF!,"AAAAAHcjbEk=")</f>
        <v>#REF!</v>
      </c>
      <c r="BW105" t="e">
        <f>AND(#REF!,"AAAAAHcjbEo=")</f>
        <v>#REF!</v>
      </c>
      <c r="BX105" t="e">
        <f>AND(#REF!,"AAAAAHcjbEs=")</f>
        <v>#REF!</v>
      </c>
      <c r="BY105" t="e">
        <f>AND(#REF!,"AAAAAHcjbEw=")</f>
        <v>#REF!</v>
      </c>
      <c r="BZ105" t="e">
        <f>AND(#REF!,"AAAAAHcjbE0=")</f>
        <v>#REF!</v>
      </c>
      <c r="CA105" t="e">
        <f>AND(#REF!,"AAAAAHcjbE4=")</f>
        <v>#REF!</v>
      </c>
      <c r="CB105" t="e">
        <f>AND(#REF!,"AAAAAHcjbE8=")</f>
        <v>#REF!</v>
      </c>
      <c r="CC105" t="e">
        <f>AND(#REF!,"AAAAAHcjbFA=")</f>
        <v>#REF!</v>
      </c>
      <c r="CD105" t="e">
        <f>AND(#REF!,"AAAAAHcjbFE=")</f>
        <v>#REF!</v>
      </c>
      <c r="CE105" t="e">
        <f>AND(#REF!,"AAAAAHcjbFI=")</f>
        <v>#REF!</v>
      </c>
      <c r="CF105" t="e">
        <f>AND(#REF!,"AAAAAHcjbFM=")</f>
        <v>#REF!</v>
      </c>
      <c r="CG105" t="e">
        <f>AND(#REF!,"AAAAAHcjbFQ=")</f>
        <v>#REF!</v>
      </c>
      <c r="CH105" t="e">
        <f>AND(#REF!,"AAAAAHcjbFU=")</f>
        <v>#REF!</v>
      </c>
      <c r="CI105" t="e">
        <f>AND(#REF!,"AAAAAHcjbFY=")</f>
        <v>#REF!</v>
      </c>
      <c r="CJ105" t="e">
        <f>AND(#REF!,"AAAAAHcjbFc=")</f>
        <v>#REF!</v>
      </c>
      <c r="CK105" t="e">
        <f>AND(#REF!,"AAAAAHcjbFg=")</f>
        <v>#REF!</v>
      </c>
      <c r="CL105" t="e">
        <f>AND(#REF!,"AAAAAHcjbFk=")</f>
        <v>#REF!</v>
      </c>
      <c r="CM105" t="e">
        <f>AND(#REF!,"AAAAAHcjbFo=")</f>
        <v>#REF!</v>
      </c>
      <c r="CN105" t="e">
        <f>AND(#REF!,"AAAAAHcjbFs=")</f>
        <v>#REF!</v>
      </c>
      <c r="CO105" t="e">
        <f>AND(#REF!,"AAAAAHcjbFw=")</f>
        <v>#REF!</v>
      </c>
      <c r="CP105" t="e">
        <f>AND(#REF!,"AAAAAHcjbF0=")</f>
        <v>#REF!</v>
      </c>
      <c r="CQ105" t="e">
        <f>AND(#REF!,"AAAAAHcjbF4=")</f>
        <v>#REF!</v>
      </c>
      <c r="CR105" t="e">
        <f>AND(#REF!,"AAAAAHcjbF8=")</f>
        <v>#REF!</v>
      </c>
      <c r="CS105" t="e">
        <f>AND(#REF!,"AAAAAHcjbGA=")</f>
        <v>#REF!</v>
      </c>
      <c r="CT105" t="e">
        <f>AND(#REF!,"AAAAAHcjbGE=")</f>
        <v>#REF!</v>
      </c>
      <c r="CU105" t="e">
        <f>AND(#REF!,"AAAAAHcjbGI=")</f>
        <v>#REF!</v>
      </c>
      <c r="CV105" t="e">
        <f>AND(#REF!,"AAAAAHcjbGM=")</f>
        <v>#REF!</v>
      </c>
      <c r="CW105" t="e">
        <f>AND(#REF!,"AAAAAHcjbGQ=")</f>
        <v>#REF!</v>
      </c>
      <c r="CX105" t="e">
        <f>AND(#REF!,"AAAAAHcjbGU=")</f>
        <v>#REF!</v>
      </c>
      <c r="CY105" t="e">
        <f>AND(#REF!,"AAAAAHcjbGY=")</f>
        <v>#REF!</v>
      </c>
      <c r="CZ105" t="e">
        <f>AND(#REF!,"AAAAAHcjbGc=")</f>
        <v>#REF!</v>
      </c>
      <c r="DA105" t="e">
        <f>AND(#REF!,"AAAAAHcjbGg=")</f>
        <v>#REF!</v>
      </c>
      <c r="DB105" t="e">
        <f>AND(#REF!,"AAAAAHcjbGk=")</f>
        <v>#REF!</v>
      </c>
      <c r="DC105" t="e">
        <f>AND(#REF!,"AAAAAHcjbGo=")</f>
        <v>#REF!</v>
      </c>
      <c r="DD105" t="e">
        <f>AND(#REF!,"AAAAAHcjbGs=")</f>
        <v>#REF!</v>
      </c>
      <c r="DE105" t="e">
        <f>AND(#REF!,"AAAAAHcjbGw=")</f>
        <v>#REF!</v>
      </c>
      <c r="DF105" t="e">
        <f>AND(#REF!,"AAAAAHcjbG0=")</f>
        <v>#REF!</v>
      </c>
      <c r="DG105" t="e">
        <f>AND(#REF!,"AAAAAHcjbG4=")</f>
        <v>#REF!</v>
      </c>
      <c r="DH105" t="e">
        <f>AND(#REF!,"AAAAAHcjbG8=")</f>
        <v>#REF!</v>
      </c>
      <c r="DI105" t="e">
        <f>AND(#REF!,"AAAAAHcjbHA=")</f>
        <v>#REF!</v>
      </c>
      <c r="DJ105" t="e">
        <f>AND(#REF!,"AAAAAHcjbHE=")</f>
        <v>#REF!</v>
      </c>
      <c r="DK105" t="e">
        <f>AND(#REF!,"AAAAAHcjbHI=")</f>
        <v>#REF!</v>
      </c>
      <c r="DL105" t="e">
        <f>AND(#REF!,"AAAAAHcjbHM=")</f>
        <v>#REF!</v>
      </c>
      <c r="DM105" t="e">
        <f>AND(#REF!,"AAAAAHcjbHQ=")</f>
        <v>#REF!</v>
      </c>
      <c r="DN105" t="e">
        <f>AND(#REF!,"AAAAAHcjbHU=")</f>
        <v>#REF!</v>
      </c>
      <c r="DO105" t="e">
        <f>AND(#REF!,"AAAAAHcjbHY=")</f>
        <v>#REF!</v>
      </c>
      <c r="DP105" t="e">
        <f>AND(#REF!,"AAAAAHcjbHc=")</f>
        <v>#REF!</v>
      </c>
      <c r="DQ105" t="e">
        <f>AND(#REF!,"AAAAAHcjbHg=")</f>
        <v>#REF!</v>
      </c>
      <c r="DR105" t="e">
        <f>AND(#REF!,"AAAAAHcjbHk=")</f>
        <v>#REF!</v>
      </c>
      <c r="DS105" t="e">
        <f>AND(#REF!,"AAAAAHcjbHo=")</f>
        <v>#REF!</v>
      </c>
      <c r="DT105" t="e">
        <f>IF(#REF!,"AAAAAHcjbHs=",0)</f>
        <v>#REF!</v>
      </c>
      <c r="DU105" t="e">
        <f>AND(#REF!,"AAAAAHcjbHw=")</f>
        <v>#REF!</v>
      </c>
      <c r="DV105" t="e">
        <f>AND(#REF!,"AAAAAHcjbH0=")</f>
        <v>#REF!</v>
      </c>
      <c r="DW105" t="e">
        <f>AND(#REF!,"AAAAAHcjbH4=")</f>
        <v>#REF!</v>
      </c>
      <c r="DX105" t="e">
        <f>AND(#REF!,"AAAAAHcjbH8=")</f>
        <v>#REF!</v>
      </c>
      <c r="DY105" t="e">
        <f>AND(#REF!,"AAAAAHcjbIA=")</f>
        <v>#REF!</v>
      </c>
      <c r="DZ105" t="e">
        <f>AND(#REF!,"AAAAAHcjbIE=")</f>
        <v>#REF!</v>
      </c>
      <c r="EA105" t="e">
        <f>AND(#REF!,"AAAAAHcjbII=")</f>
        <v>#REF!</v>
      </c>
      <c r="EB105" t="e">
        <f>AND(#REF!,"AAAAAHcjbIM=")</f>
        <v>#REF!</v>
      </c>
      <c r="EC105" t="e">
        <f>AND(#REF!,"AAAAAHcjbIQ=")</f>
        <v>#REF!</v>
      </c>
      <c r="ED105" t="e">
        <f>AND(#REF!,"AAAAAHcjbIU=")</f>
        <v>#REF!</v>
      </c>
      <c r="EE105" t="e">
        <f>AND(#REF!,"AAAAAHcjbIY=")</f>
        <v>#REF!</v>
      </c>
      <c r="EF105" t="e">
        <f>AND(#REF!,"AAAAAHcjbIc=")</f>
        <v>#REF!</v>
      </c>
      <c r="EG105" t="e">
        <f>AND(#REF!,"AAAAAHcjbIg=")</f>
        <v>#REF!</v>
      </c>
      <c r="EH105" t="e">
        <f>AND(#REF!,"AAAAAHcjbIk=")</f>
        <v>#REF!</v>
      </c>
      <c r="EI105" t="e">
        <f>AND(#REF!,"AAAAAHcjbIo=")</f>
        <v>#REF!</v>
      </c>
      <c r="EJ105" t="e">
        <f>AND(#REF!,"AAAAAHcjbIs=")</f>
        <v>#REF!</v>
      </c>
      <c r="EK105" t="e">
        <f>AND(#REF!,"AAAAAHcjbIw=")</f>
        <v>#REF!</v>
      </c>
      <c r="EL105" t="e">
        <f>AND(#REF!,"AAAAAHcjbI0=")</f>
        <v>#REF!</v>
      </c>
      <c r="EM105" t="e">
        <f>AND(#REF!,"AAAAAHcjbI4=")</f>
        <v>#REF!</v>
      </c>
      <c r="EN105" t="e">
        <f>AND(#REF!,"AAAAAHcjbI8=")</f>
        <v>#REF!</v>
      </c>
      <c r="EO105" t="e">
        <f>AND(#REF!,"AAAAAHcjbJA=")</f>
        <v>#REF!</v>
      </c>
      <c r="EP105" t="e">
        <f>AND(#REF!,"AAAAAHcjbJE=")</f>
        <v>#REF!</v>
      </c>
      <c r="EQ105" t="e">
        <f>AND(#REF!,"AAAAAHcjbJI=")</f>
        <v>#REF!</v>
      </c>
      <c r="ER105" t="e">
        <f>AND(#REF!,"AAAAAHcjbJM=")</f>
        <v>#REF!</v>
      </c>
      <c r="ES105" t="e">
        <f>AND(#REF!,"AAAAAHcjbJQ=")</f>
        <v>#REF!</v>
      </c>
      <c r="ET105" t="e">
        <f>AND(#REF!,"AAAAAHcjbJU=")</f>
        <v>#REF!</v>
      </c>
      <c r="EU105" t="e">
        <f>AND(#REF!,"AAAAAHcjbJY=")</f>
        <v>#REF!</v>
      </c>
      <c r="EV105" t="e">
        <f>AND(#REF!,"AAAAAHcjbJc=")</f>
        <v>#REF!</v>
      </c>
      <c r="EW105" t="e">
        <f>AND(#REF!,"AAAAAHcjbJg=")</f>
        <v>#REF!</v>
      </c>
      <c r="EX105" t="e">
        <f>AND(#REF!,"AAAAAHcjbJk=")</f>
        <v>#REF!</v>
      </c>
      <c r="EY105" t="e">
        <f>AND(#REF!,"AAAAAHcjbJo=")</f>
        <v>#REF!</v>
      </c>
      <c r="EZ105" t="e">
        <f>AND(#REF!,"AAAAAHcjbJs=")</f>
        <v>#REF!</v>
      </c>
      <c r="FA105" t="e">
        <f>AND(#REF!,"AAAAAHcjbJw=")</f>
        <v>#REF!</v>
      </c>
      <c r="FB105" t="e">
        <f>AND(#REF!,"AAAAAHcjbJ0=")</f>
        <v>#REF!</v>
      </c>
      <c r="FC105" t="e">
        <f>AND(#REF!,"AAAAAHcjbJ4=")</f>
        <v>#REF!</v>
      </c>
      <c r="FD105" t="e">
        <f>AND(#REF!,"AAAAAHcjbJ8=")</f>
        <v>#REF!</v>
      </c>
      <c r="FE105" t="e">
        <f>AND(#REF!,"AAAAAHcjbKA=")</f>
        <v>#REF!</v>
      </c>
      <c r="FF105" t="e">
        <f>AND(#REF!,"AAAAAHcjbKE=")</f>
        <v>#REF!</v>
      </c>
      <c r="FG105" t="e">
        <f>AND(#REF!,"AAAAAHcjbKI=")</f>
        <v>#REF!</v>
      </c>
      <c r="FH105" t="e">
        <f>AND(#REF!,"AAAAAHcjbKM=")</f>
        <v>#REF!</v>
      </c>
      <c r="FI105" t="e">
        <f>AND(#REF!,"AAAAAHcjbKQ=")</f>
        <v>#REF!</v>
      </c>
      <c r="FJ105" t="e">
        <f>AND(#REF!,"AAAAAHcjbKU=")</f>
        <v>#REF!</v>
      </c>
      <c r="FK105" t="e">
        <f>AND(#REF!,"AAAAAHcjbKY=")</f>
        <v>#REF!</v>
      </c>
      <c r="FL105" t="e">
        <f>AND(#REF!,"AAAAAHcjbKc=")</f>
        <v>#REF!</v>
      </c>
      <c r="FM105" t="e">
        <f>AND(#REF!,"AAAAAHcjbKg=")</f>
        <v>#REF!</v>
      </c>
      <c r="FN105" t="e">
        <f>AND(#REF!,"AAAAAHcjbKk=")</f>
        <v>#REF!</v>
      </c>
      <c r="FO105" t="e">
        <f>AND(#REF!,"AAAAAHcjbKo=")</f>
        <v>#REF!</v>
      </c>
      <c r="FP105" t="e">
        <f>AND(#REF!,"AAAAAHcjbKs=")</f>
        <v>#REF!</v>
      </c>
      <c r="FQ105" t="e">
        <f>AND(#REF!,"AAAAAHcjbKw=")</f>
        <v>#REF!</v>
      </c>
      <c r="FR105" t="e">
        <f>AND(#REF!,"AAAAAHcjbK0=")</f>
        <v>#REF!</v>
      </c>
      <c r="FS105" t="e">
        <f>AND(#REF!,"AAAAAHcjbK4=")</f>
        <v>#REF!</v>
      </c>
      <c r="FT105" t="e">
        <f>AND(#REF!,"AAAAAHcjbK8=")</f>
        <v>#REF!</v>
      </c>
      <c r="FU105" t="e">
        <f>AND(#REF!,"AAAAAHcjbLA=")</f>
        <v>#REF!</v>
      </c>
      <c r="FV105" t="e">
        <f>AND(#REF!,"AAAAAHcjbLE=")</f>
        <v>#REF!</v>
      </c>
      <c r="FW105" t="e">
        <f>AND(#REF!,"AAAAAHcjbLI=")</f>
        <v>#REF!</v>
      </c>
      <c r="FX105" t="e">
        <f>AND(#REF!,"AAAAAHcjbLM=")</f>
        <v>#REF!</v>
      </c>
      <c r="FY105" t="e">
        <f>AND(#REF!,"AAAAAHcjbLQ=")</f>
        <v>#REF!</v>
      </c>
      <c r="FZ105" t="e">
        <f>AND(#REF!,"AAAAAHcjbLU=")</f>
        <v>#REF!</v>
      </c>
      <c r="GA105" t="e">
        <f>AND(#REF!,"AAAAAHcjbLY=")</f>
        <v>#REF!</v>
      </c>
      <c r="GB105" t="e">
        <f>AND(#REF!,"AAAAAHcjbLc=")</f>
        <v>#REF!</v>
      </c>
      <c r="GC105" t="e">
        <f>AND(#REF!,"AAAAAHcjbLg=")</f>
        <v>#REF!</v>
      </c>
      <c r="GD105" t="e">
        <f>AND(#REF!,"AAAAAHcjbLk=")</f>
        <v>#REF!</v>
      </c>
      <c r="GE105" t="e">
        <f>AND(#REF!,"AAAAAHcjbLo=")</f>
        <v>#REF!</v>
      </c>
      <c r="GF105" t="e">
        <f>AND(#REF!,"AAAAAHcjbLs=")</f>
        <v>#REF!</v>
      </c>
      <c r="GG105" t="e">
        <f>AND(#REF!,"AAAAAHcjbLw=")</f>
        <v>#REF!</v>
      </c>
      <c r="GH105" t="e">
        <f>AND(#REF!,"AAAAAHcjbL0=")</f>
        <v>#REF!</v>
      </c>
      <c r="GI105" t="e">
        <f>AND(#REF!,"AAAAAHcjbL4=")</f>
        <v>#REF!</v>
      </c>
      <c r="GJ105" t="e">
        <f>AND(#REF!,"AAAAAHcjbL8=")</f>
        <v>#REF!</v>
      </c>
      <c r="GK105" t="e">
        <f>AND(#REF!,"AAAAAHcjbMA=")</f>
        <v>#REF!</v>
      </c>
      <c r="GL105" t="e">
        <f>AND(#REF!,"AAAAAHcjbME=")</f>
        <v>#REF!</v>
      </c>
      <c r="GM105" t="e">
        <f>AND(#REF!,"AAAAAHcjbMI=")</f>
        <v>#REF!</v>
      </c>
      <c r="GN105" t="e">
        <f>AND(#REF!,"AAAAAHcjbMM=")</f>
        <v>#REF!</v>
      </c>
      <c r="GO105" t="e">
        <f>AND(#REF!,"AAAAAHcjbMQ=")</f>
        <v>#REF!</v>
      </c>
      <c r="GP105" t="e">
        <f>AND(#REF!,"AAAAAHcjbMU=")</f>
        <v>#REF!</v>
      </c>
      <c r="GQ105" t="e">
        <f>AND(#REF!,"AAAAAHcjbMY=")</f>
        <v>#REF!</v>
      </c>
      <c r="GR105" t="e">
        <f>AND(#REF!,"AAAAAHcjbMc=")</f>
        <v>#REF!</v>
      </c>
      <c r="GS105" t="e">
        <f>AND(#REF!,"AAAAAHcjbMg=")</f>
        <v>#REF!</v>
      </c>
      <c r="GT105" t="e">
        <f>AND(#REF!,"AAAAAHcjbMk=")</f>
        <v>#REF!</v>
      </c>
      <c r="GU105" t="e">
        <f>AND(#REF!,"AAAAAHcjbMo=")</f>
        <v>#REF!</v>
      </c>
      <c r="GV105" t="e">
        <f>AND(#REF!,"AAAAAHcjbMs=")</f>
        <v>#REF!</v>
      </c>
      <c r="GW105" t="e">
        <f>AND(#REF!,"AAAAAHcjbMw=")</f>
        <v>#REF!</v>
      </c>
      <c r="GX105" t="e">
        <f>AND(#REF!,"AAAAAHcjbM0=")</f>
        <v>#REF!</v>
      </c>
      <c r="GY105" t="e">
        <f>AND(#REF!,"AAAAAHcjbM4=")</f>
        <v>#REF!</v>
      </c>
      <c r="GZ105" t="e">
        <f>AND(#REF!,"AAAAAHcjbM8=")</f>
        <v>#REF!</v>
      </c>
      <c r="HA105" t="e">
        <f>AND(#REF!,"AAAAAHcjbNA=")</f>
        <v>#REF!</v>
      </c>
      <c r="HB105" t="e">
        <f>AND(#REF!,"AAAAAHcjbNE=")</f>
        <v>#REF!</v>
      </c>
      <c r="HC105" t="e">
        <f>AND(#REF!,"AAAAAHcjbNI=")</f>
        <v>#REF!</v>
      </c>
      <c r="HD105" t="e">
        <f>AND(#REF!,"AAAAAHcjbNM=")</f>
        <v>#REF!</v>
      </c>
      <c r="HE105" t="e">
        <f>AND(#REF!,"AAAAAHcjbNQ=")</f>
        <v>#REF!</v>
      </c>
      <c r="HF105" t="e">
        <f>AND(#REF!,"AAAAAHcjbNU=")</f>
        <v>#REF!</v>
      </c>
      <c r="HG105" t="e">
        <f>AND(#REF!,"AAAAAHcjbNY=")</f>
        <v>#REF!</v>
      </c>
      <c r="HH105" t="e">
        <f>AND(#REF!,"AAAAAHcjbNc=")</f>
        <v>#REF!</v>
      </c>
      <c r="HI105" t="e">
        <f>AND(#REF!,"AAAAAHcjbNg=")</f>
        <v>#REF!</v>
      </c>
      <c r="HJ105" t="e">
        <f>AND(#REF!,"AAAAAHcjbNk=")</f>
        <v>#REF!</v>
      </c>
      <c r="HK105" t="e">
        <f>AND(#REF!,"AAAAAHcjbNo=")</f>
        <v>#REF!</v>
      </c>
      <c r="HL105" t="e">
        <f>AND(#REF!,"AAAAAHcjbNs=")</f>
        <v>#REF!</v>
      </c>
      <c r="HM105" t="e">
        <f>AND(#REF!,"AAAAAHcjbNw=")</f>
        <v>#REF!</v>
      </c>
      <c r="HN105" t="e">
        <f>AND(#REF!,"AAAAAHcjbN0=")</f>
        <v>#REF!</v>
      </c>
      <c r="HO105" t="e">
        <f>AND(#REF!,"AAAAAHcjbN4=")</f>
        <v>#REF!</v>
      </c>
      <c r="HP105" t="e">
        <f>AND(#REF!,"AAAAAHcjbN8=")</f>
        <v>#REF!</v>
      </c>
      <c r="HQ105" t="e">
        <f>AND(#REF!,"AAAAAHcjbOA=")</f>
        <v>#REF!</v>
      </c>
      <c r="HR105" t="e">
        <f>AND(#REF!,"AAAAAHcjbOE=")</f>
        <v>#REF!</v>
      </c>
      <c r="HS105" t="e">
        <f>AND(#REF!,"AAAAAHcjbOI=")</f>
        <v>#REF!</v>
      </c>
      <c r="HT105" t="e">
        <f>AND(#REF!,"AAAAAHcjbOM=")</f>
        <v>#REF!</v>
      </c>
      <c r="HU105" t="e">
        <f>AND(#REF!,"AAAAAHcjbOQ=")</f>
        <v>#REF!</v>
      </c>
      <c r="HV105" t="e">
        <f>AND(#REF!,"AAAAAHcjbOU=")</f>
        <v>#REF!</v>
      </c>
      <c r="HW105" t="e">
        <f>AND(#REF!,"AAAAAHcjbOY=")</f>
        <v>#REF!</v>
      </c>
      <c r="HX105" t="e">
        <f>AND(#REF!,"AAAAAHcjbOc=")</f>
        <v>#REF!</v>
      </c>
      <c r="HY105" t="e">
        <f>AND(#REF!,"AAAAAHcjbOg=")</f>
        <v>#REF!</v>
      </c>
      <c r="HZ105" t="e">
        <f>AND(#REF!,"AAAAAHcjbOk=")</f>
        <v>#REF!</v>
      </c>
      <c r="IA105" t="e">
        <f>AND(#REF!,"AAAAAHcjbOo=")</f>
        <v>#REF!</v>
      </c>
      <c r="IB105" t="e">
        <f>AND(#REF!,"AAAAAHcjbOs=")</f>
        <v>#REF!</v>
      </c>
      <c r="IC105" t="e">
        <f>AND(#REF!,"AAAAAHcjbOw=")</f>
        <v>#REF!</v>
      </c>
      <c r="ID105" t="e">
        <f>AND(#REF!,"AAAAAHcjbO0=")</f>
        <v>#REF!</v>
      </c>
      <c r="IE105" t="e">
        <f>AND(#REF!,"AAAAAHcjbO4=")</f>
        <v>#REF!</v>
      </c>
      <c r="IF105" t="e">
        <f>AND(#REF!,"AAAAAHcjbO8=")</f>
        <v>#REF!</v>
      </c>
      <c r="IG105" t="e">
        <f>AND(#REF!,"AAAAAHcjbPA=")</f>
        <v>#REF!</v>
      </c>
      <c r="IH105" t="e">
        <f>AND(#REF!,"AAAAAHcjbPE=")</f>
        <v>#REF!</v>
      </c>
      <c r="II105" t="e">
        <f>AND(#REF!,"AAAAAHcjbPI=")</f>
        <v>#REF!</v>
      </c>
      <c r="IJ105" t="e">
        <f>AND(#REF!,"AAAAAHcjbPM=")</f>
        <v>#REF!</v>
      </c>
      <c r="IK105" t="e">
        <f>AND(#REF!,"AAAAAHcjbPQ=")</f>
        <v>#REF!</v>
      </c>
      <c r="IL105" t="e">
        <f>AND(#REF!,"AAAAAHcjbPU=")</f>
        <v>#REF!</v>
      </c>
      <c r="IM105" t="e">
        <f>AND(#REF!,"AAAAAHcjbPY=")</f>
        <v>#REF!</v>
      </c>
      <c r="IN105" t="e">
        <f>AND(#REF!,"AAAAAHcjbPc=")</f>
        <v>#REF!</v>
      </c>
      <c r="IO105" t="e">
        <f>AND(#REF!,"AAAAAHcjbPg=")</f>
        <v>#REF!</v>
      </c>
      <c r="IP105" t="e">
        <f>AND(#REF!,"AAAAAHcjbPk=")</f>
        <v>#REF!</v>
      </c>
      <c r="IQ105" t="e">
        <f>AND(#REF!,"AAAAAHcjbPo=")</f>
        <v>#REF!</v>
      </c>
      <c r="IR105" t="e">
        <f>AND(#REF!,"AAAAAHcjbPs=")</f>
        <v>#REF!</v>
      </c>
      <c r="IS105" t="e">
        <f>AND(#REF!,"AAAAAHcjbPw=")</f>
        <v>#REF!</v>
      </c>
      <c r="IT105" t="e">
        <f>AND(#REF!,"AAAAAHcjbP0=")</f>
        <v>#REF!</v>
      </c>
      <c r="IU105" t="e">
        <f>AND(#REF!,"AAAAAHcjbP4=")</f>
        <v>#REF!</v>
      </c>
      <c r="IV105" t="e">
        <f>AND(#REF!,"AAAAAHcjbP8=")</f>
        <v>#REF!</v>
      </c>
    </row>
    <row r="106" spans="1:256" x14ac:dyDescent="0.25">
      <c r="A106" t="e">
        <f>AND(#REF!,"AAAAAD6fnwA=")</f>
        <v>#REF!</v>
      </c>
      <c r="B106" t="e">
        <f>AND(#REF!,"AAAAAD6fnwE=")</f>
        <v>#REF!</v>
      </c>
      <c r="C106" t="e">
        <f>AND(#REF!,"AAAAAD6fnwI=")</f>
        <v>#REF!</v>
      </c>
      <c r="D106" t="e">
        <f>AND(#REF!,"AAAAAD6fnwM=")</f>
        <v>#REF!</v>
      </c>
      <c r="E106" t="e">
        <f>AND(#REF!,"AAAAAD6fnwQ=")</f>
        <v>#REF!</v>
      </c>
      <c r="F106" t="e">
        <f>AND(#REF!,"AAAAAD6fnwU=")</f>
        <v>#REF!</v>
      </c>
      <c r="G106" t="e">
        <f>AND(#REF!,"AAAAAD6fnwY=")</f>
        <v>#REF!</v>
      </c>
      <c r="H106" t="e">
        <f>AND(#REF!,"AAAAAD6fnwc=")</f>
        <v>#REF!</v>
      </c>
      <c r="I106" t="e">
        <f>AND(#REF!,"AAAAAD6fnwg=")</f>
        <v>#REF!</v>
      </c>
      <c r="J106" t="e">
        <f>AND(#REF!,"AAAAAD6fnwk=")</f>
        <v>#REF!</v>
      </c>
      <c r="K106" t="e">
        <f>AND(#REF!,"AAAAAD6fnwo=")</f>
        <v>#REF!</v>
      </c>
      <c r="L106" t="e">
        <f>AND(#REF!,"AAAAAD6fnws=")</f>
        <v>#REF!</v>
      </c>
      <c r="M106" t="e">
        <f>AND(#REF!,"AAAAAD6fnww=")</f>
        <v>#REF!</v>
      </c>
      <c r="N106" t="e">
        <f>AND(#REF!,"AAAAAD6fnw0=")</f>
        <v>#REF!</v>
      </c>
      <c r="O106" t="e">
        <f>AND(#REF!,"AAAAAD6fnw4=")</f>
        <v>#REF!</v>
      </c>
      <c r="P106" t="e">
        <f>AND(#REF!,"AAAAAD6fnw8=")</f>
        <v>#REF!</v>
      </c>
      <c r="Q106" t="e">
        <f>AND(#REF!,"AAAAAD6fnxA=")</f>
        <v>#REF!</v>
      </c>
      <c r="R106" t="e">
        <f>AND(#REF!,"AAAAAD6fnxE=")</f>
        <v>#REF!</v>
      </c>
      <c r="S106" t="e">
        <f>AND(#REF!,"AAAAAD6fnxI=")</f>
        <v>#REF!</v>
      </c>
      <c r="T106" t="e">
        <f>AND(#REF!,"AAAAAD6fnxM=")</f>
        <v>#REF!</v>
      </c>
      <c r="U106" t="e">
        <f>AND(#REF!,"AAAAAD6fnxQ=")</f>
        <v>#REF!</v>
      </c>
      <c r="V106" t="e">
        <f>AND(#REF!,"AAAAAD6fnxU=")</f>
        <v>#REF!</v>
      </c>
      <c r="W106" t="e">
        <f>AND(#REF!,"AAAAAD6fnxY=")</f>
        <v>#REF!</v>
      </c>
      <c r="X106" t="e">
        <f>AND(#REF!,"AAAAAD6fnxc=")</f>
        <v>#REF!</v>
      </c>
      <c r="Y106" t="e">
        <f>AND(#REF!,"AAAAAD6fnxg=")</f>
        <v>#REF!</v>
      </c>
      <c r="Z106" t="e">
        <f>AND(#REF!,"AAAAAD6fnxk=")</f>
        <v>#REF!</v>
      </c>
      <c r="AA106" t="e">
        <f>AND(#REF!,"AAAAAD6fnxo=")</f>
        <v>#REF!</v>
      </c>
      <c r="AB106" t="e">
        <f>AND(#REF!,"AAAAAD6fnxs=")</f>
        <v>#REF!</v>
      </c>
      <c r="AC106" t="e">
        <f>AND(#REF!,"AAAAAD6fnxw=")</f>
        <v>#REF!</v>
      </c>
      <c r="AD106" t="e">
        <f>AND(#REF!,"AAAAAD6fnx0=")</f>
        <v>#REF!</v>
      </c>
      <c r="AE106" t="e">
        <f>AND(#REF!,"AAAAAD6fnx4=")</f>
        <v>#REF!</v>
      </c>
      <c r="AF106" t="e">
        <f>AND(#REF!,"AAAAAD6fnx8=")</f>
        <v>#REF!</v>
      </c>
      <c r="AG106" t="e">
        <f>AND(#REF!,"AAAAAD6fnyA=")</f>
        <v>#REF!</v>
      </c>
      <c r="AH106" t="e">
        <f>AND(#REF!,"AAAAAD6fnyE=")</f>
        <v>#REF!</v>
      </c>
      <c r="AI106" t="e">
        <f>AND(#REF!,"AAAAAD6fnyI=")</f>
        <v>#REF!</v>
      </c>
      <c r="AJ106" t="e">
        <f>AND(#REF!,"AAAAAD6fnyM=")</f>
        <v>#REF!</v>
      </c>
      <c r="AK106" t="e">
        <f>AND(#REF!,"AAAAAD6fnyQ=")</f>
        <v>#REF!</v>
      </c>
      <c r="AL106" t="e">
        <f>AND(#REF!,"AAAAAD6fnyU=")</f>
        <v>#REF!</v>
      </c>
      <c r="AM106" t="e">
        <f>AND(#REF!,"AAAAAD6fnyY=")</f>
        <v>#REF!</v>
      </c>
      <c r="AN106" t="e">
        <f>AND(#REF!,"AAAAAD6fnyc=")</f>
        <v>#REF!</v>
      </c>
      <c r="AO106" t="e">
        <f>AND(#REF!,"AAAAAD6fnyg=")</f>
        <v>#REF!</v>
      </c>
      <c r="AP106" t="e">
        <f>AND(#REF!,"AAAAAD6fnyk=")</f>
        <v>#REF!</v>
      </c>
      <c r="AQ106" t="e">
        <f>AND(#REF!,"AAAAAD6fnyo=")</f>
        <v>#REF!</v>
      </c>
      <c r="AR106" t="e">
        <f>AND(#REF!,"AAAAAD6fnys=")</f>
        <v>#REF!</v>
      </c>
      <c r="AS106" t="e">
        <f>AND(#REF!,"AAAAAD6fnyw=")</f>
        <v>#REF!</v>
      </c>
      <c r="AT106" t="e">
        <f>AND(#REF!,"AAAAAD6fny0=")</f>
        <v>#REF!</v>
      </c>
      <c r="AU106" t="e">
        <f>AND(#REF!,"AAAAAD6fny4=")</f>
        <v>#REF!</v>
      </c>
      <c r="AV106" t="e">
        <f>AND(#REF!,"AAAAAD6fny8=")</f>
        <v>#REF!</v>
      </c>
      <c r="AW106" t="e">
        <f>AND(#REF!,"AAAAAD6fnzA=")</f>
        <v>#REF!</v>
      </c>
      <c r="AX106" t="e">
        <f>AND(#REF!,"AAAAAD6fnzE=")</f>
        <v>#REF!</v>
      </c>
      <c r="AY106" t="e">
        <f>AND(#REF!,"AAAAAD6fnzI=")</f>
        <v>#REF!</v>
      </c>
      <c r="AZ106" t="e">
        <f>AND(#REF!,"AAAAAD6fnzM=")</f>
        <v>#REF!</v>
      </c>
      <c r="BA106" t="e">
        <f>AND(#REF!,"AAAAAD6fnzQ=")</f>
        <v>#REF!</v>
      </c>
      <c r="BB106" t="e">
        <f>AND(#REF!,"AAAAAD6fnzU=")</f>
        <v>#REF!</v>
      </c>
      <c r="BC106" t="e">
        <f>AND(#REF!,"AAAAAD6fnzY=")</f>
        <v>#REF!</v>
      </c>
      <c r="BD106" t="e">
        <f>AND(#REF!,"AAAAAD6fnzc=")</f>
        <v>#REF!</v>
      </c>
      <c r="BE106" t="e">
        <f>AND(#REF!,"AAAAAD6fnzg=")</f>
        <v>#REF!</v>
      </c>
      <c r="BF106" t="e">
        <f>AND(#REF!,"AAAAAD6fnzk=")</f>
        <v>#REF!</v>
      </c>
      <c r="BG106" t="e">
        <f>AND(#REF!,"AAAAAD6fnzo=")</f>
        <v>#REF!</v>
      </c>
      <c r="BH106" t="e">
        <f>AND(#REF!,"AAAAAD6fnzs=")</f>
        <v>#REF!</v>
      </c>
      <c r="BI106" t="e">
        <f>AND(#REF!,"AAAAAD6fnzw=")</f>
        <v>#REF!</v>
      </c>
      <c r="BJ106" t="e">
        <f>AND(#REF!,"AAAAAD6fnz0=")</f>
        <v>#REF!</v>
      </c>
      <c r="BK106" t="e">
        <f>AND(#REF!,"AAAAAD6fnz4=")</f>
        <v>#REF!</v>
      </c>
      <c r="BL106" t="e">
        <f>AND(#REF!,"AAAAAD6fnz8=")</f>
        <v>#REF!</v>
      </c>
      <c r="BM106" t="e">
        <f>AND(#REF!,"AAAAAD6fn0A=")</f>
        <v>#REF!</v>
      </c>
      <c r="BN106" t="e">
        <f>AND(#REF!,"AAAAAD6fn0E=")</f>
        <v>#REF!</v>
      </c>
      <c r="BO106" t="e">
        <f>AND(#REF!,"AAAAAD6fn0I=")</f>
        <v>#REF!</v>
      </c>
      <c r="BP106" t="e">
        <f>AND(#REF!,"AAAAAD6fn0M=")</f>
        <v>#REF!</v>
      </c>
      <c r="BQ106" t="e">
        <f>AND(#REF!,"AAAAAD6fn0Q=")</f>
        <v>#REF!</v>
      </c>
      <c r="BR106" t="e">
        <f>AND(#REF!,"AAAAAD6fn0U=")</f>
        <v>#REF!</v>
      </c>
      <c r="BS106" t="e">
        <f>AND(#REF!,"AAAAAD6fn0Y=")</f>
        <v>#REF!</v>
      </c>
      <c r="BT106" t="e">
        <f>AND(#REF!,"AAAAAD6fn0c=")</f>
        <v>#REF!</v>
      </c>
      <c r="BU106" t="e">
        <f>AND(#REF!,"AAAAAD6fn0g=")</f>
        <v>#REF!</v>
      </c>
      <c r="BV106" t="e">
        <f>AND(#REF!,"AAAAAD6fn0k=")</f>
        <v>#REF!</v>
      </c>
      <c r="BW106" t="e">
        <f>AND(#REF!,"AAAAAD6fn0o=")</f>
        <v>#REF!</v>
      </c>
      <c r="BX106" t="e">
        <f>AND(#REF!,"AAAAAD6fn0s=")</f>
        <v>#REF!</v>
      </c>
      <c r="BY106" t="e">
        <f>AND(#REF!,"AAAAAD6fn0w=")</f>
        <v>#REF!</v>
      </c>
      <c r="BZ106" t="e">
        <f>AND(#REF!,"AAAAAD6fn00=")</f>
        <v>#REF!</v>
      </c>
      <c r="CA106" t="e">
        <f>AND(#REF!,"AAAAAD6fn04=")</f>
        <v>#REF!</v>
      </c>
      <c r="CB106" t="e">
        <f>AND(#REF!,"AAAAAD6fn08=")</f>
        <v>#REF!</v>
      </c>
      <c r="CC106" t="e">
        <f>AND(#REF!,"AAAAAD6fn1A=")</f>
        <v>#REF!</v>
      </c>
      <c r="CD106" t="e">
        <f>AND(#REF!,"AAAAAD6fn1E=")</f>
        <v>#REF!</v>
      </c>
      <c r="CE106" t="e">
        <f>AND(#REF!,"AAAAAD6fn1I=")</f>
        <v>#REF!</v>
      </c>
      <c r="CF106" t="e">
        <f>AND(#REF!,"AAAAAD6fn1M=")</f>
        <v>#REF!</v>
      </c>
      <c r="CG106" t="e">
        <f>AND(#REF!,"AAAAAD6fn1Q=")</f>
        <v>#REF!</v>
      </c>
      <c r="CH106" t="e">
        <f>AND(#REF!,"AAAAAD6fn1U=")</f>
        <v>#REF!</v>
      </c>
      <c r="CI106" t="e">
        <f>AND(#REF!,"AAAAAD6fn1Y=")</f>
        <v>#REF!</v>
      </c>
      <c r="CJ106" t="e">
        <f>AND(#REF!,"AAAAAD6fn1c=")</f>
        <v>#REF!</v>
      </c>
      <c r="CK106" t="e">
        <f>AND(#REF!,"AAAAAD6fn1g=")</f>
        <v>#REF!</v>
      </c>
      <c r="CL106" t="e">
        <f>AND(#REF!,"AAAAAD6fn1k=")</f>
        <v>#REF!</v>
      </c>
      <c r="CM106" t="e">
        <f>AND(#REF!,"AAAAAD6fn1o=")</f>
        <v>#REF!</v>
      </c>
      <c r="CN106" t="e">
        <f>AND(#REF!,"AAAAAD6fn1s=")</f>
        <v>#REF!</v>
      </c>
      <c r="CO106" t="e">
        <f>AND(#REF!,"AAAAAD6fn1w=")</f>
        <v>#REF!</v>
      </c>
      <c r="CP106" t="e">
        <f>IF(#REF!,"AAAAAD6fn10=",0)</f>
        <v>#REF!</v>
      </c>
      <c r="CQ106" t="e">
        <f>AND(#REF!,"AAAAAD6fn14=")</f>
        <v>#REF!</v>
      </c>
      <c r="CR106" t="e">
        <f>AND(#REF!,"AAAAAD6fn18=")</f>
        <v>#REF!</v>
      </c>
      <c r="CS106" t="e">
        <f>AND(#REF!,"AAAAAD6fn2A=")</f>
        <v>#REF!</v>
      </c>
      <c r="CT106" t="e">
        <f>AND(#REF!,"AAAAAD6fn2E=")</f>
        <v>#REF!</v>
      </c>
      <c r="CU106" t="e">
        <f>AND(#REF!,"AAAAAD6fn2I=")</f>
        <v>#REF!</v>
      </c>
      <c r="CV106" t="e">
        <f>AND(#REF!,"AAAAAD6fn2M=")</f>
        <v>#REF!</v>
      </c>
      <c r="CW106" t="e">
        <f>AND(#REF!,"AAAAAD6fn2Q=")</f>
        <v>#REF!</v>
      </c>
      <c r="CX106" t="e">
        <f>AND(#REF!,"AAAAAD6fn2U=")</f>
        <v>#REF!</v>
      </c>
      <c r="CY106" t="e">
        <f>AND(#REF!,"AAAAAD6fn2Y=")</f>
        <v>#REF!</v>
      </c>
      <c r="CZ106" t="e">
        <f>AND(#REF!,"AAAAAD6fn2c=")</f>
        <v>#REF!</v>
      </c>
      <c r="DA106" t="e">
        <f>AND(#REF!,"AAAAAD6fn2g=")</f>
        <v>#REF!</v>
      </c>
      <c r="DB106" t="e">
        <f>AND(#REF!,"AAAAAD6fn2k=")</f>
        <v>#REF!</v>
      </c>
      <c r="DC106" t="e">
        <f>AND(#REF!,"AAAAAD6fn2o=")</f>
        <v>#REF!</v>
      </c>
      <c r="DD106" t="e">
        <f>AND(#REF!,"AAAAAD6fn2s=")</f>
        <v>#REF!</v>
      </c>
      <c r="DE106" t="e">
        <f>AND(#REF!,"AAAAAD6fn2w=")</f>
        <v>#REF!</v>
      </c>
      <c r="DF106" t="e">
        <f>AND(#REF!,"AAAAAD6fn20=")</f>
        <v>#REF!</v>
      </c>
      <c r="DG106" t="e">
        <f>AND(#REF!,"AAAAAD6fn24=")</f>
        <v>#REF!</v>
      </c>
      <c r="DH106" t="e">
        <f>AND(#REF!,"AAAAAD6fn28=")</f>
        <v>#REF!</v>
      </c>
      <c r="DI106" t="e">
        <f>AND(#REF!,"AAAAAD6fn3A=")</f>
        <v>#REF!</v>
      </c>
      <c r="DJ106" t="e">
        <f>AND(#REF!,"AAAAAD6fn3E=")</f>
        <v>#REF!</v>
      </c>
      <c r="DK106" t="e">
        <f>AND(#REF!,"AAAAAD6fn3I=")</f>
        <v>#REF!</v>
      </c>
      <c r="DL106" t="e">
        <f>AND(#REF!,"AAAAAD6fn3M=")</f>
        <v>#REF!</v>
      </c>
      <c r="DM106" t="e">
        <f>AND(#REF!,"AAAAAD6fn3Q=")</f>
        <v>#REF!</v>
      </c>
      <c r="DN106" t="e">
        <f>AND(#REF!,"AAAAAD6fn3U=")</f>
        <v>#REF!</v>
      </c>
      <c r="DO106" t="e">
        <f>AND(#REF!,"AAAAAD6fn3Y=")</f>
        <v>#REF!</v>
      </c>
      <c r="DP106" t="e">
        <f>AND(#REF!,"AAAAAD6fn3c=")</f>
        <v>#REF!</v>
      </c>
      <c r="DQ106" t="e">
        <f>AND(#REF!,"AAAAAD6fn3g=")</f>
        <v>#REF!</v>
      </c>
      <c r="DR106" t="e">
        <f>AND(#REF!,"AAAAAD6fn3k=")</f>
        <v>#REF!</v>
      </c>
      <c r="DS106" t="e">
        <f>AND(#REF!,"AAAAAD6fn3o=")</f>
        <v>#REF!</v>
      </c>
      <c r="DT106" t="e">
        <f>AND(#REF!,"AAAAAD6fn3s=")</f>
        <v>#REF!</v>
      </c>
      <c r="DU106" t="e">
        <f>AND(#REF!,"AAAAAD6fn3w=")</f>
        <v>#REF!</v>
      </c>
      <c r="DV106" t="e">
        <f>AND(#REF!,"AAAAAD6fn30=")</f>
        <v>#REF!</v>
      </c>
      <c r="DW106" t="e">
        <f>AND(#REF!,"AAAAAD6fn34=")</f>
        <v>#REF!</v>
      </c>
      <c r="DX106" t="e">
        <f>AND(#REF!,"AAAAAD6fn38=")</f>
        <v>#REF!</v>
      </c>
      <c r="DY106" t="e">
        <f>AND(#REF!,"AAAAAD6fn4A=")</f>
        <v>#REF!</v>
      </c>
      <c r="DZ106" t="e">
        <f>AND(#REF!,"AAAAAD6fn4E=")</f>
        <v>#REF!</v>
      </c>
      <c r="EA106" t="e">
        <f>AND(#REF!,"AAAAAD6fn4I=")</f>
        <v>#REF!</v>
      </c>
      <c r="EB106" t="e">
        <f>AND(#REF!,"AAAAAD6fn4M=")</f>
        <v>#REF!</v>
      </c>
      <c r="EC106" t="e">
        <f>AND(#REF!,"AAAAAD6fn4Q=")</f>
        <v>#REF!</v>
      </c>
      <c r="ED106" t="e">
        <f>AND(#REF!,"AAAAAD6fn4U=")</f>
        <v>#REF!</v>
      </c>
      <c r="EE106" t="e">
        <f>AND(#REF!,"AAAAAD6fn4Y=")</f>
        <v>#REF!</v>
      </c>
      <c r="EF106" t="e">
        <f>AND(#REF!,"AAAAAD6fn4c=")</f>
        <v>#REF!</v>
      </c>
      <c r="EG106" t="e">
        <f>AND(#REF!,"AAAAAD6fn4g=")</f>
        <v>#REF!</v>
      </c>
      <c r="EH106" t="e">
        <f>AND(#REF!,"AAAAAD6fn4k=")</f>
        <v>#REF!</v>
      </c>
      <c r="EI106" t="e">
        <f>AND(#REF!,"AAAAAD6fn4o=")</f>
        <v>#REF!</v>
      </c>
      <c r="EJ106" t="e">
        <f>AND(#REF!,"AAAAAD6fn4s=")</f>
        <v>#REF!</v>
      </c>
      <c r="EK106" t="e">
        <f>AND(#REF!,"AAAAAD6fn4w=")</f>
        <v>#REF!</v>
      </c>
      <c r="EL106" t="e">
        <f>AND(#REF!,"AAAAAD6fn40=")</f>
        <v>#REF!</v>
      </c>
      <c r="EM106" t="e">
        <f>AND(#REF!,"AAAAAD6fn44=")</f>
        <v>#REF!</v>
      </c>
      <c r="EN106" t="e">
        <f>AND(#REF!,"AAAAAD6fn48=")</f>
        <v>#REF!</v>
      </c>
      <c r="EO106" t="e">
        <f>AND(#REF!,"AAAAAD6fn5A=")</f>
        <v>#REF!</v>
      </c>
      <c r="EP106" t="e">
        <f>AND(#REF!,"AAAAAD6fn5E=")</f>
        <v>#REF!</v>
      </c>
      <c r="EQ106" t="e">
        <f>AND(#REF!,"AAAAAD6fn5I=")</f>
        <v>#REF!</v>
      </c>
      <c r="ER106" t="e">
        <f>AND(#REF!,"AAAAAD6fn5M=")</f>
        <v>#REF!</v>
      </c>
      <c r="ES106" t="e">
        <f>AND(#REF!,"AAAAAD6fn5Q=")</f>
        <v>#REF!</v>
      </c>
      <c r="ET106" t="e">
        <f>AND(#REF!,"AAAAAD6fn5U=")</f>
        <v>#REF!</v>
      </c>
      <c r="EU106" t="e">
        <f>AND(#REF!,"AAAAAD6fn5Y=")</f>
        <v>#REF!</v>
      </c>
      <c r="EV106" t="e">
        <f>AND(#REF!,"AAAAAD6fn5c=")</f>
        <v>#REF!</v>
      </c>
      <c r="EW106" t="e">
        <f>AND(#REF!,"AAAAAD6fn5g=")</f>
        <v>#REF!</v>
      </c>
      <c r="EX106" t="e">
        <f>AND(#REF!,"AAAAAD6fn5k=")</f>
        <v>#REF!</v>
      </c>
      <c r="EY106" t="e">
        <f>AND(#REF!,"AAAAAD6fn5o=")</f>
        <v>#REF!</v>
      </c>
      <c r="EZ106" t="e">
        <f>AND(#REF!,"AAAAAD6fn5s=")</f>
        <v>#REF!</v>
      </c>
      <c r="FA106" t="e">
        <f>AND(#REF!,"AAAAAD6fn5w=")</f>
        <v>#REF!</v>
      </c>
      <c r="FB106" t="e">
        <f>AND(#REF!,"AAAAAD6fn50=")</f>
        <v>#REF!</v>
      </c>
      <c r="FC106" t="e">
        <f>AND(#REF!,"AAAAAD6fn54=")</f>
        <v>#REF!</v>
      </c>
      <c r="FD106" t="e">
        <f>AND(#REF!,"AAAAAD6fn58=")</f>
        <v>#REF!</v>
      </c>
      <c r="FE106" t="e">
        <f>AND(#REF!,"AAAAAD6fn6A=")</f>
        <v>#REF!</v>
      </c>
      <c r="FF106" t="e">
        <f>AND(#REF!,"AAAAAD6fn6E=")</f>
        <v>#REF!</v>
      </c>
      <c r="FG106" t="e">
        <f>AND(#REF!,"AAAAAD6fn6I=")</f>
        <v>#REF!</v>
      </c>
      <c r="FH106" t="e">
        <f>AND(#REF!,"AAAAAD6fn6M=")</f>
        <v>#REF!</v>
      </c>
      <c r="FI106" t="e">
        <f>AND(#REF!,"AAAAAD6fn6Q=")</f>
        <v>#REF!</v>
      </c>
      <c r="FJ106" t="e">
        <f>AND(#REF!,"AAAAAD6fn6U=")</f>
        <v>#REF!</v>
      </c>
      <c r="FK106" t="e">
        <f>AND(#REF!,"AAAAAD6fn6Y=")</f>
        <v>#REF!</v>
      </c>
      <c r="FL106" t="e">
        <f>AND(#REF!,"AAAAAD6fn6c=")</f>
        <v>#REF!</v>
      </c>
      <c r="FM106" t="e">
        <f>AND(#REF!,"AAAAAD6fn6g=")</f>
        <v>#REF!</v>
      </c>
      <c r="FN106" t="e">
        <f>AND(#REF!,"AAAAAD6fn6k=")</f>
        <v>#REF!</v>
      </c>
      <c r="FO106" t="e">
        <f>AND(#REF!,"AAAAAD6fn6o=")</f>
        <v>#REF!</v>
      </c>
      <c r="FP106" t="e">
        <f>AND(#REF!,"AAAAAD6fn6s=")</f>
        <v>#REF!</v>
      </c>
      <c r="FQ106" t="e">
        <f>AND(#REF!,"AAAAAD6fn6w=")</f>
        <v>#REF!</v>
      </c>
      <c r="FR106" t="e">
        <f>AND(#REF!,"AAAAAD6fn60=")</f>
        <v>#REF!</v>
      </c>
      <c r="FS106" t="e">
        <f>AND(#REF!,"AAAAAD6fn64=")</f>
        <v>#REF!</v>
      </c>
      <c r="FT106" t="e">
        <f>AND(#REF!,"AAAAAD6fn68=")</f>
        <v>#REF!</v>
      </c>
      <c r="FU106" t="e">
        <f>AND(#REF!,"AAAAAD6fn7A=")</f>
        <v>#REF!</v>
      </c>
      <c r="FV106" t="e">
        <f>AND(#REF!,"AAAAAD6fn7E=")</f>
        <v>#REF!</v>
      </c>
      <c r="FW106" t="e">
        <f>AND(#REF!,"AAAAAD6fn7I=")</f>
        <v>#REF!</v>
      </c>
      <c r="FX106" t="e">
        <f>AND(#REF!,"AAAAAD6fn7M=")</f>
        <v>#REF!</v>
      </c>
      <c r="FY106" t="e">
        <f>AND(#REF!,"AAAAAD6fn7Q=")</f>
        <v>#REF!</v>
      </c>
      <c r="FZ106" t="e">
        <f>AND(#REF!,"AAAAAD6fn7U=")</f>
        <v>#REF!</v>
      </c>
      <c r="GA106" t="e">
        <f>AND(#REF!,"AAAAAD6fn7Y=")</f>
        <v>#REF!</v>
      </c>
      <c r="GB106" t="e">
        <f>AND(#REF!,"AAAAAD6fn7c=")</f>
        <v>#REF!</v>
      </c>
      <c r="GC106" t="e">
        <f>AND(#REF!,"AAAAAD6fn7g=")</f>
        <v>#REF!</v>
      </c>
      <c r="GD106" t="e">
        <f>AND(#REF!,"AAAAAD6fn7k=")</f>
        <v>#REF!</v>
      </c>
      <c r="GE106" t="e">
        <f>AND(#REF!,"AAAAAD6fn7o=")</f>
        <v>#REF!</v>
      </c>
      <c r="GF106" t="e">
        <f>AND(#REF!,"AAAAAD6fn7s=")</f>
        <v>#REF!</v>
      </c>
      <c r="GG106" t="e">
        <f>AND(#REF!,"AAAAAD6fn7w=")</f>
        <v>#REF!</v>
      </c>
      <c r="GH106" t="e">
        <f>AND(#REF!,"AAAAAD6fn70=")</f>
        <v>#REF!</v>
      </c>
      <c r="GI106" t="e">
        <f>AND(#REF!,"AAAAAD6fn74=")</f>
        <v>#REF!</v>
      </c>
      <c r="GJ106" t="e">
        <f>AND(#REF!,"AAAAAD6fn78=")</f>
        <v>#REF!</v>
      </c>
      <c r="GK106" t="e">
        <f>AND(#REF!,"AAAAAD6fn8A=")</f>
        <v>#REF!</v>
      </c>
      <c r="GL106" t="e">
        <f>AND(#REF!,"AAAAAD6fn8E=")</f>
        <v>#REF!</v>
      </c>
      <c r="GM106" t="e">
        <f>AND(#REF!,"AAAAAD6fn8I=")</f>
        <v>#REF!</v>
      </c>
      <c r="GN106" t="e">
        <f>AND(#REF!,"AAAAAD6fn8M=")</f>
        <v>#REF!</v>
      </c>
      <c r="GO106" t="e">
        <f>AND(#REF!,"AAAAAD6fn8Q=")</f>
        <v>#REF!</v>
      </c>
      <c r="GP106" t="e">
        <f>AND(#REF!,"AAAAAD6fn8U=")</f>
        <v>#REF!</v>
      </c>
      <c r="GQ106" t="e">
        <f>AND(#REF!,"AAAAAD6fn8Y=")</f>
        <v>#REF!</v>
      </c>
      <c r="GR106" t="e">
        <f>AND(#REF!,"AAAAAD6fn8c=")</f>
        <v>#REF!</v>
      </c>
      <c r="GS106" t="e">
        <f>AND(#REF!,"AAAAAD6fn8g=")</f>
        <v>#REF!</v>
      </c>
      <c r="GT106" t="e">
        <f>AND(#REF!,"AAAAAD6fn8k=")</f>
        <v>#REF!</v>
      </c>
      <c r="GU106" t="e">
        <f>AND(#REF!,"AAAAAD6fn8o=")</f>
        <v>#REF!</v>
      </c>
      <c r="GV106" t="e">
        <f>AND(#REF!,"AAAAAD6fn8s=")</f>
        <v>#REF!</v>
      </c>
      <c r="GW106" t="e">
        <f>AND(#REF!,"AAAAAD6fn8w=")</f>
        <v>#REF!</v>
      </c>
      <c r="GX106" t="e">
        <f>AND(#REF!,"AAAAAD6fn80=")</f>
        <v>#REF!</v>
      </c>
      <c r="GY106" t="e">
        <f>AND(#REF!,"AAAAAD6fn84=")</f>
        <v>#REF!</v>
      </c>
      <c r="GZ106" t="e">
        <f>AND(#REF!,"AAAAAD6fn88=")</f>
        <v>#REF!</v>
      </c>
      <c r="HA106" t="e">
        <f>AND(#REF!,"AAAAAD6fn9A=")</f>
        <v>#REF!</v>
      </c>
      <c r="HB106" t="e">
        <f>AND(#REF!,"AAAAAD6fn9E=")</f>
        <v>#REF!</v>
      </c>
      <c r="HC106" t="e">
        <f>AND(#REF!,"AAAAAD6fn9I=")</f>
        <v>#REF!</v>
      </c>
      <c r="HD106" t="e">
        <f>AND(#REF!,"AAAAAD6fn9M=")</f>
        <v>#REF!</v>
      </c>
      <c r="HE106" t="e">
        <f>AND(#REF!,"AAAAAD6fn9Q=")</f>
        <v>#REF!</v>
      </c>
      <c r="HF106" t="e">
        <f>AND(#REF!,"AAAAAD6fn9U=")</f>
        <v>#REF!</v>
      </c>
      <c r="HG106" t="e">
        <f>AND(#REF!,"AAAAAD6fn9Y=")</f>
        <v>#REF!</v>
      </c>
      <c r="HH106" t="e">
        <f>AND(#REF!,"AAAAAD6fn9c=")</f>
        <v>#REF!</v>
      </c>
      <c r="HI106" t="e">
        <f>AND(#REF!,"AAAAAD6fn9g=")</f>
        <v>#REF!</v>
      </c>
      <c r="HJ106" t="e">
        <f>AND(#REF!,"AAAAAD6fn9k=")</f>
        <v>#REF!</v>
      </c>
      <c r="HK106" t="e">
        <f>AND(#REF!,"AAAAAD6fn9o=")</f>
        <v>#REF!</v>
      </c>
      <c r="HL106" t="e">
        <f>AND(#REF!,"AAAAAD6fn9s=")</f>
        <v>#REF!</v>
      </c>
      <c r="HM106" t="e">
        <f>AND(#REF!,"AAAAAD6fn9w=")</f>
        <v>#REF!</v>
      </c>
      <c r="HN106" t="e">
        <f>AND(#REF!,"AAAAAD6fn90=")</f>
        <v>#REF!</v>
      </c>
      <c r="HO106" t="e">
        <f>AND(#REF!,"AAAAAD6fn94=")</f>
        <v>#REF!</v>
      </c>
      <c r="HP106" t="e">
        <f>AND(#REF!,"AAAAAD6fn98=")</f>
        <v>#REF!</v>
      </c>
      <c r="HQ106" t="e">
        <f>AND(#REF!,"AAAAAD6fn+A=")</f>
        <v>#REF!</v>
      </c>
      <c r="HR106" t="e">
        <f>AND(#REF!,"AAAAAD6fn+E=")</f>
        <v>#REF!</v>
      </c>
      <c r="HS106" t="e">
        <f>AND(#REF!,"AAAAAD6fn+I=")</f>
        <v>#REF!</v>
      </c>
      <c r="HT106" t="e">
        <f>AND(#REF!,"AAAAAD6fn+M=")</f>
        <v>#REF!</v>
      </c>
      <c r="HU106" t="e">
        <f>AND(#REF!,"AAAAAD6fn+Q=")</f>
        <v>#REF!</v>
      </c>
      <c r="HV106" t="e">
        <f>AND(#REF!,"AAAAAD6fn+U=")</f>
        <v>#REF!</v>
      </c>
      <c r="HW106" t="e">
        <f>AND(#REF!,"AAAAAD6fn+Y=")</f>
        <v>#REF!</v>
      </c>
      <c r="HX106" t="e">
        <f>AND(#REF!,"AAAAAD6fn+c=")</f>
        <v>#REF!</v>
      </c>
      <c r="HY106" t="e">
        <f>AND(#REF!,"AAAAAD6fn+g=")</f>
        <v>#REF!</v>
      </c>
      <c r="HZ106" t="e">
        <f>AND(#REF!,"AAAAAD6fn+k=")</f>
        <v>#REF!</v>
      </c>
      <c r="IA106" t="e">
        <f>AND(#REF!,"AAAAAD6fn+o=")</f>
        <v>#REF!</v>
      </c>
      <c r="IB106" t="e">
        <f>AND(#REF!,"AAAAAD6fn+s=")</f>
        <v>#REF!</v>
      </c>
      <c r="IC106" t="e">
        <f>AND(#REF!,"AAAAAD6fn+w=")</f>
        <v>#REF!</v>
      </c>
      <c r="ID106" t="e">
        <f>AND(#REF!,"AAAAAD6fn+0=")</f>
        <v>#REF!</v>
      </c>
      <c r="IE106" t="e">
        <f>AND(#REF!,"AAAAAD6fn+4=")</f>
        <v>#REF!</v>
      </c>
      <c r="IF106" t="e">
        <f>AND(#REF!,"AAAAAD6fn+8=")</f>
        <v>#REF!</v>
      </c>
      <c r="IG106" t="e">
        <f>AND(#REF!,"AAAAAD6fn/A=")</f>
        <v>#REF!</v>
      </c>
      <c r="IH106" t="e">
        <f>AND(#REF!,"AAAAAD6fn/E=")</f>
        <v>#REF!</v>
      </c>
      <c r="II106" t="e">
        <f>AND(#REF!,"AAAAAD6fn/I=")</f>
        <v>#REF!</v>
      </c>
      <c r="IJ106" t="e">
        <f>AND(#REF!,"AAAAAD6fn/M=")</f>
        <v>#REF!</v>
      </c>
      <c r="IK106" t="e">
        <f>AND(#REF!,"AAAAAD6fn/Q=")</f>
        <v>#REF!</v>
      </c>
      <c r="IL106" t="e">
        <f>AND(#REF!,"AAAAAD6fn/U=")</f>
        <v>#REF!</v>
      </c>
      <c r="IM106" t="e">
        <f>AND(#REF!,"AAAAAD6fn/Y=")</f>
        <v>#REF!</v>
      </c>
      <c r="IN106" t="e">
        <f>AND(#REF!,"AAAAAD6fn/c=")</f>
        <v>#REF!</v>
      </c>
      <c r="IO106" t="e">
        <f>AND(#REF!,"AAAAAD6fn/g=")</f>
        <v>#REF!</v>
      </c>
      <c r="IP106" t="e">
        <f>AND(#REF!,"AAAAAD6fn/k=")</f>
        <v>#REF!</v>
      </c>
      <c r="IQ106" t="e">
        <f>AND(#REF!,"AAAAAD6fn/o=")</f>
        <v>#REF!</v>
      </c>
      <c r="IR106" t="e">
        <f>AND(#REF!,"AAAAAD6fn/s=")</f>
        <v>#REF!</v>
      </c>
      <c r="IS106" t="e">
        <f>AND(#REF!,"AAAAAD6fn/w=")</f>
        <v>#REF!</v>
      </c>
      <c r="IT106" t="e">
        <f>AND(#REF!,"AAAAAD6fn/0=")</f>
        <v>#REF!</v>
      </c>
      <c r="IU106" t="e">
        <f>AND(#REF!,"AAAAAD6fn/4=")</f>
        <v>#REF!</v>
      </c>
      <c r="IV106" t="e">
        <f>AND(#REF!,"AAAAAD6fn/8=")</f>
        <v>#REF!</v>
      </c>
    </row>
    <row r="107" spans="1:256" x14ac:dyDescent="0.25">
      <c r="A107" t="e">
        <f>AND(#REF!,"AAAAAB8/dQA=")</f>
        <v>#REF!</v>
      </c>
      <c r="B107" t="e">
        <f>AND(#REF!,"AAAAAB8/dQE=")</f>
        <v>#REF!</v>
      </c>
      <c r="C107" t="e">
        <f>AND(#REF!,"AAAAAB8/dQI=")</f>
        <v>#REF!</v>
      </c>
      <c r="D107" t="e">
        <f>AND(#REF!,"AAAAAB8/dQM=")</f>
        <v>#REF!</v>
      </c>
      <c r="E107" t="e">
        <f>AND(#REF!,"AAAAAB8/dQQ=")</f>
        <v>#REF!</v>
      </c>
      <c r="F107" t="e">
        <f>AND(#REF!,"AAAAAB8/dQU=")</f>
        <v>#REF!</v>
      </c>
      <c r="G107" t="e">
        <f>AND(#REF!,"AAAAAB8/dQY=")</f>
        <v>#REF!</v>
      </c>
      <c r="H107" t="e">
        <f>AND(#REF!,"AAAAAB8/dQc=")</f>
        <v>#REF!</v>
      </c>
      <c r="I107" t="e">
        <f>AND(#REF!,"AAAAAB8/dQg=")</f>
        <v>#REF!</v>
      </c>
      <c r="J107" t="e">
        <f>AND(#REF!,"AAAAAB8/dQk=")</f>
        <v>#REF!</v>
      </c>
      <c r="K107" t="e">
        <f>AND(#REF!,"AAAAAB8/dQo=")</f>
        <v>#REF!</v>
      </c>
      <c r="L107" t="e">
        <f>AND(#REF!,"AAAAAB8/dQs=")</f>
        <v>#REF!</v>
      </c>
      <c r="M107" t="e">
        <f>AND(#REF!,"AAAAAB8/dQw=")</f>
        <v>#REF!</v>
      </c>
      <c r="N107" t="e">
        <f>AND(#REF!,"AAAAAB8/dQ0=")</f>
        <v>#REF!</v>
      </c>
      <c r="O107" t="e">
        <f>AND(#REF!,"AAAAAB8/dQ4=")</f>
        <v>#REF!</v>
      </c>
      <c r="P107" t="e">
        <f>AND(#REF!,"AAAAAB8/dQ8=")</f>
        <v>#REF!</v>
      </c>
      <c r="Q107" t="e">
        <f>AND(#REF!,"AAAAAB8/dRA=")</f>
        <v>#REF!</v>
      </c>
      <c r="R107" t="e">
        <f>AND(#REF!,"AAAAAB8/dRE=")</f>
        <v>#REF!</v>
      </c>
      <c r="S107" t="e">
        <f>AND(#REF!,"AAAAAB8/dRI=")</f>
        <v>#REF!</v>
      </c>
      <c r="T107" t="e">
        <f>AND(#REF!,"AAAAAB8/dRM=")</f>
        <v>#REF!</v>
      </c>
      <c r="U107" t="e">
        <f>AND(#REF!,"AAAAAB8/dRQ=")</f>
        <v>#REF!</v>
      </c>
      <c r="V107" t="e">
        <f>AND(#REF!,"AAAAAB8/dRU=")</f>
        <v>#REF!</v>
      </c>
      <c r="W107" t="e">
        <f>AND(#REF!,"AAAAAB8/dRY=")</f>
        <v>#REF!</v>
      </c>
      <c r="X107" t="e">
        <f>AND(#REF!,"AAAAAB8/dRc=")</f>
        <v>#REF!</v>
      </c>
      <c r="Y107" t="e">
        <f>AND(#REF!,"AAAAAB8/dRg=")</f>
        <v>#REF!</v>
      </c>
      <c r="Z107" t="e">
        <f>AND(#REF!,"AAAAAB8/dRk=")</f>
        <v>#REF!</v>
      </c>
      <c r="AA107" t="e">
        <f>AND(#REF!,"AAAAAB8/dRo=")</f>
        <v>#REF!</v>
      </c>
      <c r="AB107" t="e">
        <f>AND(#REF!,"AAAAAB8/dRs=")</f>
        <v>#REF!</v>
      </c>
      <c r="AC107" t="e">
        <f>AND(#REF!,"AAAAAB8/dRw=")</f>
        <v>#REF!</v>
      </c>
      <c r="AD107" t="e">
        <f>AND(#REF!,"AAAAAB8/dR0=")</f>
        <v>#REF!</v>
      </c>
      <c r="AE107" t="e">
        <f>AND(#REF!,"AAAAAB8/dR4=")</f>
        <v>#REF!</v>
      </c>
      <c r="AF107" t="e">
        <f>AND(#REF!,"AAAAAB8/dR8=")</f>
        <v>#REF!</v>
      </c>
      <c r="AG107" t="e">
        <f>AND(#REF!,"AAAAAB8/dSA=")</f>
        <v>#REF!</v>
      </c>
      <c r="AH107" t="e">
        <f>AND(#REF!,"AAAAAB8/dSE=")</f>
        <v>#REF!</v>
      </c>
      <c r="AI107" t="e">
        <f>AND(#REF!,"AAAAAB8/dSI=")</f>
        <v>#REF!</v>
      </c>
      <c r="AJ107" t="e">
        <f>AND(#REF!,"AAAAAB8/dSM=")</f>
        <v>#REF!</v>
      </c>
      <c r="AK107" t="e">
        <f>AND(#REF!,"AAAAAB8/dSQ=")</f>
        <v>#REF!</v>
      </c>
      <c r="AL107" t="e">
        <f>AND(#REF!,"AAAAAB8/dSU=")</f>
        <v>#REF!</v>
      </c>
      <c r="AM107" t="e">
        <f>AND(#REF!,"AAAAAB8/dSY=")</f>
        <v>#REF!</v>
      </c>
      <c r="AN107" t="e">
        <f>AND(#REF!,"AAAAAB8/dSc=")</f>
        <v>#REF!</v>
      </c>
      <c r="AO107" t="e">
        <f>AND(#REF!,"AAAAAB8/dSg=")</f>
        <v>#REF!</v>
      </c>
      <c r="AP107" t="e">
        <f>AND(#REF!,"AAAAAB8/dSk=")</f>
        <v>#REF!</v>
      </c>
      <c r="AQ107" t="e">
        <f>AND(#REF!,"AAAAAB8/dSo=")</f>
        <v>#REF!</v>
      </c>
      <c r="AR107" t="e">
        <f>AND(#REF!,"AAAAAB8/dSs=")</f>
        <v>#REF!</v>
      </c>
      <c r="AS107" t="e">
        <f>AND(#REF!,"AAAAAB8/dSw=")</f>
        <v>#REF!</v>
      </c>
      <c r="AT107" t="e">
        <f>AND(#REF!,"AAAAAB8/dS0=")</f>
        <v>#REF!</v>
      </c>
      <c r="AU107" t="e">
        <f>AND(#REF!,"AAAAAB8/dS4=")</f>
        <v>#REF!</v>
      </c>
      <c r="AV107" t="e">
        <f>AND(#REF!,"AAAAAB8/dS8=")</f>
        <v>#REF!</v>
      </c>
      <c r="AW107" t="e">
        <f>AND(#REF!,"AAAAAB8/dTA=")</f>
        <v>#REF!</v>
      </c>
      <c r="AX107" t="e">
        <f>AND(#REF!,"AAAAAB8/dTE=")</f>
        <v>#REF!</v>
      </c>
      <c r="AY107" t="e">
        <f>AND(#REF!,"AAAAAB8/dTI=")</f>
        <v>#REF!</v>
      </c>
      <c r="AZ107" t="e">
        <f>AND(#REF!,"AAAAAB8/dTM=")</f>
        <v>#REF!</v>
      </c>
      <c r="BA107" t="e">
        <f>AND(#REF!,"AAAAAB8/dTQ=")</f>
        <v>#REF!</v>
      </c>
      <c r="BB107" t="e">
        <f>AND(#REF!,"AAAAAB8/dTU=")</f>
        <v>#REF!</v>
      </c>
      <c r="BC107" t="e">
        <f>AND(#REF!,"AAAAAB8/dTY=")</f>
        <v>#REF!</v>
      </c>
      <c r="BD107" t="e">
        <f>AND(#REF!,"AAAAAB8/dTc=")</f>
        <v>#REF!</v>
      </c>
      <c r="BE107" t="e">
        <f>AND(#REF!,"AAAAAB8/dTg=")</f>
        <v>#REF!</v>
      </c>
      <c r="BF107" t="e">
        <f>AND(#REF!,"AAAAAB8/dTk=")</f>
        <v>#REF!</v>
      </c>
      <c r="BG107" t="e">
        <f>AND(#REF!,"AAAAAB8/dTo=")</f>
        <v>#REF!</v>
      </c>
      <c r="BH107" t="e">
        <f>AND(#REF!,"AAAAAB8/dTs=")</f>
        <v>#REF!</v>
      </c>
      <c r="BI107" t="e">
        <f>AND(#REF!,"AAAAAB8/dTw=")</f>
        <v>#REF!</v>
      </c>
      <c r="BJ107" t="e">
        <f>AND(#REF!,"AAAAAB8/dT0=")</f>
        <v>#REF!</v>
      </c>
      <c r="BK107" t="e">
        <f>AND(#REF!,"AAAAAB8/dT4=")</f>
        <v>#REF!</v>
      </c>
      <c r="BL107" t="e">
        <f>AND(#REF!,"AAAAAB8/dT8=")</f>
        <v>#REF!</v>
      </c>
      <c r="BM107" t="e">
        <f>AND(#REF!,"AAAAAB8/dUA=")</f>
        <v>#REF!</v>
      </c>
      <c r="BN107" t="e">
        <f>AND(#REF!,"AAAAAB8/dUE=")</f>
        <v>#REF!</v>
      </c>
      <c r="BO107" t="e">
        <f>AND(#REF!,"AAAAAB8/dUI=")</f>
        <v>#REF!</v>
      </c>
      <c r="BP107" t="e">
        <f>AND(#REF!,"AAAAAB8/dUM=")</f>
        <v>#REF!</v>
      </c>
      <c r="BQ107" t="e">
        <f>AND(#REF!,"AAAAAB8/dUQ=")</f>
        <v>#REF!</v>
      </c>
      <c r="BR107" t="e">
        <f>AND(#REF!,"AAAAAB8/dUU=")</f>
        <v>#REF!</v>
      </c>
      <c r="BS107" t="e">
        <f>AND(#REF!,"AAAAAB8/dUY=")</f>
        <v>#REF!</v>
      </c>
      <c r="BT107" t="e">
        <f>AND(#REF!,"AAAAAB8/dUc=")</f>
        <v>#REF!</v>
      </c>
      <c r="BU107" t="e">
        <f>AND(#REF!,"AAAAAB8/dUg=")</f>
        <v>#REF!</v>
      </c>
      <c r="BV107" t="e">
        <f>AND(#REF!,"AAAAAB8/dUk=")</f>
        <v>#REF!</v>
      </c>
      <c r="BW107" t="e">
        <f>AND(#REF!,"AAAAAB8/dUo=")</f>
        <v>#REF!</v>
      </c>
      <c r="BX107" t="e">
        <f>AND(#REF!,"AAAAAB8/dUs=")</f>
        <v>#REF!</v>
      </c>
      <c r="BY107" t="e">
        <f>AND(#REF!,"AAAAAB8/dUw=")</f>
        <v>#REF!</v>
      </c>
      <c r="BZ107" t="e">
        <f>AND(#REF!,"AAAAAB8/dU0=")</f>
        <v>#REF!</v>
      </c>
      <c r="CA107" t="e">
        <f>AND(#REF!,"AAAAAB8/dU4=")</f>
        <v>#REF!</v>
      </c>
      <c r="CB107" t="e">
        <f>AND(#REF!,"AAAAAB8/dU8=")</f>
        <v>#REF!</v>
      </c>
      <c r="CC107" t="e">
        <f>AND(#REF!,"AAAAAB8/dVA=")</f>
        <v>#REF!</v>
      </c>
      <c r="CD107" t="e">
        <f>AND(#REF!,"AAAAAB8/dVE=")</f>
        <v>#REF!</v>
      </c>
      <c r="CE107" t="e">
        <f>AND(#REF!,"AAAAAB8/dVI=")</f>
        <v>#REF!</v>
      </c>
      <c r="CF107" t="e">
        <f>AND(#REF!,"AAAAAB8/dVM=")</f>
        <v>#REF!</v>
      </c>
      <c r="CG107" t="e">
        <f>AND(#REF!,"AAAAAB8/dVQ=")</f>
        <v>#REF!</v>
      </c>
      <c r="CH107" t="e">
        <f>AND(#REF!,"AAAAAB8/dVU=")</f>
        <v>#REF!</v>
      </c>
      <c r="CI107" t="e">
        <f>AND(#REF!,"AAAAAB8/dVY=")</f>
        <v>#REF!</v>
      </c>
      <c r="CJ107" t="e">
        <f>AND(#REF!,"AAAAAB8/dVc=")</f>
        <v>#REF!</v>
      </c>
      <c r="CK107" t="e">
        <f>AND(#REF!,"AAAAAB8/dVg=")</f>
        <v>#REF!</v>
      </c>
      <c r="CL107" t="e">
        <f>AND(#REF!,"AAAAAB8/dVk=")</f>
        <v>#REF!</v>
      </c>
      <c r="CM107" t="e">
        <f>AND(#REF!,"AAAAAB8/dVo=")</f>
        <v>#REF!</v>
      </c>
      <c r="CN107" t="e">
        <f>AND(#REF!,"AAAAAB8/dVs=")</f>
        <v>#REF!</v>
      </c>
      <c r="CO107" t="e">
        <f>AND(#REF!,"AAAAAB8/dVw=")</f>
        <v>#REF!</v>
      </c>
      <c r="CP107" t="e">
        <f>AND(#REF!,"AAAAAB8/dV0=")</f>
        <v>#REF!</v>
      </c>
      <c r="CQ107" t="e">
        <f>AND(#REF!,"AAAAAB8/dV4=")</f>
        <v>#REF!</v>
      </c>
      <c r="CR107" t="e">
        <f>AND(#REF!,"AAAAAB8/dV8=")</f>
        <v>#REF!</v>
      </c>
      <c r="CS107" t="e">
        <f>AND(#REF!,"AAAAAB8/dWA=")</f>
        <v>#REF!</v>
      </c>
      <c r="CT107" t="e">
        <f>AND(#REF!,"AAAAAB8/dWE=")</f>
        <v>#REF!</v>
      </c>
      <c r="CU107" t="e">
        <f>AND(#REF!,"AAAAAB8/dWI=")</f>
        <v>#REF!</v>
      </c>
      <c r="CV107" t="e">
        <f>AND(#REF!,"AAAAAB8/dWM=")</f>
        <v>#REF!</v>
      </c>
      <c r="CW107" t="e">
        <f>AND(#REF!,"AAAAAB8/dWQ=")</f>
        <v>#REF!</v>
      </c>
      <c r="CX107" t="e">
        <f>AND(#REF!,"AAAAAB8/dWU=")</f>
        <v>#REF!</v>
      </c>
      <c r="CY107" t="e">
        <f>AND(#REF!,"AAAAAB8/dWY=")</f>
        <v>#REF!</v>
      </c>
      <c r="CZ107" t="e">
        <f>AND(#REF!,"AAAAAB8/dWc=")</f>
        <v>#REF!</v>
      </c>
      <c r="DA107" t="e">
        <f>AND(#REF!,"AAAAAB8/dWg=")</f>
        <v>#REF!</v>
      </c>
      <c r="DB107" t="e">
        <f>AND(#REF!,"AAAAAB8/dWk=")</f>
        <v>#REF!</v>
      </c>
      <c r="DC107" t="e">
        <f>AND(#REF!,"AAAAAB8/dWo=")</f>
        <v>#REF!</v>
      </c>
      <c r="DD107" t="e">
        <f>AND(#REF!,"AAAAAB8/dWs=")</f>
        <v>#REF!</v>
      </c>
      <c r="DE107" t="e">
        <f>AND(#REF!,"AAAAAB8/dWw=")</f>
        <v>#REF!</v>
      </c>
      <c r="DF107" t="e">
        <f>AND(#REF!,"AAAAAB8/dW0=")</f>
        <v>#REF!</v>
      </c>
      <c r="DG107" t="e">
        <f>AND(#REF!,"AAAAAB8/dW4=")</f>
        <v>#REF!</v>
      </c>
      <c r="DH107" t="e">
        <f>AND(#REF!,"AAAAAB8/dW8=")</f>
        <v>#REF!</v>
      </c>
      <c r="DI107" t="e">
        <f>AND(#REF!,"AAAAAB8/dXA=")</f>
        <v>#REF!</v>
      </c>
      <c r="DJ107" t="e">
        <f>AND(#REF!,"AAAAAB8/dXE=")</f>
        <v>#REF!</v>
      </c>
      <c r="DK107" t="e">
        <f>AND(#REF!,"AAAAAB8/dXI=")</f>
        <v>#REF!</v>
      </c>
      <c r="DL107" t="e">
        <f>AND(#REF!,"AAAAAB8/dXM=")</f>
        <v>#REF!</v>
      </c>
      <c r="DM107" t="e">
        <f>AND(#REF!,"AAAAAB8/dXQ=")</f>
        <v>#REF!</v>
      </c>
      <c r="DN107" t="e">
        <f>AND(#REF!,"AAAAAB8/dXU=")</f>
        <v>#REF!</v>
      </c>
      <c r="DO107" t="e">
        <f>AND(#REF!,"AAAAAB8/dXY=")</f>
        <v>#REF!</v>
      </c>
      <c r="DP107" t="e">
        <f>AND(#REF!,"AAAAAB8/dXc=")</f>
        <v>#REF!</v>
      </c>
      <c r="DQ107" t="e">
        <f>AND(#REF!,"AAAAAB8/dXg=")</f>
        <v>#REF!</v>
      </c>
      <c r="DR107" t="e">
        <f>AND(#REF!,"AAAAAB8/dXk=")</f>
        <v>#REF!</v>
      </c>
      <c r="DS107" t="e">
        <f>AND(#REF!,"AAAAAB8/dXo=")</f>
        <v>#REF!</v>
      </c>
      <c r="DT107" t="e">
        <f>AND(#REF!,"AAAAAB8/dXs=")</f>
        <v>#REF!</v>
      </c>
      <c r="DU107" t="e">
        <f>AND(#REF!,"AAAAAB8/dXw=")</f>
        <v>#REF!</v>
      </c>
      <c r="DV107" t="e">
        <f>AND(#REF!,"AAAAAB8/dX0=")</f>
        <v>#REF!</v>
      </c>
      <c r="DW107" t="e">
        <f>AND(#REF!,"AAAAAB8/dX4=")</f>
        <v>#REF!</v>
      </c>
      <c r="DX107" t="e">
        <f>AND(#REF!,"AAAAAB8/dX8=")</f>
        <v>#REF!</v>
      </c>
      <c r="DY107" t="e">
        <f>IF(#REF!,"AAAAAB8/dYA=",0)</f>
        <v>#REF!</v>
      </c>
      <c r="DZ107" t="e">
        <f>AND(#REF!,"AAAAAB8/dYE=")</f>
        <v>#REF!</v>
      </c>
      <c r="EA107" t="e">
        <f>AND(#REF!,"AAAAAB8/dYI=")</f>
        <v>#REF!</v>
      </c>
      <c r="EB107" t="e">
        <f>AND(#REF!,"AAAAAB8/dYM=")</f>
        <v>#REF!</v>
      </c>
      <c r="EC107" t="e">
        <f>AND(#REF!,"AAAAAB8/dYQ=")</f>
        <v>#REF!</v>
      </c>
      <c r="ED107" t="e">
        <f>AND(#REF!,"AAAAAB8/dYU=")</f>
        <v>#REF!</v>
      </c>
      <c r="EE107" t="e">
        <f>AND(#REF!,"AAAAAB8/dYY=")</f>
        <v>#REF!</v>
      </c>
      <c r="EF107" t="e">
        <f>AND(#REF!,"AAAAAB8/dYc=")</f>
        <v>#REF!</v>
      </c>
      <c r="EG107" t="e">
        <f>AND(#REF!,"AAAAAB8/dYg=")</f>
        <v>#REF!</v>
      </c>
      <c r="EH107" t="e">
        <f>AND(#REF!,"AAAAAB8/dYk=")</f>
        <v>#REF!</v>
      </c>
      <c r="EI107" t="e">
        <f>IF(#REF!,"AAAAAB8/dYo=",0)</f>
        <v>#REF!</v>
      </c>
      <c r="EJ107" t="e">
        <f>AND(#REF!,"AAAAAB8/dYs=")</f>
        <v>#REF!</v>
      </c>
      <c r="EK107" t="e">
        <f>AND(#REF!,"AAAAAB8/dYw=")</f>
        <v>#REF!</v>
      </c>
      <c r="EL107" t="e">
        <f>AND(#REF!,"AAAAAB8/dY0=")</f>
        <v>#REF!</v>
      </c>
      <c r="EM107" t="e">
        <f>AND(#REF!,"AAAAAB8/dY4=")</f>
        <v>#REF!</v>
      </c>
      <c r="EN107" t="e">
        <f>AND(#REF!,"AAAAAB8/dY8=")</f>
        <v>#REF!</v>
      </c>
      <c r="EO107" t="e">
        <f>AND(#REF!,"AAAAAB8/dZA=")</f>
        <v>#REF!</v>
      </c>
      <c r="EP107" t="e">
        <f>AND(#REF!,"AAAAAB8/dZE=")</f>
        <v>#REF!</v>
      </c>
      <c r="EQ107" t="e">
        <f>AND(#REF!,"AAAAAB8/dZI=")</f>
        <v>#REF!</v>
      </c>
      <c r="ER107" t="e">
        <f>IF(#REF!,"AAAAAB8/dZM=",0)</f>
        <v>#REF!</v>
      </c>
      <c r="ES107" t="e">
        <f>AND(#REF!,"AAAAAB8/dZQ=")</f>
        <v>#REF!</v>
      </c>
      <c r="ET107" t="e">
        <f>AND(#REF!,"AAAAAB8/dZU=")</f>
        <v>#REF!</v>
      </c>
      <c r="EU107" t="e">
        <f>AND(#REF!,"AAAAAB8/dZY=")</f>
        <v>#REF!</v>
      </c>
      <c r="EV107" t="e">
        <f>AND(#REF!,"AAAAAB8/dZc=")</f>
        <v>#REF!</v>
      </c>
      <c r="EW107" t="e">
        <f>AND(#REF!,"AAAAAB8/dZg=")</f>
        <v>#REF!</v>
      </c>
      <c r="EX107" t="e">
        <f>AND(#REF!,"AAAAAB8/dZk=")</f>
        <v>#REF!</v>
      </c>
      <c r="EY107" t="e">
        <f>AND(#REF!,"AAAAAB8/dZo=")</f>
        <v>#REF!</v>
      </c>
      <c r="EZ107" t="e">
        <f>AND(#REF!,"AAAAAB8/dZs=")</f>
        <v>#REF!</v>
      </c>
      <c r="FA107" t="e">
        <f>IF(#REF!,"AAAAAB8/dZw=",0)</f>
        <v>#REF!</v>
      </c>
      <c r="FB107" t="e">
        <f>AND(#REF!,"AAAAAB8/dZ0=")</f>
        <v>#REF!</v>
      </c>
      <c r="FC107" t="e">
        <f>AND(#REF!,"AAAAAB8/dZ4=")</f>
        <v>#REF!</v>
      </c>
      <c r="FD107" t="e">
        <f>AND(#REF!,"AAAAAB8/dZ8=")</f>
        <v>#REF!</v>
      </c>
      <c r="FE107" t="e">
        <f>AND(#REF!,"AAAAAB8/daA=")</f>
        <v>#REF!</v>
      </c>
      <c r="FF107" t="e">
        <f>AND(#REF!,"AAAAAB8/daE=")</f>
        <v>#REF!</v>
      </c>
      <c r="FG107" t="e">
        <f>AND(#REF!,"AAAAAB8/daI=")</f>
        <v>#REF!</v>
      </c>
      <c r="FH107" t="e">
        <f>AND(#REF!,"AAAAAB8/daM=")</f>
        <v>#REF!</v>
      </c>
      <c r="FI107" t="e">
        <f>AND(#REF!,"AAAAAB8/daQ=")</f>
        <v>#REF!</v>
      </c>
      <c r="FJ107" t="e">
        <f>IF(#REF!,"AAAAAB8/daU=",0)</f>
        <v>#REF!</v>
      </c>
    </row>
  </sheetData>
  <phoneticPr fontId="1" type="noConversion"/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Index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&amp; Clemens</dc:creator>
  <cp:lastModifiedBy>MelbPC-Room1</cp:lastModifiedBy>
  <cp:lastPrinted>2011-07-14T06:01:49Z</cp:lastPrinted>
  <dcterms:created xsi:type="dcterms:W3CDTF">2011-05-31T04:19:01Z</dcterms:created>
  <dcterms:modified xsi:type="dcterms:W3CDTF">2017-09-20T04:33:00Z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false</vt:lpwstr>
  </property>
  <property fmtid="{D5CDD505-2E9C-101B-9397-08002B2CF9AE}" pid="3" name="Google.Documents.DocumentId">
    <vt:lpwstr>15r_XYkODvGQXTjqgb7bMVB9Oi6MDwsuXQ2TVfpbCqpQ</vt:lpwstr>
  </property>
  <property fmtid="{D5CDD505-2E9C-101B-9397-08002B2CF9AE}" pid="4" name="Google.Documents.RevisionId">
    <vt:lpwstr>13730042749834163369</vt:lpwstr>
  </property>
  <property fmtid="{D5CDD505-2E9C-101B-9397-08002B2CF9AE}" pid="5" name="Google.Documents.PreviousRevisionId">
    <vt:lpwstr>04840760895611631296</vt:lpwstr>
  </property>
  <property fmtid="{D5CDD505-2E9C-101B-9397-08002B2CF9AE}" pid="6" name="Google.Documents.PluginVersion">
    <vt:lpwstr>2.0.2154.5604</vt:lpwstr>
  </property>
  <property fmtid="{D5CDD505-2E9C-101B-9397-08002B2CF9AE}" pid="7" name="Google.Documents.MergeIncapabilityFlags">
    <vt:i4>0</vt:i4>
  </property>
</Properties>
</file>