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rrent Index" sheetId="1" state="visible" r:id="rId2"/>
    <sheet name="DV-IDENTITY-0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<sst xmlns="http://schemas.openxmlformats.org/spreadsheetml/2006/main" count="5024" uniqueCount="3000">
  <si>
    <t xml:space="preserve">                           MELBOURNE PC USER GROUP</t>
  </si>
  <si>
    <t xml:space="preserve">                        LIBRARY  -  CURRENT BOOK LIST  - 22 January 2021</t>
  </si>
  <si>
    <t xml:space="preserve">NO.</t>
  </si>
  <si>
    <t xml:space="preserve">BOOK TITLE</t>
  </si>
  <si>
    <t xml:space="preserve">SOFTWARE</t>
  </si>
  <si>
    <t xml:space="preserve">CLASSIFICATION</t>
  </si>
  <si>
    <t xml:space="preserve">DATE</t>
  </si>
  <si>
    <t xml:space="preserve">AUTHOR/S</t>
  </si>
  <si>
    <t xml:space="preserve">PUBLISHER</t>
  </si>
  <si>
    <t xml:space="preserve">ANA-05</t>
  </si>
  <si>
    <t xml:space="preserve">A Guide to Computer Animation</t>
  </si>
  <si>
    <t xml:space="preserve">Animation</t>
  </si>
  <si>
    <t xml:space="preserve">Kuperberg, M</t>
  </si>
  <si>
    <t xml:space="preserve">Focal Press</t>
  </si>
  <si>
    <t xml:space="preserve">ANA-06</t>
  </si>
  <si>
    <t xml:space="preserve">Developing Digital Short Films</t>
  </si>
  <si>
    <t xml:space="preserve">Voices that Matter</t>
  </si>
  <si>
    <t xml:space="preserve">New Riders</t>
  </si>
  <si>
    <t xml:space="preserve">ANA-07</t>
  </si>
  <si>
    <t xml:space="preserve">Poser 7 Reference Manual</t>
  </si>
  <si>
    <t xml:space="preserve">POSER 7</t>
  </si>
  <si>
    <t xml:space="preserve">e-frontier.com</t>
  </si>
  <si>
    <t xml:space="preserve">ANA-08</t>
  </si>
  <si>
    <t xml:space="preserve">Poser 7 Revealed</t>
  </si>
  <si>
    <t xml:space="preserve">Murdock, K L</t>
  </si>
  <si>
    <t xml:space="preserve">Thomson</t>
  </si>
  <si>
    <t xml:space="preserve">ANA-09</t>
  </si>
  <si>
    <t xml:space="preserve">The Animator's Workbook</t>
  </si>
  <si>
    <t xml:space="preserve">White, T</t>
  </si>
  <si>
    <t xml:space="preserve">Watson-Guptill Publications</t>
  </si>
  <si>
    <t xml:space="preserve">ANA-10</t>
  </si>
  <si>
    <t xml:space="preserve">The Essential Blender</t>
  </si>
  <si>
    <t xml:space="preserve">BLENDER</t>
  </si>
  <si>
    <t xml:space="preserve">Hess, R</t>
  </si>
  <si>
    <t xml:space="preserve">Blender Foundation</t>
  </si>
  <si>
    <t xml:space="preserve">ANA-11</t>
  </si>
  <si>
    <t xml:space="preserve">3D for the Web</t>
  </si>
  <si>
    <t xml:space="preserve">3ds max, Flash, Director</t>
  </si>
  <si>
    <t xml:space="preserve">MacGillivray, C &amp; Head, A</t>
  </si>
  <si>
    <t xml:space="preserve">ANA-12</t>
  </si>
  <si>
    <t xml:space="preserve">ANA-13</t>
  </si>
  <si>
    <t xml:space="preserve">ANA-14</t>
  </si>
  <si>
    <t xml:space="preserve">ANA-15</t>
  </si>
  <si>
    <t xml:space="preserve">Character Animation Crash Course  (CD inc.)</t>
  </si>
  <si>
    <t xml:space="preserve">Goldberg, E</t>
  </si>
  <si>
    <t xml:space="preserve">Silman-James Press</t>
  </si>
  <si>
    <t xml:space="preserve">ANA-17</t>
  </si>
  <si>
    <t xml:space="preserve">3DS Max Bible</t>
  </si>
  <si>
    <t xml:space="preserve">3dsMAX</t>
  </si>
  <si>
    <t xml:space="preserve">Murdoch</t>
  </si>
  <si>
    <t xml:space="preserve">Wiley</t>
  </si>
  <si>
    <t xml:space="preserve">CAA-19</t>
  </si>
  <si>
    <t xml:space="preserve">Inside AutoCAD 14  (CD Missing)</t>
  </si>
  <si>
    <t xml:space="preserve">AUTOCAD 14</t>
  </si>
  <si>
    <t xml:space="preserve">CAD</t>
  </si>
  <si>
    <t xml:space="preserve">Burchad, Pitzer, Soen, et al.</t>
  </si>
  <si>
    <t xml:space="preserve">CAA-23</t>
  </si>
  <si>
    <t xml:space="preserve">AutoCAD 2006 for Dummies</t>
  </si>
  <si>
    <t xml:space="preserve">AUTOCAD 2006</t>
  </si>
  <si>
    <t xml:space="preserve">Middlebrook, M &amp; Byrnes, D</t>
  </si>
  <si>
    <t xml:space="preserve">CM-06</t>
  </si>
  <si>
    <t xml:space="preserve">Business Communications</t>
  </si>
  <si>
    <t xml:space="preserve">Communications</t>
  </si>
  <si>
    <t xml:space="preserve">Stallings, W &amp; van Slyke, R</t>
  </si>
  <si>
    <t xml:space="preserve">Prentice Hall</t>
  </si>
  <si>
    <t xml:space="preserve">CM-07</t>
  </si>
  <si>
    <t xml:space="preserve">The Essential Guide to Telecommunications</t>
  </si>
  <si>
    <t xml:space="preserve">Dodd, A Z</t>
  </si>
  <si>
    <t xml:space="preserve">CMM-06</t>
  </si>
  <si>
    <t xml:space="preserve">Ultimate Modem Handbook</t>
  </si>
  <si>
    <t xml:space="preserve">Lewart, C R</t>
  </si>
  <si>
    <t xml:space="preserve">CO-07</t>
  </si>
  <si>
    <t xml:space="preserve">Year 2000 - Y2K  Computing</t>
  </si>
  <si>
    <t xml:space="preserve">Computing General</t>
  </si>
  <si>
    <t xml:space="preserve">Lefcon, D</t>
  </si>
  <si>
    <t xml:space="preserve">CO-22</t>
  </si>
  <si>
    <t xml:space="preserve">Computer Guide  Q&amp;A  2nd Edition</t>
  </si>
  <si>
    <t xml:space="preserve">Skarbek, G</t>
  </si>
  <si>
    <t xml:space="preserve">George Skarbek</t>
  </si>
  <si>
    <t xml:space="preserve">CO-24</t>
  </si>
  <si>
    <t xml:space="preserve">Database Nation.  The Death of Privacy in 21st Century</t>
  </si>
  <si>
    <t xml:space="preserve">Garfinkel, S</t>
  </si>
  <si>
    <t xml:space="preserve">O'Reilly</t>
  </si>
  <si>
    <t xml:space="preserve">CO-29</t>
  </si>
  <si>
    <t xml:space="preserve">Communicating in an IT Environment</t>
  </si>
  <si>
    <t xml:space="preserve">Burton, K &amp; LeRossignol, K</t>
  </si>
  <si>
    <t xml:space="preserve">Eastern House</t>
  </si>
  <si>
    <t xml:space="preserve">CO-30</t>
  </si>
  <si>
    <t xml:space="preserve">Essentials Of IT : General  Vol,2</t>
  </si>
  <si>
    <t xml:space="preserve">Hamilton, Kenny &amp; Huber</t>
  </si>
  <si>
    <t xml:space="preserve">CO-33</t>
  </si>
  <si>
    <t xml:space="preserve">Computers  7th Edition</t>
  </si>
  <si>
    <t xml:space="preserve">Long, L &amp; N</t>
  </si>
  <si>
    <t xml:space="preserve">CO-34</t>
  </si>
  <si>
    <t xml:space="preserve">Alan Turing The Enigma</t>
  </si>
  <si>
    <t xml:space="preserve">Andrew Hodges</t>
  </si>
  <si>
    <t xml:space="preserve">Walker Publishing</t>
  </si>
  <si>
    <t xml:space="preserve">CO-35</t>
  </si>
  <si>
    <t xml:space="preserve">The Second Coming of Steve Jobs</t>
  </si>
  <si>
    <t xml:space="preserve">Deutschman, A</t>
  </si>
  <si>
    <t xml:space="preserve">Broadway Books</t>
  </si>
  <si>
    <t xml:space="preserve">CO-36</t>
  </si>
  <si>
    <t xml:space="preserve">U.S v Microsoft</t>
  </si>
  <si>
    <t xml:space="preserve">Brinkley, J &amp; Lohr, S</t>
  </si>
  <si>
    <t xml:space="preserve">McGraw Hill</t>
  </si>
  <si>
    <t xml:space="preserve">CO-37</t>
  </si>
  <si>
    <t xml:space="preserve">Management Information Systems</t>
  </si>
  <si>
    <t xml:space="preserve">Laudon, K C &amp; J P</t>
  </si>
  <si>
    <t xml:space="preserve">CO-38</t>
  </si>
  <si>
    <t xml:space="preserve">Get Your IT Degree &amp; Get Ahead</t>
  </si>
  <si>
    <t xml:space="preserve">Bear, M &amp; J</t>
  </si>
  <si>
    <t xml:space="preserve">CO-39</t>
  </si>
  <si>
    <t xml:space="preserve">The Computer Choice Computer Trouble Shooter</t>
  </si>
  <si>
    <t xml:space="preserve">Garside, W</t>
  </si>
  <si>
    <t xml:space="preserve">Choice Books</t>
  </si>
  <si>
    <t xml:space="preserve">CO-41</t>
  </si>
  <si>
    <t xml:space="preserve">Information Warfare, How to survive Cyber Attacks</t>
  </si>
  <si>
    <t xml:space="preserve">Erbschloe, M</t>
  </si>
  <si>
    <t xml:space="preserve">Osborne McGraw Hill</t>
  </si>
  <si>
    <t xml:space="preserve">CO-42</t>
  </si>
  <si>
    <t xml:space="preserve">Integrated Computer Projects</t>
  </si>
  <si>
    <t xml:space="preserve">Brooks, L</t>
  </si>
  <si>
    <t xml:space="preserve">EMCParadigm</t>
  </si>
  <si>
    <t xml:space="preserve">CO-43</t>
  </si>
  <si>
    <t xml:space="preserve">Amazon Hacks</t>
  </si>
  <si>
    <t xml:space="preserve">Bausch, P</t>
  </si>
  <si>
    <t xml:space="preserve">CO-44</t>
  </si>
  <si>
    <t xml:space="preserve">It's never too late to love a computer</t>
  </si>
  <si>
    <t xml:space="preserve">Stokes, A</t>
  </si>
  <si>
    <t xml:space="preserve">Workman Pub.</t>
  </si>
  <si>
    <t xml:space="preserve">CO-45</t>
  </si>
  <si>
    <t xml:space="preserve">Who's afraid of the Mouse? A practical women' guide.</t>
  </si>
  <si>
    <t xml:space="preserve">Stammers, K &amp; Parry, T</t>
  </si>
  <si>
    <t xml:space="preserve">Random House</t>
  </si>
  <si>
    <t xml:space="preserve">CO-46</t>
  </si>
  <si>
    <t xml:space="preserve">The Geek Squad guide to solving any Computer Glitch</t>
  </si>
  <si>
    <t xml:space="preserve">Stephens, R &amp; Burg, D</t>
  </si>
  <si>
    <t xml:space="preserve">Simon &amp; Schuster</t>
  </si>
  <si>
    <t xml:space="preserve">CO-50</t>
  </si>
  <si>
    <t xml:space="preserve">Compendium of Good Writing</t>
  </si>
  <si>
    <t xml:space="preserve">Renton, N</t>
  </si>
  <si>
    <t xml:space="preserve">CO-51</t>
  </si>
  <si>
    <t xml:space="preserve">Buying a Computer for Dummies</t>
  </si>
  <si>
    <t xml:space="preserve">Gookin, D</t>
  </si>
  <si>
    <t xml:space="preserve">CO-52</t>
  </si>
  <si>
    <t xml:space="preserve">The Mezonic Agenda</t>
  </si>
  <si>
    <t xml:space="preserve">Thompson, H H &amp; Nomikos, S</t>
  </si>
  <si>
    <t xml:space="preserve">Syngress</t>
  </si>
  <si>
    <t xml:space="preserve">CO-53</t>
  </si>
  <si>
    <t xml:space="preserve">Explorations in Computer Science (CD Inc.)</t>
  </si>
  <si>
    <t xml:space="preserve">Meyer, Mark R.</t>
  </si>
  <si>
    <t xml:space="preserve">Jones and Bartlett</t>
  </si>
  <si>
    <t xml:space="preserve">CO-54</t>
  </si>
  <si>
    <t xml:space="preserve">PCs for Dummies</t>
  </si>
  <si>
    <t xml:space="preserve">CO-55</t>
  </si>
  <si>
    <t xml:space="preserve">Grid Computing</t>
  </si>
  <si>
    <t xml:space="preserve">Plaszczak, P &amp; Wellner, R</t>
  </si>
  <si>
    <t xml:space="preserve">Morgan Kaufmann</t>
  </si>
  <si>
    <t xml:space="preserve">CO-56</t>
  </si>
  <si>
    <t xml:space="preserve">Open Source Software</t>
  </si>
  <si>
    <t xml:space="preserve">Kavanagh, P</t>
  </si>
  <si>
    <t xml:space="preserve">Elsevier</t>
  </si>
  <si>
    <t xml:space="preserve">CO-57</t>
  </si>
  <si>
    <t xml:space="preserve">Sarbanes-Oxley, IT Compliance using COBIT &amp; Open Source Tools (CD inc)</t>
  </si>
  <si>
    <t xml:space="preserve">Lahti, C &amp; Peterson, R</t>
  </si>
  <si>
    <t xml:space="preserve">Synergy</t>
  </si>
  <si>
    <t xml:space="preserve">CO-58</t>
  </si>
  <si>
    <t xml:space="preserve">Computer Guide  Q&amp;A  3rd Edition</t>
  </si>
  <si>
    <t xml:space="preserve">CO-59</t>
  </si>
  <si>
    <t xml:space="preserve">The Search, How Google &amp; Rivals Rewrote the Rules ……</t>
  </si>
  <si>
    <t xml:space="preserve">GOOGLE</t>
  </si>
  <si>
    <t xml:space="preserve">Batelle, J</t>
  </si>
  <si>
    <t xml:space="preserve">Nicholas Brealey Publishing</t>
  </si>
  <si>
    <t xml:space="preserve">CO-61</t>
  </si>
  <si>
    <t xml:space="preserve">PCs All-in-one for Dummies</t>
  </si>
  <si>
    <t xml:space="preserve">Chambers, M</t>
  </si>
  <si>
    <t xml:space="preserve">CO-62</t>
  </si>
  <si>
    <t xml:space="preserve">Computer Guide 4th edition</t>
  </si>
  <si>
    <t xml:space="preserve">CO-63</t>
  </si>
  <si>
    <t xml:space="preserve">How to do Just About Anything on a Computer</t>
  </si>
  <si>
    <t xml:space="preserve">PCs GENERAL</t>
  </si>
  <si>
    <t xml:space="preserve">Windows Vista</t>
  </si>
  <si>
    <t xml:space="preserve">Reader's Digest</t>
  </si>
  <si>
    <t xml:space="preserve">CO-64</t>
  </si>
  <si>
    <t xml:space="preserve">Computers for Seniors for Dummies</t>
  </si>
  <si>
    <t xml:space="preserve">General</t>
  </si>
  <si>
    <t xml:space="preserve">Computers</t>
  </si>
  <si>
    <t xml:space="preserve">Muir, N. C.</t>
  </si>
  <si>
    <t xml:space="preserve">John Wiley</t>
  </si>
  <si>
    <t xml:space="preserve">CO-65</t>
  </si>
  <si>
    <t xml:space="preserve">Pogue's Basics</t>
  </si>
  <si>
    <t xml:space="preserve">Pogue, D.</t>
  </si>
  <si>
    <t xml:space="preserve">Flatiron Books</t>
  </si>
  <si>
    <t xml:space="preserve">CO-66</t>
  </si>
  <si>
    <t xml:space="preserve">PCs All-in-one for Dummies, 6th edition</t>
  </si>
  <si>
    <t xml:space="preserve">Chambers, M.L.</t>
  </si>
  <si>
    <t xml:space="preserve">CO-67</t>
  </si>
  <si>
    <t xml:space="preserve">Computer Basics Absolute Beginner's Guide</t>
  </si>
  <si>
    <t xml:space="preserve">Miller, M.</t>
  </si>
  <si>
    <t xml:space="preserve">Que, Pearson Education</t>
  </si>
  <si>
    <t xml:space="preserve">CO-68</t>
  </si>
  <si>
    <t xml:space="preserve">Telstra: Victorian Tech Savvy Seniors Training DVDs (2)  </t>
  </si>
  <si>
    <t xml:space="preserve">CO-69</t>
  </si>
  <si>
    <t xml:space="preserve">New Dark Age</t>
  </si>
  <si>
    <t xml:space="preserve">Bridle, J.</t>
  </si>
  <si>
    <t xml:space="preserve">Verso</t>
  </si>
  <si>
    <t xml:space="preserve"> DA-23</t>
  </si>
  <si>
    <t xml:space="preserve">Encyclopedia of Computer Science Fourth Edition</t>
  </si>
  <si>
    <t xml:space="preserve">Detailed</t>
  </si>
  <si>
    <t xml:space="preserve">Ralston, A., Reilly, E. D., Hemmendinger, D.</t>
  </si>
  <si>
    <t xml:space="preserve">Nature</t>
  </si>
  <si>
    <t xml:space="preserve">DB-01</t>
  </si>
  <si>
    <t xml:space="preserve">Modern database management 6th edition</t>
  </si>
  <si>
    <t xml:space="preserve">DATABASE MANAGEMENT</t>
  </si>
  <si>
    <t xml:space="preserve">Databases</t>
  </si>
  <si>
    <t xml:space="preserve">Hoffer, J. A., Prescott M. B. &amp; McFadden F. R.</t>
  </si>
  <si>
    <t xml:space="preserve">DB-02</t>
  </si>
  <si>
    <t xml:space="preserve">Microsoft ADO.NET Step by Step</t>
  </si>
  <si>
    <t xml:space="preserve">ACO.NET</t>
  </si>
  <si>
    <t xml:space="preserve">Riordan, R. M.</t>
  </si>
  <si>
    <t xml:space="preserve">Microsoft</t>
  </si>
  <si>
    <t xml:space="preserve">DB-03</t>
  </si>
  <si>
    <t xml:space="preserve">Microsoft ADO.NET 2.0 Step by Step</t>
  </si>
  <si>
    <t xml:space="preserve">ADO.NET 2.0</t>
  </si>
  <si>
    <t xml:space="preserve">DB-04</t>
  </si>
  <si>
    <t xml:space="preserve">Buiding Web Solutions with ASP.NET and ADO.NET</t>
  </si>
  <si>
    <t xml:space="preserve">ASP.NET &amp; ADO.NET</t>
  </si>
  <si>
    <t xml:space="preserve">Esposito, D.</t>
  </si>
  <si>
    <t xml:space="preserve">DB-05</t>
  </si>
  <si>
    <t xml:space="preserve">Developing Microsoft ASP.NET Server Controls &amp; Components</t>
  </si>
  <si>
    <t xml:space="preserve">ASP.NET</t>
  </si>
  <si>
    <t xml:space="preserve">Kothari, N. &amp; Datye, V.</t>
  </si>
  <si>
    <t xml:space="preserve">DB-06</t>
  </si>
  <si>
    <t xml:space="preserve">Programming Microsoft Web Forms</t>
  </si>
  <si>
    <t xml:space="preserve">ASP.NET 2.0</t>
  </si>
  <si>
    <t xml:space="preserve">Reilly, D. J.</t>
  </si>
  <si>
    <t xml:space="preserve">DB-07</t>
  </si>
  <si>
    <t xml:space="preserve">ADO Programming in Visual Basic 6</t>
  </si>
  <si>
    <t xml:space="preserve">ADO &amp; Visual Basic</t>
  </si>
  <si>
    <t xml:space="preserve">Holzner, S.</t>
  </si>
  <si>
    <t xml:space="preserve">DBA-12</t>
  </si>
  <si>
    <t xml:space="preserve">Using Microsoft Access 2000  Special Edition</t>
  </si>
  <si>
    <t xml:space="preserve">ACCESS 2000</t>
  </si>
  <si>
    <t xml:space="preserve">Jennings, R</t>
  </si>
  <si>
    <t xml:space="preserve">QUE</t>
  </si>
  <si>
    <t xml:space="preserve">DBA-13</t>
  </si>
  <si>
    <t xml:space="preserve">Easy Microsoft Access 2000</t>
  </si>
  <si>
    <t xml:space="preserve">Byrne, J</t>
  </si>
  <si>
    <t xml:space="preserve">DBA-16</t>
  </si>
  <si>
    <t xml:space="preserve">Using MS Access 97</t>
  </si>
  <si>
    <t xml:space="preserve">ACESS97</t>
  </si>
  <si>
    <t xml:space="preserve">DBA-21</t>
  </si>
  <si>
    <t xml:space="preserve">Access 97 Developer's handbook</t>
  </si>
  <si>
    <t xml:space="preserve">ACCESS97</t>
  </si>
  <si>
    <t xml:space="preserve">Litwan, Getz, Gilbert</t>
  </si>
  <si>
    <t xml:space="preserve">Sybex</t>
  </si>
  <si>
    <t xml:space="preserve">DBA-22</t>
  </si>
  <si>
    <t xml:space="preserve">Access 97 Expert Solutions   (CD Missing)</t>
  </si>
  <si>
    <t xml:space="preserve">Leszynski, S</t>
  </si>
  <si>
    <t xml:space="preserve">DBA-28</t>
  </si>
  <si>
    <t xml:space="preserve">The Complete Idiot's Guide to Access 2000</t>
  </si>
  <si>
    <t xml:space="preserve">Habraken, J</t>
  </si>
  <si>
    <t xml:space="preserve">Alpha</t>
  </si>
  <si>
    <t xml:space="preserve">DBA-29</t>
  </si>
  <si>
    <t xml:space="preserve">Access 2003 Personal Trainer</t>
  </si>
  <si>
    <t xml:space="preserve">ACCESS 2003</t>
  </si>
  <si>
    <t xml:space="preserve">Vustom Guide</t>
  </si>
  <si>
    <t xml:space="preserve">DBA-30</t>
  </si>
  <si>
    <t xml:space="preserve">Access 2003 for Starters - The Missing Manual</t>
  </si>
  <si>
    <t xml:space="preserve">Chase, K &amp; Palmer, S</t>
  </si>
  <si>
    <t xml:space="preserve">DBA-31</t>
  </si>
  <si>
    <t xml:space="preserve">Access 2007 Quick Steps</t>
  </si>
  <si>
    <t xml:space="preserve">ACCESS 2007</t>
  </si>
  <si>
    <t xml:space="preserve">Cronan, J &amp; Sandberg, B</t>
  </si>
  <si>
    <t xml:space="preserve">DBA-32</t>
  </si>
  <si>
    <t xml:space="preserve">Access 2000, Step By Step</t>
  </si>
  <si>
    <t xml:space="preserve">DBA-34</t>
  </si>
  <si>
    <t xml:space="preserve">Access 2000 Unleashed</t>
  </si>
  <si>
    <t xml:space="preserve">Ralston, T</t>
  </si>
  <si>
    <t xml:space="preserve">SAMS</t>
  </si>
  <si>
    <t xml:space="preserve">DBA-35</t>
  </si>
  <si>
    <t xml:space="preserve">Access 2000 Developer's Guide</t>
  </si>
  <si>
    <t xml:space="preserve">Jones, E</t>
  </si>
  <si>
    <t xml:space="preserve">MS&amp;T</t>
  </si>
  <si>
    <t xml:space="preserve">DBA-36</t>
  </si>
  <si>
    <t xml:space="preserve">Access 2016 for Dummies</t>
  </si>
  <si>
    <t xml:space="preserve">ACCESS 2016</t>
  </si>
  <si>
    <t xml:space="preserve">Fuller, L. U. &amp; Cook, K.</t>
  </si>
  <si>
    <t xml:space="preserve">DBA-37</t>
  </si>
  <si>
    <t xml:space="preserve">Get the Most from Microsoft Access for Windows</t>
  </si>
  <si>
    <t xml:space="preserve">ACCESS</t>
  </si>
  <si>
    <t xml:space="preserve">Kurniawan, B.</t>
  </si>
  <si>
    <t xml:space="preserve">Maximedia</t>
  </si>
  <si>
    <t xml:space="preserve">DBA-38</t>
  </si>
  <si>
    <t xml:space="preserve">Microsoft Access 2010 for Dummies</t>
  </si>
  <si>
    <t xml:space="preserve">Fuller, L. U. &amp; Cook, K</t>
  </si>
  <si>
    <t xml:space="preserve">DBL-01</t>
  </si>
  <si>
    <t xml:space="preserve">FileMaker Pro  4.0, User's Guide.</t>
  </si>
  <si>
    <t xml:space="preserve">FILEMAKER PRO 4.0</t>
  </si>
  <si>
    <t xml:space="preserve">Claris Corp.</t>
  </si>
  <si>
    <t xml:space="preserve">DBL-02</t>
  </si>
  <si>
    <t xml:space="preserve">Filemaker Pro 4 Bible</t>
  </si>
  <si>
    <t xml:space="preserve">Schwartz, S</t>
  </si>
  <si>
    <t xml:space="preserve">IDG</t>
  </si>
  <si>
    <t xml:space="preserve">DBL-03</t>
  </si>
  <si>
    <t xml:space="preserve">Filemaker Pro 13 the missing manual</t>
  </si>
  <si>
    <t xml:space="preserve">FILEMAKER PRO 13</t>
  </si>
  <si>
    <t xml:space="preserve">Prosser, S &amp; Gripman, S</t>
  </si>
  <si>
    <t xml:space="preserve">DBP-01</t>
  </si>
  <si>
    <t xml:space="preserve">Practical PostgreSQL</t>
  </si>
  <si>
    <t xml:space="preserve">worsley, J C &amp; Drake, J D</t>
  </si>
  <si>
    <t xml:space="preserve">DBP-02</t>
  </si>
  <si>
    <t xml:space="preserve">microSQL for Windows User Guide</t>
  </si>
  <si>
    <t xml:space="preserve">SQL</t>
  </si>
  <si>
    <t xml:space="preserve">MicroResearch</t>
  </si>
  <si>
    <t xml:space="preserve">EQL Pty Ltd</t>
  </si>
  <si>
    <t xml:space="preserve">DBP-03</t>
  </si>
  <si>
    <t xml:space="preserve">PostgreSQL</t>
  </si>
  <si>
    <t xml:space="preserve">Douglas, K. &amp; Douglas, S.</t>
  </si>
  <si>
    <t xml:space="preserve">SAMS Developer's Library</t>
  </si>
  <si>
    <t xml:space="preserve">DBP-04</t>
  </si>
  <si>
    <t xml:space="preserve">MySQL</t>
  </si>
  <si>
    <t xml:space="preserve">SQL 4</t>
  </si>
  <si>
    <t xml:space="preserve">DuBois, P.</t>
  </si>
  <si>
    <t xml:space="preserve">DI-02</t>
  </si>
  <si>
    <t xml:space="preserve">Digital Imaging</t>
  </si>
  <si>
    <t xml:space="preserve">Galer, M &amp; Horvat, L</t>
  </si>
  <si>
    <t xml:space="preserve">Essential Skills</t>
  </si>
  <si>
    <t xml:space="preserve">DIP-01</t>
  </si>
  <si>
    <t xml:space="preserve">I Just Bought a Digital Camera, Now What?</t>
  </si>
  <si>
    <t xml:space="preserve">Digital Photography</t>
  </si>
  <si>
    <t xml:space="preserve">Johnson, D</t>
  </si>
  <si>
    <t xml:space="preserve">Silver Lining Books</t>
  </si>
  <si>
    <t xml:space="preserve">DIP-02</t>
  </si>
  <si>
    <t xml:space="preserve">Digital Photography!  I didn't know you could that. (CD Inc.)</t>
  </si>
  <si>
    <t xml:space="preserve">Sadun, E</t>
  </si>
  <si>
    <t xml:space="preserve">DIP-03</t>
  </si>
  <si>
    <t xml:space="preserve">Dictionary of Photography &amp; Digital Imaging</t>
  </si>
  <si>
    <t xml:space="preserve">Ang, T</t>
  </si>
  <si>
    <t xml:space="preserve">Argentum</t>
  </si>
  <si>
    <t xml:space="preserve">DIP-04</t>
  </si>
  <si>
    <t xml:space="preserve">A Simple Guide to Digital Photography</t>
  </si>
  <si>
    <t xml:space="preserve">Corbett, B</t>
  </si>
  <si>
    <t xml:space="preserve">Better Photography Pub'g.</t>
  </si>
  <si>
    <t xml:space="preserve">DIP-05</t>
  </si>
  <si>
    <t xml:space="preserve">The Everything Digital Photography Book</t>
  </si>
  <si>
    <t xml:space="preserve">Schoch, E T</t>
  </si>
  <si>
    <t xml:space="preserve">Adams Media Corp'n.</t>
  </si>
  <si>
    <t xml:space="preserve">DIP-06</t>
  </si>
  <si>
    <t xml:space="preserve">How to do Everything with your Digital Camera</t>
  </si>
  <si>
    <t xml:space="preserve">DIP-07</t>
  </si>
  <si>
    <t xml:space="preserve">DIP-08</t>
  </si>
  <si>
    <t xml:space="preserve">Essentials of Digital Photography</t>
  </si>
  <si>
    <t xml:space="preserve">Kasai, Sparkman, Hurley</t>
  </si>
  <si>
    <t xml:space="preserve">DIP-09</t>
  </si>
  <si>
    <t xml:space="preserve">Digital Photography for Dummies</t>
  </si>
  <si>
    <t xml:space="preserve">Busch, D</t>
  </si>
  <si>
    <t xml:space="preserve">DIP-10</t>
  </si>
  <si>
    <t xml:space="preserve">Click!  The No Nonsense Guide to Digital Cameras</t>
  </si>
  <si>
    <t xml:space="preserve">Wuite, R</t>
  </si>
  <si>
    <t xml:space="preserve">DIP-11</t>
  </si>
  <si>
    <t xml:space="preserve">Digital Photography Pocket Guide</t>
  </si>
  <si>
    <t xml:space="preserve">Story, D</t>
  </si>
  <si>
    <t xml:space="preserve">DIP-12</t>
  </si>
  <si>
    <t xml:space="preserve">Digital Photography - Expert techniques</t>
  </si>
  <si>
    <t xml:space="preserve">Milburn, K</t>
  </si>
  <si>
    <t xml:space="preserve">DIP-13</t>
  </si>
  <si>
    <t xml:space="preserve">Digital Photography Essentials  (CD Inc.)</t>
  </si>
  <si>
    <t xml:space="preserve">DIP-14</t>
  </si>
  <si>
    <t xml:space="preserve">Camera Phone Obsession</t>
  </si>
  <si>
    <t xml:space="preserve">Aitken, P G</t>
  </si>
  <si>
    <t xml:space="preserve">Paraglyph</t>
  </si>
  <si>
    <t xml:space="preserve">DIP-15</t>
  </si>
  <si>
    <t xml:space="preserve">Digital Photography for Dummies, 7 Books in 1</t>
  </si>
  <si>
    <t xml:space="preserve">DIP-18</t>
  </si>
  <si>
    <t xml:space="preserve">Digital Photo Doctor</t>
  </si>
  <si>
    <t xml:space="preserve">PHOTOGRAPHY</t>
  </si>
  <si>
    <t xml:space="preserve">Daly, T. &amp; Asch, D.</t>
  </si>
  <si>
    <t xml:space="preserve">DIP-19</t>
  </si>
  <si>
    <t xml:space="preserve">The Complete Idiot's Guide to Digital Photography</t>
  </si>
  <si>
    <t xml:space="preserve">Greenberg, S.</t>
  </si>
  <si>
    <t xml:space="preserve">ALPHA</t>
  </si>
  <si>
    <t xml:space="preserve">DIP-20</t>
  </si>
  <si>
    <t xml:space="preserve">Digital Photography for Dummies, 4th edition</t>
  </si>
  <si>
    <t xml:space="preserve">King, J. A.</t>
  </si>
  <si>
    <t xml:space="preserve">DIP-21</t>
  </si>
  <si>
    <t xml:space="preserve">Brilliant Digital Photography for the Over 50s</t>
  </si>
  <si>
    <t xml:space="preserve">Skeoch, J. &amp; Lees, A.</t>
  </si>
  <si>
    <t xml:space="preserve">Pearson/Prentice Hall</t>
  </si>
  <si>
    <t xml:space="preserve">DIP-22</t>
  </si>
  <si>
    <t xml:space="preserve">The Compact &amp; Digital Camera Handbook</t>
  </si>
  <si>
    <t xml:space="preserve">Lezano, D.</t>
  </si>
  <si>
    <t xml:space="preserve">Marshall</t>
  </si>
  <si>
    <t xml:space="preserve">DIP-23</t>
  </si>
  <si>
    <t xml:space="preserve">Complete Guide to Ultimate Digital Photo Quality</t>
  </si>
  <si>
    <t xml:space="preserve">DIGITAL PHOTOGRAPHY</t>
  </si>
  <si>
    <t xml:space="preserve">Doeffinger, D</t>
  </si>
  <si>
    <t xml:space="preserve">Lark Books</t>
  </si>
  <si>
    <t xml:space="preserve">DIP-24</t>
  </si>
  <si>
    <t xml:space="preserve">The Adobe Photoshop Lightroom CC book for digital photographers</t>
  </si>
  <si>
    <t xml:space="preserve">PHOTOSHOP</t>
  </si>
  <si>
    <t xml:space="preserve">Kelby, S.</t>
  </si>
  <si>
    <t xml:space="preserve">DIP-25</t>
  </si>
  <si>
    <t xml:space="preserve">Photoshop Elements 14 for Dummies</t>
  </si>
  <si>
    <t xml:space="preserve">Obermeier, B. &amp; Padova, T,</t>
  </si>
  <si>
    <t xml:space="preserve">DIP-26</t>
  </si>
  <si>
    <t xml:space="preserve">Digital SLR Photography All-in-One for Dummies, 3rd edition</t>
  </si>
  <si>
    <t xml:space="preserve">Correll, R.</t>
  </si>
  <si>
    <t xml:space="preserve">DIP-27</t>
  </si>
  <si>
    <t xml:space="preserve">Rick Sammon's Digital Photography Secrets</t>
  </si>
  <si>
    <t xml:space="preserve">Salmon, R</t>
  </si>
  <si>
    <t xml:space="preserve">DIP-28</t>
  </si>
  <si>
    <t xml:space="preserve">Scanning Negatives and Slides</t>
  </si>
  <si>
    <t xml:space="preserve">Steinhoff, S.</t>
  </si>
  <si>
    <t xml:space="preserve">Rocky Nook</t>
  </si>
  <si>
    <t xml:space="preserve">DIP-29</t>
  </si>
  <si>
    <t xml:space="preserve">Color Management in Digital Photography</t>
  </si>
  <si>
    <t xml:space="preserve">Hinkel, B.</t>
  </si>
  <si>
    <t xml:space="preserve">DIP-30</t>
  </si>
  <si>
    <t xml:space="preserve">Fine Art Printing for Photographers</t>
  </si>
  <si>
    <t xml:space="preserve">Steinmueller, U. &amp; Gulbins, J.</t>
  </si>
  <si>
    <t xml:space="preserve">DIS-01</t>
  </si>
  <si>
    <t xml:space="preserve">Hewlett-Packard's Official Scanner Handbook</t>
  </si>
  <si>
    <t xml:space="preserve">HEWLETT_PACKARD</t>
  </si>
  <si>
    <t xml:space="preserve">Hardware Scanners</t>
  </si>
  <si>
    <t xml:space="preserve">Busch, Krzywicki, &amp; Burden</t>
  </si>
  <si>
    <t xml:space="preserve">DIS-02</t>
  </si>
  <si>
    <t xml:space="preserve">Avoiding the Scanner Blues</t>
  </si>
  <si>
    <t xml:space="preserve">Tally, T</t>
  </si>
  <si>
    <t xml:space="preserve">Prentice hall</t>
  </si>
  <si>
    <t xml:space="preserve">DIS-04</t>
  </si>
  <si>
    <t xml:space="preserve">Real World Scanning &amp; Halftones</t>
  </si>
  <si>
    <t xml:space="preserve">Blatner, Fleishman, &amp; Roth</t>
  </si>
  <si>
    <t xml:space="preserve">Peachpit Press</t>
  </si>
  <si>
    <t xml:space="preserve">DIS-05</t>
  </si>
  <si>
    <t xml:space="preserve">Color Scanning Handbook</t>
  </si>
  <si>
    <t xml:space="preserve">Day, J</t>
  </si>
  <si>
    <t xml:space="preserve">Prentice Hall PTR</t>
  </si>
  <si>
    <t xml:space="preserve">DIS-06</t>
  </si>
  <si>
    <t xml:space="preserve">How to do Everything with Your Scanner</t>
  </si>
  <si>
    <t xml:space="preserve">Gilbert, J</t>
  </si>
  <si>
    <t xml:space="preserve">Osborne</t>
  </si>
  <si>
    <t xml:space="preserve">DIS-08</t>
  </si>
  <si>
    <t xml:space="preserve">Desktop Scanners</t>
  </si>
  <si>
    <t xml:space="preserve">Gann, Robert G (Ph.D)</t>
  </si>
  <si>
    <t xml:space="preserve">Evaluation</t>
  </si>
  <si>
    <t xml:space="preserve">DIS-10</t>
  </si>
  <si>
    <t xml:space="preserve">Scanner Handbook 2nd Edition</t>
  </si>
  <si>
    <t xml:space="preserve">DPA-01</t>
  </si>
  <si>
    <t xml:space="preserve">Adobe Acrobat 4.0</t>
  </si>
  <si>
    <t xml:space="preserve">ACROBAT 4.0</t>
  </si>
  <si>
    <t xml:space="preserve">Desktop Publishing</t>
  </si>
  <si>
    <t xml:space="preserve">Adobe Press</t>
  </si>
  <si>
    <t xml:space="preserve">DPA-02</t>
  </si>
  <si>
    <t xml:space="preserve">Adobe Acrobat 5.0, Classroom in a Book. (CD Inc.)+C356</t>
  </si>
  <si>
    <t xml:space="preserve">ACROBAT 5.0</t>
  </si>
  <si>
    <t xml:space="preserve">DPA-03</t>
  </si>
  <si>
    <t xml:space="preserve">PDF Reference  3rd Edition  v1.4</t>
  </si>
  <si>
    <t xml:space="preserve">DPA-04</t>
  </si>
  <si>
    <t xml:space="preserve">Adobe Acrobat 3.0  Classroom in a Book. (CD Missing)</t>
  </si>
  <si>
    <t xml:space="preserve">ACROBAT 3</t>
  </si>
  <si>
    <t xml:space="preserve">DPA-05</t>
  </si>
  <si>
    <t xml:space="preserve">Acrobat PDF Bible</t>
  </si>
  <si>
    <t xml:space="preserve">Padova, T</t>
  </si>
  <si>
    <t xml:space="preserve">IDG Books</t>
  </si>
  <si>
    <t xml:space="preserve">DPA-07</t>
  </si>
  <si>
    <t xml:space="preserve">Acrobat 5 PDF  Bible</t>
  </si>
  <si>
    <t xml:space="preserve">Hungry Minds</t>
  </si>
  <si>
    <t xml:space="preserve">DPA-10</t>
  </si>
  <si>
    <t xml:space="preserve">Adobe Acrobat 6 PDF</t>
  </si>
  <si>
    <t xml:space="preserve">ACROBAT 6</t>
  </si>
  <si>
    <t xml:space="preserve">Harvey G</t>
  </si>
  <si>
    <t xml:space="preserve">DPD-01</t>
  </si>
  <si>
    <t xml:space="preserve">InDesign CS (in easy steps)</t>
  </si>
  <si>
    <t xml:space="preserve">INDESIGN</t>
  </si>
  <si>
    <t xml:space="preserve">Shufflebotham, R</t>
  </si>
  <si>
    <t xml:space="preserve">DPD-02</t>
  </si>
  <si>
    <t xml:space="preserve">Adobe InDesign 2.0, A User's Guide</t>
  </si>
  <si>
    <t xml:space="preserve">INDESIGN 2.0</t>
  </si>
  <si>
    <t xml:space="preserve">DPD-03</t>
  </si>
  <si>
    <t xml:space="preserve">InDesign for Macintosh &amp; Windows</t>
  </si>
  <si>
    <t xml:space="preserve">Cohen, S.</t>
  </si>
  <si>
    <t xml:space="preserve">DPD-04</t>
  </si>
  <si>
    <t xml:space="preserve">Adobe InDesign CS2, Photoshop CS2 &amp; Illustrator CS2</t>
  </si>
  <si>
    <t xml:space="preserve">Botello, C &amp; Reding, E E</t>
  </si>
  <si>
    <t xml:space="preserve">Thomson Learning</t>
  </si>
  <si>
    <t xml:space="preserve">DPD-05</t>
  </si>
  <si>
    <t xml:space="preserve">InDesign CS3 for Windows &amp; Mac</t>
  </si>
  <si>
    <t xml:space="preserve">Shufflebothham, R.</t>
  </si>
  <si>
    <t xml:space="preserve">In Easy Steps</t>
  </si>
  <si>
    <t xml:space="preserve">DPM-03</t>
  </si>
  <si>
    <t xml:space="preserve">Microsoft Publisher 2000 For Dummies</t>
  </si>
  <si>
    <t xml:space="preserve">McCarter J</t>
  </si>
  <si>
    <t xml:space="preserve">DPR-01</t>
  </si>
  <si>
    <t xml:space="preserve">RTF Pocket Guide</t>
  </si>
  <si>
    <t xml:space="preserve">Burke S M</t>
  </si>
  <si>
    <t xml:space="preserve">DV-02</t>
  </si>
  <si>
    <t xml:space="preserve">Five Essential Steps In Digital Video</t>
  </si>
  <si>
    <t xml:space="preserve">Ohio D</t>
  </si>
  <si>
    <t xml:space="preserve">DV-03</t>
  </si>
  <si>
    <t xml:space="preserve">Revolutionary Premiere 6</t>
  </si>
  <si>
    <t xml:space="preserve">PREMIERE 6</t>
  </si>
  <si>
    <t xml:space="preserve">Digital Video</t>
  </si>
  <si>
    <t xml:space="preserve">Darkin, Allen, Schaeffer, et al.</t>
  </si>
  <si>
    <t xml:space="preserve">friends of ED</t>
  </si>
  <si>
    <t xml:space="preserve">DV-04</t>
  </si>
  <si>
    <t xml:space="preserve">How To Do Everything With Digital Video</t>
  </si>
  <si>
    <t xml:space="preserve">Jones F H</t>
  </si>
  <si>
    <t xml:space="preserve">DV-05</t>
  </si>
  <si>
    <t xml:space="preserve">Non Linear Editing Basics. Film &amp; Video Editing</t>
  </si>
  <si>
    <t xml:space="preserve">Browne, S E</t>
  </si>
  <si>
    <t xml:space="preserve">DV-06</t>
  </si>
  <si>
    <t xml:space="preserve">Compression For Great Digital Video</t>
  </si>
  <si>
    <t xml:space="preserve">Waggoner B</t>
  </si>
  <si>
    <t xml:space="preserve">CMP Books</t>
  </si>
  <si>
    <t xml:space="preserve">DV-12</t>
  </si>
  <si>
    <t xml:space="preserve">Pinnacle Studio For Windows</t>
  </si>
  <si>
    <t xml:space="preserve">STUDIO 8</t>
  </si>
  <si>
    <t xml:space="preserve">Ozer, J</t>
  </si>
  <si>
    <t xml:space="preserve">DV-14</t>
  </si>
  <si>
    <t xml:space="preserve">DVD -  From Home to Hollywood</t>
  </si>
  <si>
    <t xml:space="preserve">DVD</t>
  </si>
  <si>
    <t xml:space="preserve">Video Warriors</t>
  </si>
  <si>
    <t xml:space="preserve">DV-15</t>
  </si>
  <si>
    <t xml:space="preserve">DV-18</t>
  </si>
  <si>
    <t xml:space="preserve">DVD Confidential 2 the Sequel</t>
  </si>
  <si>
    <t xml:space="preserve">Saltzman, M</t>
  </si>
  <si>
    <t xml:space="preserve">DV-19</t>
  </si>
  <si>
    <t xml:space="preserve">CD &amp; DVD Recording for Dummies</t>
  </si>
  <si>
    <t xml:space="preserve">EASY CD/DVD CREATOR</t>
  </si>
  <si>
    <t xml:space="preserve">Chambers, M L</t>
  </si>
  <si>
    <t xml:space="preserve">DV-26</t>
  </si>
  <si>
    <t xml:space="preserve">Premiere 6 for Macintosh &amp; Windows  (VS-013)</t>
  </si>
  <si>
    <t xml:space="preserve">Bolante, A</t>
  </si>
  <si>
    <t xml:space="preserve">Peachpit</t>
  </si>
  <si>
    <t xml:space="preserve">DV-27</t>
  </si>
  <si>
    <t xml:space="preserve">Producing Videos, 2nd Edition  (VS-015)</t>
  </si>
  <si>
    <t xml:space="preserve">Mollison, M</t>
  </si>
  <si>
    <t xml:space="preserve">Allen &amp; Unwin</t>
  </si>
  <si>
    <t xml:space="preserve">DV-37</t>
  </si>
  <si>
    <t xml:space="preserve">Shoot / Get Shot, Guide to Handycam  (VS-012)</t>
  </si>
  <si>
    <t xml:space="preserve">Sony</t>
  </si>
  <si>
    <t xml:space="preserve">DV-39</t>
  </si>
  <si>
    <t xml:space="preserve">Vegas 3.0</t>
  </si>
  <si>
    <t xml:space="preserve">Sonic Foundry</t>
  </si>
  <si>
    <t xml:space="preserve">DV-40</t>
  </si>
  <si>
    <t xml:space="preserve">Tape - Basic &amp; Advanced Camcorder Techniques</t>
  </si>
  <si>
    <t xml:space="preserve">x2</t>
  </si>
  <si>
    <t xml:space="preserve">DV-42</t>
  </si>
  <si>
    <t xml:space="preserve">Premiere 6 for Macintosh &amp; Windows  (14A)</t>
  </si>
  <si>
    <t xml:space="preserve">DV-46</t>
  </si>
  <si>
    <t xml:space="preserve">Adobe Premiere Elements</t>
  </si>
  <si>
    <t xml:space="preserve">PREMIERE ELEMENTS</t>
  </si>
  <si>
    <t xml:space="preserve">DV-47</t>
  </si>
  <si>
    <t xml:space="preserve">Digital Video in Easy Steps</t>
  </si>
  <si>
    <t xml:space="preserve">Vandome, N</t>
  </si>
  <si>
    <t xml:space="preserve">Computer Step</t>
  </si>
  <si>
    <t xml:space="preserve">DV-48</t>
  </si>
  <si>
    <t xml:space="preserve">Adobe Premiere Elements for Dummies</t>
  </si>
  <si>
    <t xml:space="preserve">Keith Underdahl</t>
  </si>
  <si>
    <t xml:space="preserve">DV-49</t>
  </si>
  <si>
    <t xml:space="preserve">Pinnacle Studio For Windows  9</t>
  </si>
  <si>
    <t xml:space="preserve">PINNACLE 9</t>
  </si>
  <si>
    <t xml:space="preserve">DV-51</t>
  </si>
  <si>
    <t xml:space="preserve">Premiere pro for Windows</t>
  </si>
  <si>
    <t xml:space="preserve">PREMIERE PRO</t>
  </si>
  <si>
    <t xml:space="preserve">DV-52</t>
  </si>
  <si>
    <t xml:space="preserve">Premiere Elements for Windows</t>
  </si>
  <si>
    <t xml:space="preserve">DV-53</t>
  </si>
  <si>
    <t xml:space="preserve">Teach Yourself Adobe Premier Pro in 24 hours</t>
  </si>
  <si>
    <t xml:space="preserve">Sengstack, J.</t>
  </si>
  <si>
    <t xml:space="preserve">SAMS Publishing</t>
  </si>
  <si>
    <t xml:space="preserve">DV-54</t>
  </si>
  <si>
    <t xml:space="preserve">Audio for Single Camera Operation</t>
  </si>
  <si>
    <t xml:space="preserve">Grant, T</t>
  </si>
  <si>
    <t xml:space="preserve">DV-55</t>
  </si>
  <si>
    <t xml:space="preserve">DVD Authoring &amp; Production  (CD Missing)</t>
  </si>
  <si>
    <t xml:space="preserve">La Barge, R</t>
  </si>
  <si>
    <t xml:space="preserve">DV-57</t>
  </si>
  <si>
    <t xml:space="preserve">Pinnacle Studio 10 for Windows</t>
  </si>
  <si>
    <t xml:space="preserve">PINNACLE 10</t>
  </si>
  <si>
    <t xml:space="preserve">DV-58</t>
  </si>
  <si>
    <t xml:space="preserve">DV-60</t>
  </si>
  <si>
    <t xml:space="preserve">Getting Results with  Video Studio 9</t>
  </si>
  <si>
    <t xml:space="preserve">VIDEO STUDIO 9</t>
  </si>
  <si>
    <t xml:space="preserve">Hills, C</t>
  </si>
  <si>
    <t xml:space="preserve">Getting Results</t>
  </si>
  <si>
    <t xml:space="preserve">DV-61</t>
  </si>
  <si>
    <t xml:space="preserve">Adobe Premiere 6.0. Classroom in a Book</t>
  </si>
  <si>
    <t xml:space="preserve">DV-62</t>
  </si>
  <si>
    <t xml:space="preserve">After Effects in Production  (DVD Inc.)</t>
  </si>
  <si>
    <t xml:space="preserve">Meyer, T &amp; C</t>
  </si>
  <si>
    <t xml:space="preserve">DV-63</t>
  </si>
  <si>
    <t xml:space="preserve">Adobe After Effects 6, Hands on Training (CD Inc.)</t>
  </si>
  <si>
    <t xml:space="preserve">Wienman, L</t>
  </si>
  <si>
    <t xml:space="preserve">lynda.com/books</t>
  </si>
  <si>
    <t xml:space="preserve">DV-64</t>
  </si>
  <si>
    <t xml:space="preserve">Home Theatre for Dummies</t>
  </si>
  <si>
    <t xml:space="preserve">Briere, D &amp; Hurley, P</t>
  </si>
  <si>
    <t xml:space="preserve">DV-66</t>
  </si>
  <si>
    <t xml:space="preserve">Adobe Premiere Pro, Complete Course</t>
  </si>
  <si>
    <t xml:space="preserve">Baker, D</t>
  </si>
  <si>
    <t xml:space="preserve">DV-68</t>
  </si>
  <si>
    <t xml:space="preserve">Premier Pro 2</t>
  </si>
  <si>
    <t xml:space="preserve">DV-69</t>
  </si>
  <si>
    <t xml:space="preserve">Adobe After Effects 7  (CD Inc.)</t>
  </si>
  <si>
    <t xml:space="preserve">AFTER EFFECTS  7</t>
  </si>
  <si>
    <t xml:space="preserve">Fahs, C &amp; Weinman, L</t>
  </si>
  <si>
    <t xml:space="preserve">DV-70</t>
  </si>
  <si>
    <t xml:space="preserve">Hollywood Special Effects with Adobe Premiere Elements 3 (DVD Inc)</t>
  </si>
  <si>
    <t xml:space="preserve">PREMIERE ELEMENTS 3</t>
  </si>
  <si>
    <t xml:space="preserve">Plumer, C</t>
  </si>
  <si>
    <t xml:space="preserve">DV-71</t>
  </si>
  <si>
    <t xml:space="preserve">Pinnacle Studio 8</t>
  </si>
  <si>
    <t xml:space="preserve">PINNACLE 8</t>
  </si>
  <si>
    <t xml:space="preserve">Pinnacle systems</t>
  </si>
  <si>
    <t xml:space="preserve">DV-72</t>
  </si>
  <si>
    <t xml:space="preserve">Producing Videos, A Complete Guide</t>
  </si>
  <si>
    <t xml:space="preserve">DV-74</t>
  </si>
  <si>
    <t xml:space="preserve">Easy Digital Home movies</t>
  </si>
  <si>
    <t xml:space="preserve">WINDOWS MOVIE MAKER</t>
  </si>
  <si>
    <t xml:space="preserve">Ludington, J</t>
  </si>
  <si>
    <t xml:space="preserve">DV-75</t>
  </si>
  <si>
    <t xml:space="preserve">Digital Cinematography</t>
  </si>
  <si>
    <t xml:space="preserve">deLeeuw, B</t>
  </si>
  <si>
    <t xml:space="preserve">Academic Press</t>
  </si>
  <si>
    <t xml:space="preserve">DV-78</t>
  </si>
  <si>
    <t xml:space="preserve">3ds Max 7 discreet</t>
  </si>
  <si>
    <t xml:space="preserve">3D STUDIO MAX</t>
  </si>
  <si>
    <t xml:space="preserve">Autodesk</t>
  </si>
  <si>
    <t xml:space="preserve">DV-79</t>
  </si>
  <si>
    <t xml:space="preserve">Create Your Own DVD's</t>
  </si>
  <si>
    <t xml:space="preserve">Underhill, B</t>
  </si>
  <si>
    <t xml:space="preserve">DV-80</t>
  </si>
  <si>
    <t xml:space="preserve">Adobe Premiere Pro  CS3 Bible  (DVD Inc.)</t>
  </si>
  <si>
    <t xml:space="preserve">PREMIERE PRO CS3</t>
  </si>
  <si>
    <t xml:space="preserve">Droblas, A &amp; Greenberg, S</t>
  </si>
  <si>
    <t xml:space="preserve">DV-81</t>
  </si>
  <si>
    <t xml:space="preserve">Adobe Premiere Pro  CS4 Classroom In A Book  (DVD Inc.)</t>
  </si>
  <si>
    <t xml:space="preserve">PREMIERE PRO CS4</t>
  </si>
  <si>
    <t xml:space="preserve">DV-82</t>
  </si>
  <si>
    <t xml:space="preserve">Adobe Encore DVD - Classroom In A Book</t>
  </si>
  <si>
    <t xml:space="preserve">ENCORE DVD</t>
  </si>
  <si>
    <t xml:space="preserve">DV-83</t>
  </si>
  <si>
    <t xml:space="preserve">Digital Audio Technology</t>
  </si>
  <si>
    <t xml:space="preserve">Digital Audio</t>
  </si>
  <si>
    <t xml:space="preserve">Maes, J &amp; Vercammen, M</t>
  </si>
  <si>
    <t xml:space="preserve">DV-85</t>
  </si>
  <si>
    <t xml:space="preserve">Digital Video in easy steps</t>
  </si>
  <si>
    <t xml:space="preserve">MULTIMEDIA</t>
  </si>
  <si>
    <t xml:space="preserve">Vandome, N.</t>
  </si>
  <si>
    <t xml:space="preserve">DV-86</t>
  </si>
  <si>
    <t xml:space="preserve">Adobe Creative Suite 4 Master Collection: 2 DVDs</t>
  </si>
  <si>
    <t xml:space="preserve">DV-89</t>
  </si>
  <si>
    <t xml:space="preserve">The Definitive Guide to Davinci Resolve 15</t>
  </si>
  <si>
    <t xml:space="preserve">Davinci Resolve</t>
  </si>
  <si>
    <t xml:space="preserve">Saccone, P &amp; Scoppettuolo, D</t>
  </si>
  <si>
    <t xml:space="preserve">Blackmagic Design</t>
  </si>
  <si>
    <t xml:space="preserve">ED-04</t>
  </si>
  <si>
    <t xml:space="preserve">Mind Hacks</t>
  </si>
  <si>
    <t xml:space="preserve">Educational</t>
  </si>
  <si>
    <t xml:space="preserve">Stafford, T &amp; Webb, M</t>
  </si>
  <si>
    <t xml:space="preserve">ED-05</t>
  </si>
  <si>
    <t xml:space="preserve">Microsoft Exchange 2003  Deployment &amp; Migration</t>
  </si>
  <si>
    <t xml:space="preserve">EXCHANGE 2003</t>
  </si>
  <si>
    <t xml:space="preserve">McCorry, K</t>
  </si>
  <si>
    <t xml:space="preserve">Elsevier Press</t>
  </si>
  <si>
    <t xml:space="preserve">FIM-03</t>
  </si>
  <si>
    <t xml:space="preserve">MYOB Software for Dummies</t>
  </si>
  <si>
    <t xml:space="preserve">Financial Management.</t>
  </si>
  <si>
    <t xml:space="preserve">Curtis, V</t>
  </si>
  <si>
    <t xml:space="preserve">FIM-04</t>
  </si>
  <si>
    <t xml:space="preserve">FIQ-19</t>
  </si>
  <si>
    <t xml:space="preserve">Quicken Speed Series</t>
  </si>
  <si>
    <t xml:space="preserve">QUICKEN</t>
  </si>
  <si>
    <t xml:space="preserve">Deanna Ross</t>
  </si>
  <si>
    <t xml:space="preserve">FIQ-21</t>
  </si>
  <si>
    <t xml:space="preserve">Quicken Version 7 for Windows</t>
  </si>
  <si>
    <t xml:space="preserve">QUICKEN 7</t>
  </si>
  <si>
    <t xml:space="preserve">Intuit</t>
  </si>
  <si>
    <t xml:space="preserve">FIQ-22</t>
  </si>
  <si>
    <t xml:space="preserve">QuickBooks &amp; QuickBooks Pro Version 7.  User Guide</t>
  </si>
  <si>
    <t xml:space="preserve">QUICKBOOKS PRO 7</t>
  </si>
  <si>
    <t xml:space="preserve">FIQ-23</t>
  </si>
  <si>
    <t xml:space="preserve">QuickBooks for Dummies, Australian Edition</t>
  </si>
  <si>
    <t xml:space="preserve">QUICKBOOKS</t>
  </si>
  <si>
    <t xml:space="preserve">Colbran, V &amp; Blake, S</t>
  </si>
  <si>
    <t xml:space="preserve">FIQ-25</t>
  </si>
  <si>
    <t xml:space="preserve">QuickBooks For Dummies,  8 Books in 1 </t>
  </si>
  <si>
    <t xml:space="preserve">Nelson, S L</t>
  </si>
  <si>
    <t xml:space="preserve">FIQ-26</t>
  </si>
  <si>
    <t xml:space="preserve">QuickBooks &amp; QuickBooks Pro User Guide  Ver 7</t>
  </si>
  <si>
    <t xml:space="preserve">QUICKBOOKS 7</t>
  </si>
  <si>
    <t xml:space="preserve">Reckon Ltd</t>
  </si>
  <si>
    <t xml:space="preserve">FIQ-27</t>
  </si>
  <si>
    <t xml:space="preserve">QuickBooks QB</t>
  </si>
  <si>
    <t xml:space="preserve">QUICKBOOKS QB</t>
  </si>
  <si>
    <t xml:space="preserve">FIQ-28</t>
  </si>
  <si>
    <t xml:space="preserve">QuickBooks 2017 for Dummies</t>
  </si>
  <si>
    <t xml:space="preserve">Nelson, S. L.</t>
  </si>
  <si>
    <t xml:space="preserve">GA-06</t>
  </si>
  <si>
    <t xml:space="preserve">Dvorak's Guide to PC Games (F.Disk Missing)</t>
  </si>
  <si>
    <t xml:space="preserve">Games</t>
  </si>
  <si>
    <t xml:space="preserve">Dvorak</t>
  </si>
  <si>
    <t xml:space="preserve">Sams</t>
  </si>
  <si>
    <t xml:space="preserve">GA-08</t>
  </si>
  <si>
    <t xml:space="preserve">Extreme Mindstorms, An Advanced guide to LEGO Mindstorms</t>
  </si>
  <si>
    <t xml:space="preserve">LEGO</t>
  </si>
  <si>
    <t xml:space="preserve">Baum, Gasperi, Hempel, &amp; Villa</t>
  </si>
  <si>
    <t xml:space="preserve">Apress</t>
  </si>
  <si>
    <t xml:space="preserve">GA-09</t>
  </si>
  <si>
    <t xml:space="preserve">Designing 3D Games that sell. (CD Inc.)</t>
  </si>
  <si>
    <t xml:space="preserve">Ahearn, L</t>
  </si>
  <si>
    <t xml:space="preserve">Charles River media</t>
  </si>
  <si>
    <t xml:space="preserve">GA-14</t>
  </si>
  <si>
    <t xml:space="preserve">LEGO Mindstorms for Dummies  (CD Inc.)</t>
  </si>
  <si>
    <t xml:space="preserve">Meadhra, M &amp; Stouffer, P J</t>
  </si>
  <si>
    <t xml:space="preserve">GA-16</t>
  </si>
  <si>
    <t xml:space="preserve">Ultimate Game Design</t>
  </si>
  <si>
    <t xml:space="preserve">Meigs, T</t>
  </si>
  <si>
    <t xml:space="preserve">GA-17</t>
  </si>
  <si>
    <t xml:space="preserve">The Rise of Computer Game Culture</t>
  </si>
  <si>
    <t xml:space="preserve">King, B &amp; Borland, J</t>
  </si>
  <si>
    <t xml:space="preserve">GA-18</t>
  </si>
  <si>
    <t xml:space="preserve">Essential Mathematics for Games &amp; Interactive App's (CD Inc.)</t>
  </si>
  <si>
    <t xml:space="preserve">Van Verth, J M &amp;  Bisshop, L M</t>
  </si>
  <si>
    <t xml:space="preserve">GA-19</t>
  </si>
  <si>
    <t xml:space="preserve">Director MX 2004 Games (CD Inc.)</t>
  </si>
  <si>
    <t xml:space="preserve">DIRECTOR MX</t>
  </si>
  <si>
    <t xml:space="preserve">Lever, N</t>
  </si>
  <si>
    <t xml:space="preserve">GA-20</t>
  </si>
  <si>
    <t xml:space="preserve">Game Development Essentials: Game Story &amp; Character Development</t>
  </si>
  <si>
    <t xml:space="preserve">Krawczyk, M. &amp; Novak, J.</t>
  </si>
  <si>
    <t xml:space="preserve">Thomson Delmar Learning</t>
  </si>
  <si>
    <t xml:space="preserve">GA-21</t>
  </si>
  <si>
    <t xml:space="preserve">Better Game Characters by Design</t>
  </si>
  <si>
    <t xml:space="preserve">Isbister, K.</t>
  </si>
  <si>
    <t xml:space="preserve">Elsevier Morgan Kaufmann</t>
  </si>
  <si>
    <t xml:space="preserve">GE-01</t>
  </si>
  <si>
    <t xml:space="preserve">Family Tree Maker v10</t>
  </si>
  <si>
    <t xml:space="preserve">FAMILY TREE MAKER !)</t>
  </si>
  <si>
    <t xml:space="preserve">Genealogy</t>
  </si>
  <si>
    <t xml:space="preserve">McClure, R R </t>
  </si>
  <si>
    <t xml:space="preserve">Premier Press</t>
  </si>
  <si>
    <t xml:space="preserve">GE-03</t>
  </si>
  <si>
    <t xml:space="preserve">Genealogy On Line</t>
  </si>
  <si>
    <t xml:space="preserve">Crowe, E P</t>
  </si>
  <si>
    <t xml:space="preserve">GR-14</t>
  </si>
  <si>
    <t xml:space="preserve">Open GL Programming Guide</t>
  </si>
  <si>
    <t xml:space="preserve">Graphics</t>
  </si>
  <si>
    <t xml:space="preserve">Addison, Wesley,Longman</t>
  </si>
  <si>
    <t xml:space="preserve">***</t>
  </si>
  <si>
    <t xml:space="preserve">GR-16</t>
  </si>
  <si>
    <t xml:space="preserve">Font Secrets &amp; Solutions</t>
  </si>
  <si>
    <t xml:space="preserve">FONTS</t>
  </si>
  <si>
    <t xml:space="preserve">Jones, G E </t>
  </si>
  <si>
    <t xml:space="preserve">GR-17</t>
  </si>
  <si>
    <t xml:space="preserve">COOL 3D Production Studio User Guide</t>
  </si>
  <si>
    <t xml:space="preserve">Ulead COOL 3D</t>
  </si>
  <si>
    <t xml:space="preserve">GRAHICS</t>
  </si>
  <si>
    <t xml:space="preserve">Ulead Systems</t>
  </si>
  <si>
    <t xml:space="preserve">GR-18</t>
  </si>
  <si>
    <t xml:space="preserve">Microsoft Visio 2016 Step by Step</t>
  </si>
  <si>
    <t xml:space="preserve">VISIO</t>
  </si>
  <si>
    <t xml:space="preserve">Helmers, S. A.</t>
  </si>
  <si>
    <t xml:space="preserve">GRC-01</t>
  </si>
  <si>
    <t xml:space="preserve">Corel Draw 9 for Dummies</t>
  </si>
  <si>
    <t xml:space="preserve">COREL DRAW 9</t>
  </si>
  <si>
    <t xml:space="preserve">Deke McClelland</t>
  </si>
  <si>
    <t xml:space="preserve">GRC-07</t>
  </si>
  <si>
    <t xml:space="preserve">Corel Draw 7 for win95/NT</t>
  </si>
  <si>
    <t xml:space="preserve">COREL DRAW 7</t>
  </si>
  <si>
    <t xml:space="preserve">Davis, P</t>
  </si>
  <si>
    <t xml:space="preserve">GRC-08</t>
  </si>
  <si>
    <t xml:space="preserve">Corel Draw 7 Secrets</t>
  </si>
  <si>
    <t xml:space="preserve">Harrel, W &amp; Steward, W</t>
  </si>
  <si>
    <t xml:space="preserve">GRC-09</t>
  </si>
  <si>
    <t xml:space="preserve">Corel Draw 7 Bible (CD Included)</t>
  </si>
  <si>
    <t xml:space="preserve">Miller, D</t>
  </si>
  <si>
    <t xml:space="preserve">GRC-10</t>
  </si>
  <si>
    <t xml:space="preserve">Corel Draw 10  User Manual</t>
  </si>
  <si>
    <t xml:space="preserve">COREL DRAW 10</t>
  </si>
  <si>
    <t xml:space="preserve">Corel Corp.</t>
  </si>
  <si>
    <t xml:space="preserve">GRC-11</t>
  </si>
  <si>
    <t xml:space="preserve">Corel Photo-Paint 10  User Manual</t>
  </si>
  <si>
    <t xml:space="preserve">GRC-12</t>
  </si>
  <si>
    <t xml:space="preserve">Corel R.A.V.E. User Manual</t>
  </si>
  <si>
    <t xml:space="preserve">GRC-13</t>
  </si>
  <si>
    <t xml:space="preserve">Corel Draw 7  Fonts &amp; Clip Art</t>
  </si>
  <si>
    <t xml:space="preserve">COREL 7</t>
  </si>
  <si>
    <t xml:space="preserve">GRO-01</t>
  </si>
  <si>
    <t xml:space="preserve">Enhanced Photoshop 4</t>
  </si>
  <si>
    <t xml:space="preserve">PHOTOSHOP 4</t>
  </si>
  <si>
    <t xml:space="preserve">Xenakis, D &amp; London, S</t>
  </si>
  <si>
    <t xml:space="preserve">Ventana</t>
  </si>
  <si>
    <t xml:space="preserve">GRO-02</t>
  </si>
  <si>
    <t xml:space="preserve">Photoshop Elements</t>
  </si>
  <si>
    <t xml:space="preserve">Oliver, M &amp; Beckley, A</t>
  </si>
  <si>
    <t xml:space="preserve">Friend of ED</t>
  </si>
  <si>
    <t xml:space="preserve">GRO-04</t>
  </si>
  <si>
    <t xml:space="preserve">Mastering Photoshop 6.0</t>
  </si>
  <si>
    <t xml:space="preserve">PHOTOSHOP 6</t>
  </si>
  <si>
    <t xml:space="preserve">Romaniello, S</t>
  </si>
  <si>
    <t xml:space="preserve">GRO-05</t>
  </si>
  <si>
    <t xml:space="preserve">Photoshop Restoration and Retouching</t>
  </si>
  <si>
    <t xml:space="preserve">Eismann, K</t>
  </si>
  <si>
    <t xml:space="preserve">GRO-06</t>
  </si>
  <si>
    <t xml:space="preserve">Photoshop 6 &amp; ImageReady 3 Hands on Training</t>
  </si>
  <si>
    <t xml:space="preserve">Weinman, L &amp; Kabili, J</t>
  </si>
  <si>
    <t xml:space="preserve">GRO-10</t>
  </si>
  <si>
    <t xml:space="preserve">Adobe Photoshop 5.0  Studio Techniques</t>
  </si>
  <si>
    <t xml:space="preserve">PHOTOSHOP 5</t>
  </si>
  <si>
    <t xml:space="preserve">Willmore, B</t>
  </si>
  <si>
    <t xml:space="preserve">GRO-13</t>
  </si>
  <si>
    <t xml:space="preserve">Photoshop 7 Complete Course ( 2-CD's Inc.)</t>
  </si>
  <si>
    <t xml:space="preserve">PHOTOSHOP 7</t>
  </si>
  <si>
    <t xml:space="preserve">Kabili, J</t>
  </si>
  <si>
    <t xml:space="preserve">GRO-14</t>
  </si>
  <si>
    <t xml:space="preserve">Professional Photoshop</t>
  </si>
  <si>
    <t xml:space="preserve">PHOTOSHOP </t>
  </si>
  <si>
    <t xml:space="preserve">Margulis, D</t>
  </si>
  <si>
    <t xml:space="preserve">GRO-16</t>
  </si>
  <si>
    <t xml:space="preserve">Adobe Photoshop 3.0 Elements</t>
  </si>
  <si>
    <t xml:space="preserve">PHOTOSHOP 3.0</t>
  </si>
  <si>
    <t xml:space="preserve">Andrews, P</t>
  </si>
  <si>
    <t xml:space="preserve">GRO-18</t>
  </si>
  <si>
    <t xml:space="preserve">Teach Yourself Adobe Photoshop 7 in 24 Hours</t>
  </si>
  <si>
    <t xml:space="preserve">Rose, C</t>
  </si>
  <si>
    <t xml:space="preserve">GRO-19</t>
  </si>
  <si>
    <t xml:space="preserve">Photoshop Elements 3 for Windows &amp; Mac</t>
  </si>
  <si>
    <t xml:space="preserve">ELEMENTS 3</t>
  </si>
  <si>
    <t xml:space="preserve">Hoeschen, C</t>
  </si>
  <si>
    <t xml:space="preserve">GRO-21</t>
  </si>
  <si>
    <t xml:space="preserve">Photoshop Elements Express</t>
  </si>
  <si>
    <t xml:space="preserve">ELEMENTS</t>
  </si>
  <si>
    <t xml:space="preserve">Friends of ED</t>
  </si>
  <si>
    <t xml:space="preserve">GRO-22</t>
  </si>
  <si>
    <t xml:space="preserve">How to do everything with Photoshop Elements 2</t>
  </si>
  <si>
    <t xml:space="preserve">ELEMENTS 2</t>
  </si>
  <si>
    <t xml:space="preserve">Plotkin, D</t>
  </si>
  <si>
    <t xml:space="preserve">GRO-23</t>
  </si>
  <si>
    <t xml:space="preserve">Photoshop 4 Studio Skills (CD Included)</t>
  </si>
  <si>
    <t xml:space="preserve">PHOTOSHOP4</t>
  </si>
  <si>
    <t xml:space="preserve">Moniz, S</t>
  </si>
  <si>
    <t xml:space="preserve">Hayden Books</t>
  </si>
  <si>
    <t xml:space="preserve">GRO-24</t>
  </si>
  <si>
    <t xml:space="preserve">Photoshop CS2 for Dummies, All-in-one Reference</t>
  </si>
  <si>
    <t xml:space="preserve">PHOTOSHOP CS 2</t>
  </si>
  <si>
    <t xml:space="preserve">Obermeier, B</t>
  </si>
  <si>
    <t xml:space="preserve">GRO-25</t>
  </si>
  <si>
    <t xml:space="preserve">Photoshop Elements 4, Top 100 Simplified Tip &amp; Tricks </t>
  </si>
  <si>
    <t xml:space="preserve">ELEMENTS 4</t>
  </si>
  <si>
    <t xml:space="preserve">Wooldridge, M &amp; l</t>
  </si>
  <si>
    <t xml:space="preserve">GRO-27</t>
  </si>
  <si>
    <t xml:space="preserve">Photoshop Elements 3, The Missing Manual</t>
  </si>
  <si>
    <t xml:space="preserve">Brundage, B</t>
  </si>
  <si>
    <t xml:space="preserve">GRO-29</t>
  </si>
  <si>
    <t xml:space="preserve">GRO-31</t>
  </si>
  <si>
    <t xml:space="preserve">Photoshop Elements 2  - How to use……</t>
  </si>
  <si>
    <t xml:space="preserve">Lee, L</t>
  </si>
  <si>
    <t xml:space="preserve">GRO-33</t>
  </si>
  <si>
    <t xml:space="preserve">Photoshop Elements 3, Top 100 Simplified Tips &amp; tricks</t>
  </si>
  <si>
    <t xml:space="preserve">Graham, D</t>
  </si>
  <si>
    <t xml:space="preserve">GRO-36</t>
  </si>
  <si>
    <t xml:space="preserve">Photoshop Elements 5 Visual Quick Start</t>
  </si>
  <si>
    <t xml:space="preserve">ELEMENTS 5</t>
  </si>
  <si>
    <t xml:space="preserve">Carlson, J &amp; Hoeschen, C</t>
  </si>
  <si>
    <t xml:space="preserve">GRO-38</t>
  </si>
  <si>
    <t xml:space="preserve">The Photoshop Elements 4 Book,  </t>
  </si>
  <si>
    <t xml:space="preserve">Kelby, S</t>
  </si>
  <si>
    <t xml:space="preserve">GRO-39</t>
  </si>
  <si>
    <t xml:space="preserve">The Complete Idiot's Guide to Photoshop 5</t>
  </si>
  <si>
    <t xml:space="preserve">Stanley, R</t>
  </si>
  <si>
    <t xml:space="preserve">GRO-40</t>
  </si>
  <si>
    <t xml:space="preserve">Photoshop CS3 - Visual Quickpro Guide</t>
  </si>
  <si>
    <t xml:space="preserve">PHOTOSHOP CS3</t>
  </si>
  <si>
    <t xml:space="preserve">Weinmann, E &amp; Lourkas, P</t>
  </si>
  <si>
    <t xml:space="preserve">GRO-41</t>
  </si>
  <si>
    <t xml:space="preserve">Teach Yourself Visually Photoshop Elements 6</t>
  </si>
  <si>
    <t xml:space="preserve">ELEMENTS 6</t>
  </si>
  <si>
    <t xml:space="preserve">Wooldridge, M &amp; L</t>
  </si>
  <si>
    <t xml:space="preserve">GRO-42</t>
  </si>
  <si>
    <t xml:space="preserve">Photoshop 7 WoW Book</t>
  </si>
  <si>
    <t xml:space="preserve">Jack Davis</t>
  </si>
  <si>
    <t xml:space="preserve">GRO-43</t>
  </si>
  <si>
    <t xml:space="preserve">Adobe Photoshop Elements 5.0</t>
  </si>
  <si>
    <t xml:space="preserve">Photoshop</t>
  </si>
  <si>
    <t xml:space="preserve">Adobe Systems</t>
  </si>
  <si>
    <t xml:space="preserve">Adobe</t>
  </si>
  <si>
    <t xml:space="preserve">GRO-44</t>
  </si>
  <si>
    <t xml:space="preserve">Easy Adobe Photoshop Elements 4</t>
  </si>
  <si>
    <t xml:space="preserve">Binder, K.</t>
  </si>
  <si>
    <t xml:space="preserve">GRO-45</t>
  </si>
  <si>
    <t xml:space="preserve">Adobe Photoshop Elements 2.0 User Guide</t>
  </si>
  <si>
    <t xml:space="preserve">GRO-46</t>
  </si>
  <si>
    <t xml:space="preserve">Teach Yourself Visually Adobe Photoshop CS3</t>
  </si>
  <si>
    <t xml:space="preserve">Wooldridge, M &amp; Wooldridge L</t>
  </si>
  <si>
    <t xml:space="preserve">GRP-01</t>
  </si>
  <si>
    <t xml:space="preserve">Guide to PowerPoint 2002</t>
  </si>
  <si>
    <t xml:space="preserve">POWERPOINT 2002</t>
  </si>
  <si>
    <t xml:space="preserve">Nelson, S L &amp; Buschmohle, M</t>
  </si>
  <si>
    <t xml:space="preserve">Redmond Tech. Press</t>
  </si>
  <si>
    <t xml:space="preserve">GRP-02</t>
  </si>
  <si>
    <t xml:space="preserve">Teach Yourself PowerPoint in 24 Hours.</t>
  </si>
  <si>
    <t xml:space="preserve">POWERPOINT </t>
  </si>
  <si>
    <t xml:space="preserve">Haddad, A &amp; C</t>
  </si>
  <si>
    <t xml:space="preserve">GRP-03</t>
  </si>
  <si>
    <t xml:space="preserve">PowerPoint 2003 Personal Trainer (Cod Inc&gt;0</t>
  </si>
  <si>
    <t xml:space="preserve">POWERPOINT  2003</t>
  </si>
  <si>
    <t xml:space="preserve">Custom Guide</t>
  </si>
  <si>
    <t xml:space="preserve">GRP-04</t>
  </si>
  <si>
    <t xml:space="preserve">PowerPoint 2000 for Dummies</t>
  </si>
  <si>
    <t xml:space="preserve">POWERPOINT 2000</t>
  </si>
  <si>
    <t xml:space="preserve">Lowe, D</t>
  </si>
  <si>
    <t xml:space="preserve">GRP-05</t>
  </si>
  <si>
    <t xml:space="preserve">Top 100 Tips &amp; Tricks, Simplified, PowerPoint 2003 Edition</t>
  </si>
  <si>
    <t xml:space="preserve">Buchanan, N</t>
  </si>
  <si>
    <t xml:space="preserve">GRP-06</t>
  </si>
  <si>
    <t xml:space="preserve">PowerPoint 2003 Personal Trainer (Cod Inc.)</t>
  </si>
  <si>
    <t xml:space="preserve">GRP-07</t>
  </si>
  <si>
    <t xml:space="preserve">PowerPoint 2003 Visual Quick Tips</t>
  </si>
  <si>
    <t xml:space="preserve">GRP-08</t>
  </si>
  <si>
    <t xml:space="preserve">PowerPoint 2003 for Dummies - Just the Steps</t>
  </si>
  <si>
    <t xml:space="preserve">Obermeiser, B &amp; Padova, T</t>
  </si>
  <si>
    <t xml:space="preserve">GRP-09</t>
  </si>
  <si>
    <t xml:space="preserve">Teach Yourself Visually PowerPoint 2016</t>
  </si>
  <si>
    <t xml:space="preserve">POWERPOINT  2016</t>
  </si>
  <si>
    <t xml:space="preserve">Boyd, B. &amp; Anthony, R.</t>
  </si>
  <si>
    <t xml:space="preserve">Visual</t>
  </si>
  <si>
    <t xml:space="preserve">GRP-10</t>
  </si>
  <si>
    <t xml:space="preserve">Microsoft PowerPoint 2010 for Dummies</t>
  </si>
  <si>
    <t xml:space="preserve">Lowe, D.</t>
  </si>
  <si>
    <t xml:space="preserve">GRS-01</t>
  </si>
  <si>
    <t xml:space="preserve">The Complete Idiots Guide to Paint Shop Pro 7</t>
  </si>
  <si>
    <t xml:space="preserve">PAINT SHOP PRO 7</t>
  </si>
  <si>
    <t xml:space="preserve">Gertler, N</t>
  </si>
  <si>
    <t xml:space="preserve">GRS-02</t>
  </si>
  <si>
    <t xml:space="preserve">Paint Shop Pro 7 Solutions</t>
  </si>
  <si>
    <t xml:space="preserve">Davis, L J</t>
  </si>
  <si>
    <t xml:space="preserve">Muska &amp; Lipman</t>
  </si>
  <si>
    <t xml:space="preserve">GRS-03</t>
  </si>
  <si>
    <t xml:space="preserve">Paint Shop 7 Fast &amp; easy</t>
  </si>
  <si>
    <t xml:space="preserve">Koers, D</t>
  </si>
  <si>
    <t xml:space="preserve">Prima Publishing</t>
  </si>
  <si>
    <t xml:space="preserve">GRS-04</t>
  </si>
  <si>
    <t xml:space="preserve">Paint Shop Pro 8 for Dummies</t>
  </si>
  <si>
    <t xml:space="preserve">PAINT SHOP PRO 8</t>
  </si>
  <si>
    <t xml:space="preserve">Kay, D &amp; Steinmetz, W</t>
  </si>
  <si>
    <t xml:space="preserve">GRS-05</t>
  </si>
  <si>
    <t xml:space="preserve">Teach Yourself Paint Shop Pro 8</t>
  </si>
  <si>
    <t xml:space="preserve">Fulton, J</t>
  </si>
  <si>
    <t xml:space="preserve">GRS-06</t>
  </si>
  <si>
    <t xml:space="preserve">Paint Shop Pro 9 and Studio, in Easy Steps</t>
  </si>
  <si>
    <t xml:space="preserve">PAINT SHOP PRO 9</t>
  </si>
  <si>
    <t xml:space="preserve">Copestake, S</t>
  </si>
  <si>
    <t xml:space="preserve">ComputerStep</t>
  </si>
  <si>
    <t xml:space="preserve">GRS-07</t>
  </si>
  <si>
    <t xml:space="preserve">Paint Shop Pro 7 for Dummies</t>
  </si>
  <si>
    <t xml:space="preserve">Paint Shop Pro 7</t>
  </si>
  <si>
    <t xml:space="preserve">Kay, D.</t>
  </si>
  <si>
    <t xml:space="preserve">GRS-08</t>
  </si>
  <si>
    <t xml:space="preserve">Corel Paint Shop Pro PHOTO X2 User Guide</t>
  </si>
  <si>
    <t xml:space="preserve">Paint Shop Pro</t>
  </si>
  <si>
    <t xml:space="preserve">Corel Corporation</t>
  </si>
  <si>
    <t xml:space="preserve">Corel</t>
  </si>
  <si>
    <t xml:space="preserve">HA-11</t>
  </si>
  <si>
    <t xml:space="preserve">PC Hardware in a Nutshell</t>
  </si>
  <si>
    <t xml:space="preserve">Hardware</t>
  </si>
  <si>
    <t xml:space="preserve">Thompson, R B  &amp; B F</t>
  </si>
  <si>
    <t xml:space="preserve">HA-14</t>
  </si>
  <si>
    <t xml:space="preserve">Tom's Hardware Guide</t>
  </si>
  <si>
    <t xml:space="preserve">Pabst, Dr. T</t>
  </si>
  <si>
    <t xml:space="preserve">HA-16</t>
  </si>
  <si>
    <t xml:space="preserve">Scott Mueller's Upgrading &amp; Repairing PCs (CD Inc.)</t>
  </si>
  <si>
    <t xml:space="preserve">Mueller, Scott</t>
  </si>
  <si>
    <t xml:space="preserve">HA-17</t>
  </si>
  <si>
    <t xml:space="preserve">PC97 Hardware Design Guide</t>
  </si>
  <si>
    <t xml:space="preserve">HA-23</t>
  </si>
  <si>
    <t xml:space="preserve">Thompson, R B &amp; B F</t>
  </si>
  <si>
    <t xml:space="preserve">HA-25</t>
  </si>
  <si>
    <t xml:space="preserve">Build Your Own Pentium 3 PC</t>
  </si>
  <si>
    <t xml:space="preserve">Pilgrim, A</t>
  </si>
  <si>
    <t xml:space="preserve">HA-26</t>
  </si>
  <si>
    <t xml:space="preserve">Upgrading &amp; Repairing  P C’s  6th Edition        </t>
  </si>
  <si>
    <t xml:space="preserve">HA-28</t>
  </si>
  <si>
    <t xml:space="preserve">PC Hardware in a Nutshell  -  2nd Edition</t>
  </si>
  <si>
    <t xml:space="preserve">HA-29</t>
  </si>
  <si>
    <t xml:space="preserve">PC Hardware Library - 3 Volume Set  (CD Inc.)</t>
  </si>
  <si>
    <t xml:space="preserve">HA-30</t>
  </si>
  <si>
    <t xml:space="preserve">Build your own PC</t>
  </si>
  <si>
    <t xml:space="preserve">Rosenthal, M</t>
  </si>
  <si>
    <t xml:space="preserve">HA-31</t>
  </si>
  <si>
    <t xml:space="preserve">Bigelow's Build Your Own PC , Pocket reference</t>
  </si>
  <si>
    <t xml:space="preserve">Bigelow, S J</t>
  </si>
  <si>
    <t xml:space="preserve">HA-33</t>
  </si>
  <si>
    <t xml:space="preserve">The Healthy PC.</t>
  </si>
  <si>
    <t xml:space="preserve">Holzman, C</t>
  </si>
  <si>
    <t xml:space="preserve">HA-34</t>
  </si>
  <si>
    <t xml:space="preserve">Hardware Hacking</t>
  </si>
  <si>
    <t xml:space="preserve">Grand, J  Et al</t>
  </si>
  <si>
    <t xml:space="preserve">HA-35</t>
  </si>
  <si>
    <t xml:space="preserve">Hardware Hacking Projects for Geeks</t>
  </si>
  <si>
    <t xml:space="preserve">Fullam, S</t>
  </si>
  <si>
    <t xml:space="preserve">HA-39</t>
  </si>
  <si>
    <t xml:space="preserve">Building the Perfect PC</t>
  </si>
  <si>
    <t xml:space="preserve">HA-40</t>
  </si>
  <si>
    <t xml:space="preserve">The Computer Choice Computer Troubleshooter</t>
  </si>
  <si>
    <t xml:space="preserve">Baxter, Z</t>
  </si>
  <si>
    <t xml:space="preserve">Computer Choice</t>
  </si>
  <si>
    <t xml:space="preserve">HA-41</t>
  </si>
  <si>
    <t xml:space="preserve">Building a PC in Easy Steps</t>
  </si>
  <si>
    <t xml:space="preserve">Yarnold, S</t>
  </si>
  <si>
    <t xml:space="preserve">HA-42</t>
  </si>
  <si>
    <t xml:space="preserve">Linux Hardware Handbook</t>
  </si>
  <si>
    <t xml:space="preserve">LINUX</t>
  </si>
  <si>
    <t xml:space="preserve">Smith, R W</t>
  </si>
  <si>
    <t xml:space="preserve">HA-43</t>
  </si>
  <si>
    <t xml:space="preserve">How to Build a Street PC. (Dude, you can do it)</t>
  </si>
  <si>
    <t xml:space="preserve">Creacy, D &amp; Vicencio, C</t>
  </si>
  <si>
    <t xml:space="preserve">HA-44</t>
  </si>
  <si>
    <t xml:space="preserve">PC Hardware Buyer's Guide</t>
  </si>
  <si>
    <t xml:space="preserve">HA-45</t>
  </si>
  <si>
    <t xml:space="preserve">HA-46</t>
  </si>
  <si>
    <t xml:space="preserve">PC Annoyances - 2nd Edition</t>
  </si>
  <si>
    <t xml:space="preserve">Bass, S</t>
  </si>
  <si>
    <t xml:space="preserve">HA-47</t>
  </si>
  <si>
    <t xml:space="preserve">HA-48</t>
  </si>
  <si>
    <t xml:space="preserve">PCs for Dummies - Just the Steps</t>
  </si>
  <si>
    <t xml:space="preserve">Muir, N</t>
  </si>
  <si>
    <t xml:space="preserve">HA-49</t>
  </si>
  <si>
    <t xml:space="preserve">HA-50</t>
  </si>
  <si>
    <t xml:space="preserve">Troubleshooting Your PC Bible</t>
  </si>
  <si>
    <t xml:space="preserve">Aspinall, J &amp; Todd, T</t>
  </si>
  <si>
    <t xml:space="preserve">HA-51</t>
  </si>
  <si>
    <t xml:space="preserve">Project Arcade</t>
  </si>
  <si>
    <t xml:space="preserve">St.Clair, J</t>
  </si>
  <si>
    <t xml:space="preserve">HA-52</t>
  </si>
  <si>
    <t xml:space="preserve">Upgrading &amp; Repairing  P C’s  10th Edition        </t>
  </si>
  <si>
    <t xml:space="preserve">HA-53</t>
  </si>
  <si>
    <t xml:space="preserve">Build &amp; Upgrade Your Own PC</t>
  </si>
  <si>
    <t xml:space="preserve">Sinclair, I</t>
  </si>
  <si>
    <t xml:space="preserve">Newnes</t>
  </si>
  <si>
    <t xml:space="preserve">HA-54</t>
  </si>
  <si>
    <t xml:space="preserve">Pc Hardware annoyances</t>
  </si>
  <si>
    <t xml:space="preserve">HA-55</t>
  </si>
  <si>
    <t xml:space="preserve">How to Expand &amp; Upgrade PCs</t>
  </si>
  <si>
    <t xml:space="preserve">Gralla, P.</t>
  </si>
  <si>
    <t xml:space="preserve">HA-56</t>
  </si>
  <si>
    <t xml:space="preserve">Thompson, R. B. &amp; Thompson, F. T.</t>
  </si>
  <si>
    <t xml:space="preserve">HA-57</t>
  </si>
  <si>
    <t xml:space="preserve">Raspberry Pi User Guide, Third Edition</t>
  </si>
  <si>
    <t xml:space="preserve">No author identified</t>
  </si>
  <si>
    <t xml:space="preserve">Imagine Publishing</t>
  </si>
  <si>
    <t xml:space="preserve">HA-58</t>
  </si>
  <si>
    <t xml:space="preserve">Raspberry Pi The Complete Manual</t>
  </si>
  <si>
    <t xml:space="preserve">Upton, E. &amp; Halfacreek, G</t>
  </si>
  <si>
    <t xml:space="preserve">HA-60</t>
  </si>
  <si>
    <t xml:space="preserve">Apple Watch Guide</t>
  </si>
  <si>
    <t xml:space="preserve">Colvin, H.</t>
  </si>
  <si>
    <t xml:space="preserve">Harry Colvin</t>
  </si>
  <si>
    <t xml:space="preserve">HA-61</t>
  </si>
  <si>
    <t xml:space="preserve">iPhone for Seniors</t>
  </si>
  <si>
    <t xml:space="preserve">HA-62</t>
  </si>
  <si>
    <t xml:space="preserve">PCs for Dummies, 13th Edition</t>
  </si>
  <si>
    <t xml:space="preserve">HA-63</t>
  </si>
  <si>
    <t xml:space="preserve">Raspberry Pi for Dummies 2nd Edition</t>
  </si>
  <si>
    <t xml:space="preserve">McManus, S. &amp; Cook, M.</t>
  </si>
  <si>
    <t xml:space="preserve">HAD-04</t>
  </si>
  <si>
    <t xml:space="preserve">D V D Demystified (With D V D Disk)</t>
  </si>
  <si>
    <t xml:space="preserve">Hardware Disks</t>
  </si>
  <si>
    <t xml:space="preserve">Taylor, J</t>
  </si>
  <si>
    <t xml:space="preserve">HAL-02</t>
  </si>
  <si>
    <t xml:space="preserve">Laptops for Dummies</t>
  </si>
  <si>
    <t xml:space="preserve">Hardware Laptops</t>
  </si>
  <si>
    <t xml:space="preserve">Gookin, D &amp; Wallbank, P</t>
  </si>
  <si>
    <t xml:space="preserve">HAL-03</t>
  </si>
  <si>
    <t xml:space="preserve">HAL-04</t>
  </si>
  <si>
    <t xml:space="preserve">Upgrading &amp; Fixing Laptops for Dummies</t>
  </si>
  <si>
    <t xml:space="preserve">Sandler, C</t>
  </si>
  <si>
    <t xml:space="preserve">HAL-05</t>
  </si>
  <si>
    <t xml:space="preserve">Your First Notebook PC</t>
  </si>
  <si>
    <t xml:space="preserve">Miller, M</t>
  </si>
  <si>
    <t xml:space="preserve">HAL-06</t>
  </si>
  <si>
    <t xml:space="preserve">Samsung Galaxy Tab S for Dummies</t>
  </si>
  <si>
    <t xml:space="preserve">Android</t>
  </si>
  <si>
    <t xml:space="preserve">Tablet Computers</t>
  </si>
  <si>
    <t xml:space="preserve">Gookin, D.</t>
  </si>
  <si>
    <t xml:space="preserve">HAL-07</t>
  </si>
  <si>
    <t xml:space="preserve">Android Tablets for Dummies</t>
  </si>
  <si>
    <t xml:space="preserve">HAL-09</t>
  </si>
  <si>
    <t xml:space="preserve">Advanced Hacks &amp; Guides &amp; Tips for Andriod</t>
  </si>
  <si>
    <t xml:space="preserve">BDM</t>
  </si>
  <si>
    <t xml:space="preserve">HAL-10</t>
  </si>
  <si>
    <t xml:space="preserve">Australian Android Magazine, Volume 3</t>
  </si>
  <si>
    <t xml:space="preserve">HAL-11</t>
  </si>
  <si>
    <t xml:space="preserve">The Ultimate Beginners Guide to Android Smartphones &amp; Tablets, Volume 4</t>
  </si>
  <si>
    <t xml:space="preserve">HAL-12</t>
  </si>
  <si>
    <t xml:space="preserve">The Definitive Guide to Samsung Galaxy, Volume 7</t>
  </si>
  <si>
    <t xml:space="preserve">HAL-13</t>
  </si>
  <si>
    <t xml:space="preserve">Laptops for Seniors</t>
  </si>
  <si>
    <t xml:space="preserve">HAL-15</t>
  </si>
  <si>
    <t xml:space="preserve">Android Phones for Dummies, 4th edition</t>
  </si>
  <si>
    <t xml:space="preserve">Smartphones</t>
  </si>
  <si>
    <t xml:space="preserve">HAL-16</t>
  </si>
  <si>
    <t xml:space="preserve">Working with a Samsung Galaxy Tablet with Android 5 for SENIORS</t>
  </si>
  <si>
    <t xml:space="preserve">Hardware tablet</t>
  </si>
  <si>
    <t xml:space="preserve">Studio Visual Steps</t>
  </si>
  <si>
    <t xml:space="preserve">Visual Steps</t>
  </si>
  <si>
    <t xml:space="preserve">HAP-01</t>
  </si>
  <si>
    <t xml:space="preserve">Palm Organizers</t>
  </si>
  <si>
    <t xml:space="preserve">PALM</t>
  </si>
  <si>
    <t xml:space="preserve">Hardware Pocket PCs</t>
  </si>
  <si>
    <t xml:space="preserve">Carlson, J.</t>
  </si>
  <si>
    <t xml:space="preserve">HAP-02</t>
  </si>
  <si>
    <t xml:space="preserve">Palm OS Programming from the Ground Up</t>
  </si>
  <si>
    <t xml:space="preserve">Mykland, R.</t>
  </si>
  <si>
    <t xml:space="preserve">HAP-03</t>
  </si>
  <si>
    <t xml:space="preserve">Palm Handheld.  Everything to do with your,</t>
  </si>
  <si>
    <t xml:space="preserve">Johnson, D. &amp; Broida, R.</t>
  </si>
  <si>
    <t xml:space="preserve">HAP-07</t>
  </si>
  <si>
    <t xml:space="preserve">Teach yourself Palm Programming</t>
  </si>
  <si>
    <t xml:space="preserve">Maxwell, G.</t>
  </si>
  <si>
    <t xml:space="preserve">HAP-08</t>
  </si>
  <si>
    <t xml:space="preserve">Palm Computing in Easy Steps</t>
  </si>
  <si>
    <t xml:space="preserve">Preston, G.</t>
  </si>
  <si>
    <t xml:space="preserve">HAP-09</t>
  </si>
  <si>
    <t xml:space="preserve">Master Visually Windows Mobile 2003</t>
  </si>
  <si>
    <t xml:space="preserve">WINDOWS MOBILE</t>
  </si>
  <si>
    <t xml:space="preserve">Landon, B. Miller, M.</t>
  </si>
  <si>
    <t xml:space="preserve">HAP-10</t>
  </si>
  <si>
    <t xml:space="preserve">Palm Programming</t>
  </si>
  <si>
    <t xml:space="preserve">Bachmann, G.</t>
  </si>
  <si>
    <t xml:space="preserve">HAP-11</t>
  </si>
  <si>
    <t xml:space="preserve">Palm Pre</t>
  </si>
  <si>
    <t xml:space="preserve">Baig Edward C.</t>
  </si>
  <si>
    <t xml:space="preserve">IF-02</t>
  </si>
  <si>
    <t xml:space="preserve">ACT! 2005 for Dummies</t>
  </si>
  <si>
    <t xml:space="preserve">ACT!</t>
  </si>
  <si>
    <t xml:space="preserve">Customer Relationship</t>
  </si>
  <si>
    <t xml:space="preserve">Fredericks, K. S.</t>
  </si>
  <si>
    <t xml:space="preserve">IN-02</t>
  </si>
  <si>
    <t xml:space="preserve">Internet Guide for Seniors</t>
  </si>
  <si>
    <t xml:space="preserve">Internet</t>
  </si>
  <si>
    <t xml:space="preserve">Mr. Modem</t>
  </si>
  <si>
    <t xml:space="preserve">IN-44</t>
  </si>
  <si>
    <t xml:space="preserve">The Essential Client/Server Survival Guide.  3rd Edition.</t>
  </si>
  <si>
    <t xml:space="preserve">Orfali, Harkey &amp; Edwards.</t>
  </si>
  <si>
    <t xml:space="preserve">Wiley &amp; Sons</t>
  </si>
  <si>
    <t xml:space="preserve">IN-49</t>
  </si>
  <si>
    <t xml:space="preserve">I.P. Routing Fundamentals</t>
  </si>
  <si>
    <t xml:space="preserve">Sportak, M. A.</t>
  </si>
  <si>
    <t xml:space="preserve">Cisco press</t>
  </si>
  <si>
    <t xml:space="preserve">IN-50</t>
  </si>
  <si>
    <t xml:space="preserve">.Net Framework Essentials</t>
  </si>
  <si>
    <t xml:space="preserve">Thuan Thai &amp; H.Q.Lam</t>
  </si>
  <si>
    <t xml:space="preserve">IN-51</t>
  </si>
  <si>
    <t xml:space="preserve">Delivering Voice over Frame Relay &amp; ATM.</t>
  </si>
  <si>
    <t xml:space="preserve">Minoli, D &amp; G.</t>
  </si>
  <si>
    <t xml:space="preserve">IN-53</t>
  </si>
  <si>
    <t xml:space="preserve">Web Security, Privacy &amp; Commerce</t>
  </si>
  <si>
    <t xml:space="preserve">Garfinkel S.</t>
  </si>
  <si>
    <t xml:space="preserve">IN-62</t>
  </si>
  <si>
    <t xml:space="preserve">Front Page 2000 for Busy People.</t>
  </si>
  <si>
    <t xml:space="preserve">FRONTPAGE</t>
  </si>
  <si>
    <t xml:space="preserve">Crumlish,C.</t>
  </si>
  <si>
    <t xml:space="preserve">IN-63</t>
  </si>
  <si>
    <t xml:space="preserve">FrontPage 2000 - The Complete Reference (CD-Included)</t>
  </si>
  <si>
    <t xml:space="preserve">Matthews, M.S.. &amp; Poulsen, E.B.</t>
  </si>
  <si>
    <t xml:space="preserve">IN-64</t>
  </si>
  <si>
    <t xml:space="preserve">HTML &amp; XHTML- The Definitive Guide</t>
  </si>
  <si>
    <t xml:space="preserve">HTML &amp; XHTML</t>
  </si>
  <si>
    <t xml:space="preserve">Musciano, C. &amp; Kennedy, B.</t>
  </si>
  <si>
    <t xml:space="preserve">O’Reilly &amp; Assoc.</t>
  </si>
  <si>
    <t xml:space="preserve">IN-65</t>
  </si>
  <si>
    <t xml:space="preserve">XML Complete</t>
  </si>
  <si>
    <t xml:space="preserve">XML</t>
  </si>
  <si>
    <t xml:space="preserve">IN-66</t>
  </si>
  <si>
    <t xml:space="preserve">The Australian Guide to the Internet</t>
  </si>
  <si>
    <t xml:space="preserve">Stevenson, T.</t>
  </si>
  <si>
    <t xml:space="preserve">IN-68</t>
  </si>
  <si>
    <t xml:space="preserve">Advanced Internet Technologies</t>
  </si>
  <si>
    <t xml:space="preserve">Black, U.</t>
  </si>
  <si>
    <t xml:space="preserve">IN-69</t>
  </si>
  <si>
    <t xml:space="preserve">TCP/IP and Related Protocols</t>
  </si>
  <si>
    <t xml:space="preserve">TCP/IP</t>
  </si>
  <si>
    <t xml:space="preserve">IN-72</t>
  </si>
  <si>
    <t xml:space="preserve">Microsoft Frontpage 2002 Unleashed (CD Inc.)</t>
  </si>
  <si>
    <t xml:space="preserve">Various</t>
  </si>
  <si>
    <t xml:space="preserve">IN-74</t>
  </si>
  <si>
    <t xml:space="preserve">Australian Guide to online Business</t>
  </si>
  <si>
    <t xml:space="preserve">Blank, A.G.</t>
  </si>
  <si>
    <t xml:space="preserve">IN-75</t>
  </si>
  <si>
    <t xml:space="preserve">TCP/IP Jump Start - Internet Protocol Basics</t>
  </si>
  <si>
    <t xml:space="preserve">IN-76</t>
  </si>
  <si>
    <t xml:space="preserve">Using Microsoft SQL Server 7</t>
  </si>
  <si>
    <t xml:space="preserve">SQL SERVER 7</t>
  </si>
  <si>
    <t xml:space="preserve">Wynkoop, S. </t>
  </si>
  <si>
    <t xml:space="preserve">IN-79</t>
  </si>
  <si>
    <t xml:space="preserve">Google Hacks</t>
  </si>
  <si>
    <t xml:space="preserve">Calishain, T &amp; Dornfest,  R </t>
  </si>
  <si>
    <t xml:space="preserve">IN-80</t>
  </si>
  <si>
    <t xml:space="preserve">ASP  in a Nutshell. A Desktop Reference</t>
  </si>
  <si>
    <t xml:space="preserve">ASP</t>
  </si>
  <si>
    <t xml:space="preserve">Weissinger, A.K.</t>
  </si>
  <si>
    <t xml:space="preserve">IN-82</t>
  </si>
  <si>
    <t xml:space="preserve">Frontpage 2002 Weekend Crash Course (CD Inc.)</t>
  </si>
  <si>
    <t xml:space="preserve">Butow, E.</t>
  </si>
  <si>
    <t xml:space="preserve">IN-83</t>
  </si>
  <si>
    <t xml:space="preserve">Internet QoS  Quality of Service</t>
  </si>
  <si>
    <t xml:space="preserve">Zheng Wand</t>
  </si>
  <si>
    <t xml:space="preserve">Lucent Technologies</t>
  </si>
  <si>
    <t xml:space="preserve">IN-84</t>
  </si>
  <si>
    <t xml:space="preserve"> Flash 4 Creative Web Animation  (CD Included)</t>
  </si>
  <si>
    <t xml:space="preserve">FLASH 4</t>
  </si>
  <si>
    <t xml:space="preserve">Franklin, D. &amp; Patton, B.</t>
  </si>
  <si>
    <t xml:space="preserve">Macromedia Press</t>
  </si>
  <si>
    <t xml:space="preserve">IN-86</t>
  </si>
  <si>
    <t xml:space="preserve">Search Engine Positioning  (CD Inc.)</t>
  </si>
  <si>
    <t xml:space="preserve">Marckini, F.</t>
  </si>
  <si>
    <t xml:space="preserve">Wordware</t>
  </si>
  <si>
    <t xml:space="preserve">IN-87</t>
  </si>
  <si>
    <t xml:space="preserve">Google, Pocket Guide </t>
  </si>
  <si>
    <t xml:space="preserve">Calishain, Dornfest, Adams.</t>
  </si>
  <si>
    <t xml:space="preserve">IN-89</t>
  </si>
  <si>
    <t xml:space="preserve">Action Script for Flash MX</t>
  </si>
  <si>
    <t xml:space="preserve">FLASH MX</t>
  </si>
  <si>
    <t xml:space="preserve">Moock, C.</t>
  </si>
  <si>
    <t xml:space="preserve">IN-91</t>
  </si>
  <si>
    <t xml:space="preserve"> eBay Bargain Shopping for Dummies</t>
  </si>
  <si>
    <t xml:space="preserve">Collier, M.</t>
  </si>
  <si>
    <t xml:space="preserve">Wiley Publishing</t>
  </si>
  <si>
    <t xml:space="preserve">IN-95</t>
  </si>
  <si>
    <t xml:space="preserve">Dreamweaver in a Nutshell</t>
  </si>
  <si>
    <t xml:space="preserve">DREAMWEAVER</t>
  </si>
  <si>
    <t xml:space="preserve">Williamson, H. &amp; Epstein, B.</t>
  </si>
  <si>
    <t xml:space="preserve">IN-96</t>
  </si>
  <si>
    <t xml:space="preserve">The Art &amp; Science of Web Design</t>
  </si>
  <si>
    <t xml:space="preserve">Veen, J.</t>
  </si>
  <si>
    <t xml:space="preserve">IN-97</t>
  </si>
  <si>
    <t xml:space="preserve">Online!  The Book</t>
  </si>
  <si>
    <t xml:space="preserve">Dvorak, J.C. &amp; Pirillo, C.</t>
  </si>
  <si>
    <t xml:space="preserve">IN-98</t>
  </si>
  <si>
    <t xml:space="preserve">Shift, The Unfolding Internet</t>
  </si>
  <si>
    <t xml:space="preserve">Burman, E.</t>
  </si>
  <si>
    <t xml:space="preserve">IN-100</t>
  </si>
  <si>
    <t xml:space="preserve">The Internet &amp; Society</t>
  </si>
  <si>
    <t xml:space="preserve">Harvard University</t>
  </si>
  <si>
    <t xml:space="preserve">IN-102</t>
  </si>
  <si>
    <t xml:space="preserve">501 Websites Secrets</t>
  </si>
  <si>
    <t xml:space="preserve">IN-103</t>
  </si>
  <si>
    <t xml:space="preserve">How to do Everything with Google</t>
  </si>
  <si>
    <t xml:space="preserve">Schneider, Blachman, Fredricksen</t>
  </si>
  <si>
    <t xml:space="preserve">IN-104</t>
  </si>
  <si>
    <t xml:space="preserve">Fighting Spam for Dummies</t>
  </si>
  <si>
    <t xml:space="preserve">Levine, Young, Everett-Church.</t>
  </si>
  <si>
    <t xml:space="preserve">IN-105</t>
  </si>
  <si>
    <t xml:space="preserve">Internet Annoyances</t>
  </si>
  <si>
    <t xml:space="preserve">IN-106</t>
  </si>
  <si>
    <t xml:space="preserve">Google, The Missing Manual</t>
  </si>
  <si>
    <t xml:space="preserve">Milstein,s &amp; Dornfest,R.</t>
  </si>
  <si>
    <t xml:space="preserve">IN-107</t>
  </si>
  <si>
    <t xml:space="preserve">Starting an eBay Business</t>
  </si>
  <si>
    <t xml:space="preserve">eBAY</t>
  </si>
  <si>
    <t xml:space="preserve">Collier,M.</t>
  </si>
  <si>
    <t xml:space="preserve">IN-108</t>
  </si>
  <si>
    <t xml:space="preserve">Don't click on the blue e!  Switching to Firefox.</t>
  </si>
  <si>
    <t xml:space="preserve">FIREFOX</t>
  </si>
  <si>
    <t xml:space="preserve">Granneman, S.</t>
  </si>
  <si>
    <t xml:space="preserve">IN-109</t>
  </si>
  <si>
    <t xml:space="preserve">The ABC's of Frontpage 97</t>
  </si>
  <si>
    <t xml:space="preserve">FRONTPAGE 97</t>
  </si>
  <si>
    <t xml:space="preserve">Weisskopf, G.</t>
  </si>
  <si>
    <t xml:space="preserve">IN-110</t>
  </si>
  <si>
    <t xml:space="preserve">Firefox &amp; Thunderbird</t>
  </si>
  <si>
    <t xml:space="preserve">Hofman, Knous, Hedtke.</t>
  </si>
  <si>
    <t xml:space="preserve">IN-111</t>
  </si>
  <si>
    <t xml:space="preserve">Discover the Internet</t>
  </si>
  <si>
    <t xml:space="preserve">Arc Angel productions</t>
  </si>
  <si>
    <t xml:space="preserve">IN-115</t>
  </si>
  <si>
    <t xml:space="preserve">Google - Top 100 Simplified Tips &amp; Tricks</t>
  </si>
  <si>
    <t xml:space="preserve">Kraynak, J.</t>
  </si>
  <si>
    <t xml:space="preserve">IN-118</t>
  </si>
  <si>
    <t xml:space="preserve">Online Investing Hacks - 100 Tips &amp; Tricks</t>
  </si>
  <si>
    <t xml:space="preserve">Biafore, B.</t>
  </si>
  <si>
    <t xml:space="preserve">IN-119</t>
  </si>
  <si>
    <t xml:space="preserve">Blog Design Solutions</t>
  </si>
  <si>
    <t xml:space="preserve">Budd, A. et al</t>
  </si>
  <si>
    <t xml:space="preserve">IN-120</t>
  </si>
  <si>
    <t xml:space="preserve">eBay for Dummies</t>
  </si>
  <si>
    <t xml:space="preserve">Collier,M. &amp; Munday,B.</t>
  </si>
  <si>
    <t xml:space="preserve">IN-121</t>
  </si>
  <si>
    <t xml:space="preserve">The Internet Office Companion</t>
  </si>
  <si>
    <t xml:space="preserve">Neely, M.</t>
  </si>
  <si>
    <t xml:space="preserve">Maxibooks</t>
  </si>
  <si>
    <t xml:space="preserve">IN-122</t>
  </si>
  <si>
    <t xml:space="preserve">Podcasting for Dummies</t>
  </si>
  <si>
    <t xml:space="preserve">Morris, T. &amp; Terra,E.</t>
  </si>
  <si>
    <t xml:space="preserve">IN-123</t>
  </si>
  <si>
    <t xml:space="preserve">Front Page 2003 in Easy Steps</t>
  </si>
  <si>
    <t xml:space="preserve">Price, M.</t>
  </si>
  <si>
    <t xml:space="preserve">IN-124</t>
  </si>
  <si>
    <t xml:space="preserve">Internet for Dummies 3rd edition</t>
  </si>
  <si>
    <t xml:space="preserve">Levine, Young, &amp; Baroudi</t>
  </si>
  <si>
    <t xml:space="preserve">IN-125</t>
  </si>
  <si>
    <t xml:space="preserve">How to do Everything with FrontPage 2002</t>
  </si>
  <si>
    <t xml:space="preserve">FRONTPAGE 2002</t>
  </si>
  <si>
    <t xml:space="preserve">Plotkin, D.</t>
  </si>
  <si>
    <t xml:space="preserve">IN-129</t>
  </si>
  <si>
    <t xml:space="preserve">Steal This Computer Book 2</t>
  </si>
  <si>
    <t xml:space="preserve">Wang, W.</t>
  </si>
  <si>
    <t xml:space="preserve">No Starch press</t>
  </si>
  <si>
    <t xml:space="preserve">IN-130</t>
  </si>
  <si>
    <t xml:space="preserve">Teach Yourself HTML and XHTML in 24 hours</t>
  </si>
  <si>
    <t xml:space="preserve">Oliver, Dick</t>
  </si>
  <si>
    <t xml:space="preserve">IN-131</t>
  </si>
  <si>
    <t xml:space="preserve">Web warrior Series - XML </t>
  </si>
  <si>
    <t xml:space="preserve">McKinnon, Al &amp; Linda</t>
  </si>
  <si>
    <t xml:space="preserve">IN-132</t>
  </si>
  <si>
    <t xml:space="preserve">The FreeBSD Handbook (3 ed): Volume 1: User Guide</t>
  </si>
  <si>
    <t xml:space="preserve">FREEBSD</t>
  </si>
  <si>
    <t xml:space="preserve">Stokely, M &amp; Lee C</t>
  </si>
  <si>
    <t xml:space="preserve">FreeBSD Mall</t>
  </si>
  <si>
    <t xml:space="preserve">IN-133</t>
  </si>
  <si>
    <t xml:space="preserve">The FreeBSD Handbook (3 ed): Volume 2: Admin Guide</t>
  </si>
  <si>
    <t xml:space="preserve">Stokely, M</t>
  </si>
  <si>
    <t xml:space="preserve">IN-134</t>
  </si>
  <si>
    <t xml:space="preserve">Absolute Open BSD</t>
  </si>
  <si>
    <t xml:space="preserve">UNIX</t>
  </si>
  <si>
    <t xml:space="preserve">Lucas, M W</t>
  </si>
  <si>
    <t xml:space="preserve">No Starch Press</t>
  </si>
  <si>
    <t xml:space="preserve">IN-135</t>
  </si>
  <si>
    <t xml:space="preserve">Google +, the missing manual</t>
  </si>
  <si>
    <t xml:space="preserve">GOOGLE +</t>
  </si>
  <si>
    <t xml:space="preserve">Google</t>
  </si>
  <si>
    <t xml:space="preserve">Kevin Purdy</t>
  </si>
  <si>
    <t xml:space="preserve">IN-136</t>
  </si>
  <si>
    <t xml:space="preserve">Google Earth for Dummies</t>
  </si>
  <si>
    <t xml:space="preserve">GOOGLE EARTH</t>
  </si>
  <si>
    <t xml:space="preserve">Crowder, D. A.</t>
  </si>
  <si>
    <t xml:space="preserve">IN-137</t>
  </si>
  <si>
    <t xml:space="preserve">Facebook for Seniors</t>
  </si>
  <si>
    <t xml:space="preserve">FACEBOOK</t>
  </si>
  <si>
    <t xml:space="preserve">Ewin, Ewin &amp; Ewin</t>
  </si>
  <si>
    <t xml:space="preserve">IN-138</t>
  </si>
  <si>
    <t xml:space="preserve">The Million Dollar Blog</t>
  </si>
  <si>
    <t xml:space="preserve">Courtenay-Smith, N.</t>
  </si>
  <si>
    <t xml:space="preserve">piatkus</t>
  </si>
  <si>
    <t xml:space="preserve">IN-139</t>
  </si>
  <si>
    <t xml:space="preserve">LinkedIn Profile Optimisation for Dummies</t>
  </si>
  <si>
    <t xml:space="preserve">Serdula, D.</t>
  </si>
  <si>
    <t xml:space="preserve">IN-140</t>
  </si>
  <si>
    <t xml:space="preserve">eBay for Dummies, 9th edition</t>
  </si>
  <si>
    <t xml:space="preserve">INE-02</t>
  </si>
  <si>
    <t xml:space="preserve">Guide to Outlook 2002</t>
  </si>
  <si>
    <t xml:space="preserve">OUTLOOK 2002</t>
  </si>
  <si>
    <t xml:space="preserve">E-Mail</t>
  </si>
  <si>
    <t xml:space="preserve">Gerend, J. &amp; Bermant, C.</t>
  </si>
  <si>
    <t xml:space="preserve">Redmond Tech. Press.</t>
  </si>
  <si>
    <t xml:space="preserve">INE-03</t>
  </si>
  <si>
    <t xml:space="preserve"> Outlook 2000 in a Nutshell</t>
  </si>
  <si>
    <t xml:space="preserve">OUTLOOK 2000</t>
  </si>
  <si>
    <t xml:space="preserve">Syroid, T. &amp; Leuf, B.</t>
  </si>
  <si>
    <t xml:space="preserve">INE-04</t>
  </si>
  <si>
    <t xml:space="preserve">Building Applications With Microsoft Outlook 97</t>
  </si>
  <si>
    <t xml:space="preserve">OUTLOOK 97</t>
  </si>
  <si>
    <t xml:space="preserve">INE-09</t>
  </si>
  <si>
    <t xml:space="preserve">Degunking your E-Mail, Spam &amp; Viruses</t>
  </si>
  <si>
    <t xml:space="preserve">Duntemann, J.</t>
  </si>
  <si>
    <t xml:space="preserve">INE-10</t>
  </si>
  <si>
    <t xml:space="preserve">Outlook 2003 in Easy Steps</t>
  </si>
  <si>
    <t xml:space="preserve">OUTLOOK 2003</t>
  </si>
  <si>
    <t xml:space="preserve">INE-11</t>
  </si>
  <si>
    <t xml:space="preserve">Microsoft Outlook 2007, Inside Out</t>
  </si>
  <si>
    <t xml:space="preserve">OUTLOOK 2007</t>
  </si>
  <si>
    <t xml:space="preserve">Boyce, Sheresh, Sheresh</t>
  </si>
  <si>
    <t xml:space="preserve">INE-12</t>
  </si>
  <si>
    <t xml:space="preserve">Microsoft Outlook. Effective Time Management</t>
  </si>
  <si>
    <t xml:space="preserve">OUTLOOK</t>
  </si>
  <si>
    <t xml:space="preserve">Lothar Seiwert, Holger Woeltje</t>
  </si>
  <si>
    <t xml:space="preserve">INE-13</t>
  </si>
  <si>
    <t xml:space="preserve">Outlook 2000 for Windows</t>
  </si>
  <si>
    <t xml:space="preserve">Young, M J</t>
  </si>
  <si>
    <t xml:space="preserve">INN-14</t>
  </si>
  <si>
    <t xml:space="preserve">Netscape Communicator 4  (CD included)</t>
  </si>
  <si>
    <t xml:space="preserve">NETSCAPE 4</t>
  </si>
  <si>
    <t xml:space="preserve">Tauber, Kienan, &amp; Towers.</t>
  </si>
  <si>
    <t xml:space="preserve">INN-16</t>
  </si>
  <si>
    <t xml:space="preserve">Teach Yourself Netscape Communicator 4</t>
  </si>
  <si>
    <t xml:space="preserve">Grimes G.</t>
  </si>
  <si>
    <t xml:space="preserve">INO-01</t>
  </si>
  <si>
    <t xml:space="preserve">The Opera 5.x Book (CD Inc.)+C452</t>
  </si>
  <si>
    <t xml:space="preserve">OPERA 5.X</t>
  </si>
  <si>
    <t xml:space="preserve">Lyster, J.S.</t>
  </si>
  <si>
    <t xml:space="preserve">INX-04</t>
  </si>
  <si>
    <t xml:space="preserve">Teach Yourself Microsoft Internet Explorer $</t>
  </si>
  <si>
    <t xml:space="preserve">EXPLORER 4</t>
  </si>
  <si>
    <t xml:space="preserve">Estabrook, N.</t>
  </si>
  <si>
    <t xml:space="preserve">Sams Net</t>
  </si>
  <si>
    <t xml:space="preserve">IOA-01</t>
  </si>
  <si>
    <t xml:space="preserve">Open Office. Org for Dummies  (CD Included)</t>
  </si>
  <si>
    <t xml:space="preserve">OPEN OFFICE</t>
  </si>
  <si>
    <t xml:space="preserve">Integrated Suites</t>
  </si>
  <si>
    <t xml:space="preserve">Leete, Finkelstein &amp; Leete</t>
  </si>
  <si>
    <t xml:space="preserve">IOA-02</t>
  </si>
  <si>
    <t xml:space="preserve">Open Office.org - Writer  (CD Included)</t>
  </si>
  <si>
    <t xml:space="preserve">Weber, J.H.</t>
  </si>
  <si>
    <t xml:space="preserve">IOA-03</t>
  </si>
  <si>
    <t xml:space="preserve">Open Office.org 3</t>
  </si>
  <si>
    <t xml:space="preserve">Friends of Open Document</t>
  </si>
  <si>
    <t xml:space="preserve">IOA-04</t>
  </si>
  <si>
    <t xml:space="preserve">Office 365 for Dummies, 2nd Edition</t>
  </si>
  <si>
    <t xml:space="preserve">OFFICE 365</t>
  </si>
  <si>
    <t xml:space="preserve">Withee, R., Withee, K., &amp; Reed, J.</t>
  </si>
  <si>
    <t xml:space="preserve">IOC-01</t>
  </si>
  <si>
    <t xml:space="preserve">Corel WordPerfect Office 2000 for Linux</t>
  </si>
  <si>
    <t xml:space="preserve">WORDPERFECT</t>
  </si>
  <si>
    <t xml:space="preserve">Rackus, Wrightson, &amp; Merlino</t>
  </si>
  <si>
    <t xml:space="preserve">Corel Press</t>
  </si>
  <si>
    <t xml:space="preserve">IOC-02</t>
  </si>
  <si>
    <t xml:space="preserve">Corel WordPerfect Suite 8 Users Guide</t>
  </si>
  <si>
    <t xml:space="preserve">IOC-03</t>
  </si>
  <si>
    <t xml:space="preserve">Corel WordPerfect Suite 8 Professional</t>
  </si>
  <si>
    <t xml:space="preserve">Neibauer, A.</t>
  </si>
  <si>
    <t xml:space="preserve">IOC-04</t>
  </si>
  <si>
    <t xml:space="preserve">WordPerfect Office 2002</t>
  </si>
  <si>
    <t xml:space="preserve">WORDPERFECT 2002</t>
  </si>
  <si>
    <t xml:space="preserve">King, J.A.</t>
  </si>
  <si>
    <t xml:space="preserve">IOC-05</t>
  </si>
  <si>
    <t xml:space="preserve">WordPerfect Office 11</t>
  </si>
  <si>
    <t xml:space="preserve">WORDPERFECT 11</t>
  </si>
  <si>
    <t xml:space="preserve">IOC-06</t>
  </si>
  <si>
    <t xml:space="preserve">WordPerfect 2000</t>
  </si>
  <si>
    <t xml:space="preserve">WORDPERFECT 2000</t>
  </si>
  <si>
    <t xml:space="preserve">IOC-07</t>
  </si>
  <si>
    <t xml:space="preserve">WordPerfect Office 12 User Guide</t>
  </si>
  <si>
    <t xml:space="preserve">WORDPERFECT 12</t>
  </si>
  <si>
    <t xml:space="preserve">IOO-09</t>
  </si>
  <si>
    <t xml:space="preserve">Office 2000 Made Easy</t>
  </si>
  <si>
    <t xml:space="preserve">OFFICE 2000</t>
  </si>
  <si>
    <t xml:space="preserve">IOO-10</t>
  </si>
  <si>
    <t xml:space="preserve">Teach Yourself Visually Office XP</t>
  </si>
  <si>
    <t xml:space="preserve">OFFICE XP</t>
  </si>
  <si>
    <t xml:space="preserve">Maran Graphics</t>
  </si>
  <si>
    <t xml:space="preserve">IOO-12</t>
  </si>
  <si>
    <t xml:space="preserve">Office 2003 Timesaving Techniques for Dummies</t>
  </si>
  <si>
    <t xml:space="preserve">OFFICE 2003</t>
  </si>
  <si>
    <t xml:space="preserve">Leonhard, W.</t>
  </si>
  <si>
    <t xml:space="preserve">IOO-14</t>
  </si>
  <si>
    <t xml:space="preserve">Office 97 Answers</t>
  </si>
  <si>
    <t xml:space="preserve">OFFICE 97</t>
  </si>
  <si>
    <t xml:space="preserve">Matthews, M.D. &amp; C.B.</t>
  </si>
  <si>
    <t xml:space="preserve">IOO-16</t>
  </si>
  <si>
    <t xml:space="preserve">Teach Yourself Visually Office 2003</t>
  </si>
  <si>
    <t xml:space="preserve">Kinkopf,s.w.</t>
  </si>
  <si>
    <t xml:space="preserve">IOO-17</t>
  </si>
  <si>
    <t xml:space="preserve">Master Visually Office 2003</t>
  </si>
  <si>
    <t xml:space="preserve">Toot, M.S.</t>
  </si>
  <si>
    <t xml:space="preserve">IOO-18</t>
  </si>
  <si>
    <t xml:space="preserve">Office 2003 Visual Tips</t>
  </si>
  <si>
    <t xml:space="preserve">Kinkopf, S.W.</t>
  </si>
  <si>
    <t xml:space="preserve">IOO-19</t>
  </si>
  <si>
    <t xml:space="preserve">Discovering MS Office 2000 Premium &amp; Pro</t>
  </si>
  <si>
    <t xml:space="preserve">IOO-20</t>
  </si>
  <si>
    <t xml:space="preserve">Easy MS Office 97</t>
  </si>
  <si>
    <t xml:space="preserve">Office 97</t>
  </si>
  <si>
    <t xml:space="preserve">IOO-21</t>
  </si>
  <si>
    <t xml:space="preserve">Master Visually MS Office 2007</t>
  </si>
  <si>
    <t xml:space="preserve">OFFICE 2007</t>
  </si>
  <si>
    <t xml:space="preserve">Bunzel, T.</t>
  </si>
  <si>
    <t xml:space="preserve">IOO-23</t>
  </si>
  <si>
    <t xml:space="preserve">So That's How!, 2007 Microsoft Office System Timesavers etc. (CD)</t>
  </si>
  <si>
    <t xml:space="preserve">Archilla, E. &amp; Songvilay, T.</t>
  </si>
  <si>
    <t xml:space="preserve">IOO-24</t>
  </si>
  <si>
    <t xml:space="preserve">Office 2010 The Missing Manual</t>
  </si>
  <si>
    <t xml:space="preserve">OFFICE 2010</t>
  </si>
  <si>
    <t xml:space="preserve">Nancy Conner &amp; Matthew MacDonald</t>
  </si>
  <si>
    <t xml:space="preserve">IOO-25</t>
  </si>
  <si>
    <t xml:space="preserve">Step by Step 2007 Microsoft Office System</t>
  </si>
  <si>
    <t xml:space="preserve">Cox, J. et al</t>
  </si>
  <si>
    <t xml:space="preserve">Microsoft Press</t>
  </si>
  <si>
    <t xml:space="preserve">IOO-26</t>
  </si>
  <si>
    <t xml:space="preserve">Office 2013 for Dummies</t>
  </si>
  <si>
    <t xml:space="preserve">OFFICE 2013</t>
  </si>
  <si>
    <t xml:space="preserve">IOO-27</t>
  </si>
  <si>
    <t xml:space="preserve">Office 2010 for Dummies</t>
  </si>
  <si>
    <t xml:space="preserve">IOO-28</t>
  </si>
  <si>
    <t xml:space="preserve">Office 2016 at Work for Dummies</t>
  </si>
  <si>
    <t xml:space="preserve">OFFICE 2016</t>
  </si>
  <si>
    <t xml:space="preserve">Wempen, F.</t>
  </si>
  <si>
    <t xml:space="preserve">IOO-29</t>
  </si>
  <si>
    <t xml:space="preserve">Microsoft Office 2013 QuickSteps</t>
  </si>
  <si>
    <t xml:space="preserve">Matthews, C., Matthews, M., &amp; Sandberg, B.</t>
  </si>
  <si>
    <t xml:space="preserve">IOO-30</t>
  </si>
  <si>
    <t xml:space="preserve">Microsoft Office 2010 for Dummies</t>
  </si>
  <si>
    <t xml:space="preserve">IOO-31</t>
  </si>
  <si>
    <t xml:space="preserve">Microsoft Office 2013 for Dummies</t>
  </si>
  <si>
    <t xml:space="preserve">IOO-32</t>
  </si>
  <si>
    <t xml:space="preserve">Microsoft Office Enterprise 2007: DVD</t>
  </si>
  <si>
    <t xml:space="preserve">IOO-33</t>
  </si>
  <si>
    <t xml:space="preserve">Microsoft Office 2010 for Dummies (DVD)</t>
  </si>
  <si>
    <t xml:space="preserve">IOS-01</t>
  </si>
  <si>
    <t xml:space="preserve">Star Office 6.0 Office Suite Companion</t>
  </si>
  <si>
    <t xml:space="preserve">STAR OFFICE 6.0</t>
  </si>
  <si>
    <t xml:space="preserve">Haugland, S. &amp; Jones, F.</t>
  </si>
  <si>
    <t xml:space="preserve">Sun Microsystems Press</t>
  </si>
  <si>
    <t xml:space="preserve">IOS-02</t>
  </si>
  <si>
    <t xml:space="preserve">Using Star Office</t>
  </si>
  <si>
    <t xml:space="preserve">Koch, M. &amp; Murray, S.</t>
  </si>
  <si>
    <t xml:space="preserve">IOS-03</t>
  </si>
  <si>
    <t xml:space="preserve">Star Office 5.2 for Linux</t>
  </si>
  <si>
    <t xml:space="preserve">STAR OFFICE 5.2 LINUX</t>
  </si>
  <si>
    <t xml:space="preserve">Busch, D.D. &amp; Olsen, J.W.</t>
  </si>
  <si>
    <t xml:space="preserve">IOW-03</t>
  </si>
  <si>
    <t xml:space="preserve">Using Microsoft Works 4.5</t>
  </si>
  <si>
    <t xml:space="preserve">WORKD 4.5</t>
  </si>
  <si>
    <t xml:space="preserve">Walkowski, D.</t>
  </si>
  <si>
    <t xml:space="preserve">IW-01</t>
  </si>
  <si>
    <t xml:space="preserve">Presenting  XML</t>
  </si>
  <si>
    <t xml:space="preserve">Internet Web Dev't</t>
  </si>
  <si>
    <t xml:space="preserve">Light, R.</t>
  </si>
  <si>
    <t xml:space="preserve">IW-02</t>
  </si>
  <si>
    <t xml:space="preserve">The XML Handbook</t>
  </si>
  <si>
    <t xml:space="preserve">Goldfarb &amp; Prescos</t>
  </si>
  <si>
    <t xml:space="preserve">IW-03</t>
  </si>
  <si>
    <t xml:space="preserve">XML &amp; Java, Developing Web Applications.  (CD Inc.)</t>
  </si>
  <si>
    <t xml:space="preserve">XML &amp; JAVA</t>
  </si>
  <si>
    <t xml:space="preserve">Maruyama, Tamura, Uramoto.</t>
  </si>
  <si>
    <t xml:space="preserve">Addison Wesley</t>
  </si>
  <si>
    <t xml:space="preserve">IW-04</t>
  </si>
  <si>
    <t xml:space="preserve">Data on the Web, From Relations to Semistructured Data &amp; XML</t>
  </si>
  <si>
    <t xml:space="preserve">Abiteboil, Buneman, Suclu.</t>
  </si>
  <si>
    <t xml:space="preserve">IW-05</t>
  </si>
  <si>
    <t xml:space="preserve"> Professional  WAP</t>
  </si>
  <si>
    <t xml:space="preserve">WAP</t>
  </si>
  <si>
    <t xml:space="preserve">Wrox Press</t>
  </si>
  <si>
    <t xml:space="preserve">IW-06</t>
  </si>
  <si>
    <t xml:space="preserve">HTML by Example</t>
  </si>
  <si>
    <t xml:space="preserve">HTML</t>
  </si>
  <si>
    <t xml:space="preserve">Navarro,A. &amp; Stauffer, T.</t>
  </si>
  <si>
    <t xml:space="preserve">IW-07</t>
  </si>
  <si>
    <t xml:space="preserve">HTML Goodies  2nd Edition</t>
  </si>
  <si>
    <t xml:space="preserve">Burns, J.</t>
  </si>
  <si>
    <t xml:space="preserve">IW-08</t>
  </si>
  <si>
    <t xml:space="preserve">HTML for the World Wide Web</t>
  </si>
  <si>
    <t xml:space="preserve">HTML4</t>
  </si>
  <si>
    <t xml:space="preserve">Castro, E.</t>
  </si>
  <si>
    <t xml:space="preserve">IW-10</t>
  </si>
  <si>
    <t xml:space="preserve">XML, HTML, XHTML  Magic</t>
  </si>
  <si>
    <t xml:space="preserve">XML, HTML, XHTML</t>
  </si>
  <si>
    <t xml:space="preserve">Holzschlag, M.E.</t>
  </si>
  <si>
    <t xml:space="preserve">IW-11</t>
  </si>
  <si>
    <t xml:space="preserve">Learning Web Design</t>
  </si>
  <si>
    <t xml:space="preserve">Niederst, J.</t>
  </si>
  <si>
    <t xml:space="preserve">IW-12</t>
  </si>
  <si>
    <t xml:space="preserve">IW-13</t>
  </si>
  <si>
    <t xml:space="preserve">Just XML</t>
  </si>
  <si>
    <t xml:space="preserve">Simpson, J.E.</t>
  </si>
  <si>
    <t xml:space="preserve">IW-15</t>
  </si>
  <si>
    <t xml:space="preserve">Learning WML &amp; WML Script  </t>
  </si>
  <si>
    <t xml:space="preserve">WML &amp; WML SCRIPT</t>
  </si>
  <si>
    <t xml:space="preserve">Castagnetto, Rawat, Schumann, Scollo, Veliath</t>
  </si>
  <si>
    <t xml:space="preserve">IW-17</t>
  </si>
  <si>
    <t xml:space="preserve">XSLT  Programmer's Reference  </t>
  </si>
  <si>
    <t xml:space="preserve">XSLT</t>
  </si>
  <si>
    <t xml:space="preserve">Kay, Michael</t>
  </si>
  <si>
    <t xml:space="preserve">Wrox</t>
  </si>
  <si>
    <t xml:space="preserve">IW-18</t>
  </si>
  <si>
    <t xml:space="preserve">ASP  XML  Professional  </t>
  </si>
  <si>
    <t xml:space="preserve">ASP  XML</t>
  </si>
  <si>
    <t xml:space="preserve">IW-19</t>
  </si>
  <si>
    <t xml:space="preserve">XSLT  Working with XML and HTML  (CD Inc.) </t>
  </si>
  <si>
    <t xml:space="preserve">Khun Yee Fung</t>
  </si>
  <si>
    <t xml:space="preserve">IW-20</t>
  </si>
  <si>
    <t xml:space="preserve">Building Oracle XML Applications  (CD Inc.)  </t>
  </si>
  <si>
    <t xml:space="preserve">ORACLE XML</t>
  </si>
  <si>
    <t xml:space="preserve">Muench, S.</t>
  </si>
  <si>
    <t xml:space="preserve">IW-21</t>
  </si>
  <si>
    <t xml:space="preserve">XHTML  By Example  </t>
  </si>
  <si>
    <t xml:space="preserve">XHTML</t>
  </si>
  <si>
    <t xml:space="preserve">Navarro, A.</t>
  </si>
  <si>
    <t xml:space="preserve">IW-23</t>
  </si>
  <si>
    <t xml:space="preserve">Building Professional Web Sites with the Right Tools  </t>
  </si>
  <si>
    <t xml:space="preserve">Greenberg, J. &amp; Lakeland, J.R.</t>
  </si>
  <si>
    <t xml:space="preserve">Hewlett-Packard Books</t>
  </si>
  <si>
    <t xml:space="preserve">IW-25</t>
  </si>
  <si>
    <t xml:space="preserve">Designing Web Usability   </t>
  </si>
  <si>
    <t xml:space="preserve">Nielsen, J.</t>
  </si>
  <si>
    <t xml:space="preserve">IW-26</t>
  </si>
  <si>
    <t xml:space="preserve">Web Project Management  </t>
  </si>
  <si>
    <t xml:space="preserve">Friedlein, A.</t>
  </si>
  <si>
    <t xml:space="preserve">IW-27</t>
  </si>
  <si>
    <t xml:space="preserve">Designing Web Audio   </t>
  </si>
  <si>
    <t xml:space="preserve">REALAUDIO, MP3</t>
  </si>
  <si>
    <t xml:space="preserve">Beggs, J. &amp; Thede, D.</t>
  </si>
  <si>
    <t xml:space="preserve">IW-28</t>
  </si>
  <si>
    <t xml:space="preserve">The Complete Reference Web Design</t>
  </si>
  <si>
    <t xml:space="preserve">Powell, T.A.</t>
  </si>
  <si>
    <t xml:space="preserve">IW-29</t>
  </si>
  <si>
    <t xml:space="preserve">Homepage Usability, 50 Websites Deconstructed</t>
  </si>
  <si>
    <t xml:space="preserve">Neilsen, J. &amp; Tahir, M.</t>
  </si>
  <si>
    <t xml:space="preserve">IW-30</t>
  </si>
  <si>
    <t xml:space="preserve">The XML Companion</t>
  </si>
  <si>
    <t xml:space="preserve">Bradley, N.</t>
  </si>
  <si>
    <t xml:space="preserve">IW-31</t>
  </si>
  <si>
    <t xml:space="preserve">Measuring the Success of your Website</t>
  </si>
  <si>
    <t xml:space="preserve">Hurol Inan</t>
  </si>
  <si>
    <t xml:space="preserve">IW-33</t>
  </si>
  <si>
    <t xml:space="preserve">The Complete Idiot's Guide to Creating a Web Page  (CD Inc.)</t>
  </si>
  <si>
    <t xml:space="preserve">McFedeies, P.</t>
  </si>
  <si>
    <t xml:space="preserve">Alpha Books</t>
  </si>
  <si>
    <t xml:space="preserve">IW-34</t>
  </si>
  <si>
    <t xml:space="preserve">Building Internet Firewalls</t>
  </si>
  <si>
    <t xml:space="preserve">Zwicky, Cooper &amp; Chapman</t>
  </si>
  <si>
    <t xml:space="preserve">IW-35</t>
  </si>
  <si>
    <t xml:space="preserve">Web Privacy with P3P</t>
  </si>
  <si>
    <t xml:space="preserve">P3P</t>
  </si>
  <si>
    <t xml:space="preserve">Connor, L.F.</t>
  </si>
  <si>
    <t xml:space="preserve">IW-41</t>
  </si>
  <si>
    <t xml:space="preserve">Teach Your self HTML 4 in 24 Hours</t>
  </si>
  <si>
    <t xml:space="preserve">Oliver, D. &amp; Holzschlag, M.</t>
  </si>
  <si>
    <t xml:space="preserve">IW-42</t>
  </si>
  <si>
    <t xml:space="preserve">Web Design, Tools &amp; Techniques</t>
  </si>
  <si>
    <t xml:space="preserve">Kentie, P.</t>
  </si>
  <si>
    <t xml:space="preserve">IW-43</t>
  </si>
  <si>
    <t xml:space="preserve">Web Pages that Suck</t>
  </si>
  <si>
    <t xml:space="preserve">Flanders,V. &amp; Willis, M.</t>
  </si>
  <si>
    <t xml:space="preserve">IW-45</t>
  </si>
  <si>
    <t xml:space="preserve">Web Publisher's Design Guide Fopr Windows</t>
  </si>
  <si>
    <t xml:space="preserve">M J Fahey &amp; J W Brown</t>
  </si>
  <si>
    <t xml:space="preserve">Coriolis</t>
  </si>
  <si>
    <t xml:space="preserve">IW-47</t>
  </si>
  <si>
    <t xml:space="preserve">Complete Reference XML</t>
  </si>
  <si>
    <t xml:space="preserve">IW-48</t>
  </si>
  <si>
    <t xml:space="preserve">Essential Blogging</t>
  </si>
  <si>
    <t xml:space="preserve">Networks</t>
  </si>
  <si>
    <t xml:space="preserve">Doctorow, Dornfest, Johnson, et al</t>
  </si>
  <si>
    <t xml:space="preserve">IW-49</t>
  </si>
  <si>
    <t xml:space="preserve">Creating Web pages for Dummies 7th Edition</t>
  </si>
  <si>
    <t xml:space="preserve">Smith, B.E. &amp; Bebak, A.</t>
  </si>
  <si>
    <t xml:space="preserve">IW-50</t>
  </si>
  <si>
    <t xml:space="preserve">Beginning XHTML</t>
  </si>
  <si>
    <t xml:space="preserve">Boumphrey, Greer, Raggett, et al</t>
  </si>
  <si>
    <t xml:space="preserve">IW-51</t>
  </si>
  <si>
    <t xml:space="preserve">Beginning XML</t>
  </si>
  <si>
    <t xml:space="preserve">Hunter, D.</t>
  </si>
  <si>
    <t xml:space="preserve">IW-52</t>
  </si>
  <si>
    <t xml:space="preserve">Don't Make Me Think</t>
  </si>
  <si>
    <t xml:space="preserve">Krug, S.</t>
  </si>
  <si>
    <t xml:space="preserve">IW-55</t>
  </si>
  <si>
    <t xml:space="preserve">XML for Dummies</t>
  </si>
  <si>
    <t xml:space="preserve">Dykes, L. &amp; Tittel, E.</t>
  </si>
  <si>
    <t xml:space="preserve">IW-56</t>
  </si>
  <si>
    <t xml:space="preserve">RSS and ATOM</t>
  </si>
  <si>
    <t xml:space="preserve">RSS &amp; ATOM</t>
  </si>
  <si>
    <t xml:space="preserve">Hammersley,B.</t>
  </si>
  <si>
    <t xml:space="preserve">IW-57</t>
  </si>
  <si>
    <t xml:space="preserve">XHTML - Black Book</t>
  </si>
  <si>
    <t xml:space="preserve">IW-58</t>
  </si>
  <si>
    <t xml:space="preserve">Web Publishing with XML in 6 Easy Steps</t>
  </si>
  <si>
    <t xml:space="preserve">Pfaffenberger.B</t>
  </si>
  <si>
    <t xml:space="preserve">AP Professional</t>
  </si>
  <si>
    <t xml:space="preserve">IW-59</t>
  </si>
  <si>
    <t xml:space="preserve">Web Design for Dummies</t>
  </si>
  <si>
    <t xml:space="preserve">Lopuck, L.</t>
  </si>
  <si>
    <t xml:space="preserve">IW-60</t>
  </si>
  <si>
    <t xml:space="preserve">Foundation Web Design</t>
  </si>
  <si>
    <t xml:space="preserve">Bhangal,s. &amp; Jankowaski, T.</t>
  </si>
  <si>
    <t xml:space="preserve">IW-61</t>
  </si>
  <si>
    <t xml:space="preserve">DHTML Utopia - Modern Web Design</t>
  </si>
  <si>
    <t xml:space="preserve">Langridge, S.</t>
  </si>
  <si>
    <t xml:space="preserve">Sitepoint</t>
  </si>
  <si>
    <t xml:space="preserve">IW-62</t>
  </si>
  <si>
    <t xml:space="preserve">IW-63</t>
  </si>
  <si>
    <t xml:space="preserve">HTML Black Book</t>
  </si>
  <si>
    <t xml:space="preserve">IW-64</t>
  </si>
  <si>
    <t xml:space="preserve">Designing Web Interfaces</t>
  </si>
  <si>
    <t xml:space="preserve">Rees, White, &amp; White</t>
  </si>
  <si>
    <t xml:space="preserve">IW-65</t>
  </si>
  <si>
    <t xml:space="preserve">IW-66</t>
  </si>
  <si>
    <t xml:space="preserve">XHTML Example by Example</t>
  </si>
  <si>
    <t xml:space="preserve">Walsh,Q.E. &amp; Raggett, D.</t>
  </si>
  <si>
    <t xml:space="preserve">IW-67</t>
  </si>
  <si>
    <t xml:space="preserve">Several</t>
  </si>
  <si>
    <t xml:space="preserve">IW-68</t>
  </si>
  <si>
    <t xml:space="preserve">The Web Writer's Guide</t>
  </si>
  <si>
    <t xml:space="preserve">Maciuba-Koppel, D.</t>
  </si>
  <si>
    <t xml:space="preserve">IW-69</t>
  </si>
  <si>
    <t xml:space="preserve">Web Designers Guide to Color</t>
  </si>
  <si>
    <t xml:space="preserve">Golding, M &amp; White, D.</t>
  </si>
  <si>
    <t xml:space="preserve">IW-70</t>
  </si>
  <si>
    <t xml:space="preserve">Cascading Style Sheets</t>
  </si>
  <si>
    <t xml:space="preserve">Meyer, E.</t>
  </si>
  <si>
    <t xml:space="preserve">IW-71</t>
  </si>
  <si>
    <t xml:space="preserve">Interactive Web Graphics</t>
  </si>
  <si>
    <t xml:space="preserve">SHOUT</t>
  </si>
  <si>
    <t xml:space="preserve">Polevoi, R.</t>
  </si>
  <si>
    <t xml:space="preserve">IW-73</t>
  </si>
  <si>
    <t xml:space="preserve">Web Design In Easy Steps</t>
  </si>
  <si>
    <t xml:space="preserve">Austin, B.</t>
  </si>
  <si>
    <t xml:space="preserve">IW-74</t>
  </si>
  <si>
    <t xml:space="preserve">Web Design, A Beginner's Guide</t>
  </si>
  <si>
    <t xml:space="preserve">Willard, W.</t>
  </si>
  <si>
    <t xml:space="preserve">IW-75</t>
  </si>
  <si>
    <t xml:space="preserve">Creating Web pages for Dummies 4th Edition</t>
  </si>
  <si>
    <t xml:space="preserve">IW-76</t>
  </si>
  <si>
    <t xml:space="preserve">WordPress The Missing Manual</t>
  </si>
  <si>
    <t xml:space="preserve">Matthew MacDonald</t>
  </si>
  <si>
    <t xml:space="preserve">O'reilly</t>
  </si>
  <si>
    <t xml:space="preserve">IW-78</t>
  </si>
  <si>
    <t xml:space="preserve">HTML &amp; XML for beginners</t>
  </si>
  <si>
    <t xml:space="preserve">HTML &amp; XML</t>
  </si>
  <si>
    <t xml:space="preserve">Internet development</t>
  </si>
  <si>
    <t xml:space="preserve">Morrison, M.</t>
  </si>
  <si>
    <t xml:space="preserve">IW-79</t>
  </si>
  <si>
    <t xml:space="preserve">HTML, XHTML, and CSS Bible</t>
  </si>
  <si>
    <t xml:space="preserve">HTML, XHTML, CSS</t>
  </si>
  <si>
    <t xml:space="preserve">Schafer, S. M.</t>
  </si>
  <si>
    <t xml:space="preserve">IW-80</t>
  </si>
  <si>
    <t xml:space="preserve">Teach Yourself Visually WordPress, 3rd edition</t>
  </si>
  <si>
    <t xml:space="preserve">Plumley, G.</t>
  </si>
  <si>
    <t xml:space="preserve">IW-81</t>
  </si>
  <si>
    <t xml:space="preserve">Building a Website for Dummies</t>
  </si>
  <si>
    <t xml:space="preserve">MAC-02</t>
  </si>
  <si>
    <t xml:space="preserve">Mac OSX Panther</t>
  </si>
  <si>
    <t xml:space="preserve">MACINTOSH</t>
  </si>
  <si>
    <t xml:space="preserve">Macintosh</t>
  </si>
  <si>
    <t xml:space="preserve">Davidson,J.D.</t>
  </si>
  <si>
    <t xml:space="preserve">MAC-03</t>
  </si>
  <si>
    <t xml:space="preserve">AppleWorks 6, The Missing Manual</t>
  </si>
  <si>
    <t xml:space="preserve">Elferdink, J. &amp; Reynolds, D.</t>
  </si>
  <si>
    <t xml:space="preserve">Pogue Press</t>
  </si>
  <si>
    <t xml:space="preserve">MAC-04</t>
  </si>
  <si>
    <t xml:space="preserve">Unix for Mac OX X</t>
  </si>
  <si>
    <t xml:space="preserve">Taylor, D. &amp; Jepson, B.</t>
  </si>
  <si>
    <t xml:space="preserve">MAC-05</t>
  </si>
  <si>
    <t xml:space="preserve">Beyond the little MAC Book</t>
  </si>
  <si>
    <t xml:space="preserve">Brobak, S. &amp; Williams R.</t>
  </si>
  <si>
    <t xml:space="preserve">MAC-06</t>
  </si>
  <si>
    <t xml:space="preserve">Switching to the Mac. The Missing Manual.</t>
  </si>
  <si>
    <t xml:space="preserve">Computing Macintosh</t>
  </si>
  <si>
    <t xml:space="preserve">Pogue Press, O'Reilly</t>
  </si>
  <si>
    <t xml:space="preserve">MAC-07</t>
  </si>
  <si>
    <t xml:space="preserve">Macs for Dummies</t>
  </si>
  <si>
    <t xml:space="preserve">IOS</t>
  </si>
  <si>
    <t xml:space="preserve">Apple Mac</t>
  </si>
  <si>
    <t xml:space="preserve">Baig, E. C.</t>
  </si>
  <si>
    <t xml:space="preserve">MAC-08</t>
  </si>
  <si>
    <t xml:space="preserve">Apple Computing for Seniors in Easy Steps</t>
  </si>
  <si>
    <t xml:space="preserve">APPLE</t>
  </si>
  <si>
    <t xml:space="preserve">Apple</t>
  </si>
  <si>
    <t xml:space="preserve">MAC-09</t>
  </si>
  <si>
    <t xml:space="preserve">Teach Yourself Visually MacBook, 3rd edition</t>
  </si>
  <si>
    <t xml:space="preserve">Hart-Davis, G.</t>
  </si>
  <si>
    <t xml:space="preserve">MAP-01</t>
  </si>
  <si>
    <t xml:space="preserve">Programming MapPoint in .NET</t>
  </si>
  <si>
    <t xml:space="preserve">Mapping</t>
  </si>
  <si>
    <t xml:space="preserve">Thota,C.</t>
  </si>
  <si>
    <t xml:space="preserve">MAP-02</t>
  </si>
  <si>
    <t xml:space="preserve">Mapping Hacks, Tips &amp; Tools for Electronic Cartography</t>
  </si>
  <si>
    <t xml:space="preserve">Erle, Gibson, &amp; Walsh</t>
  </si>
  <si>
    <t xml:space="preserve">MAP-03</t>
  </si>
  <si>
    <t xml:space="preserve">Web Mapping</t>
  </si>
  <si>
    <t xml:space="preserve">Mitchell, T.</t>
  </si>
  <si>
    <t xml:space="preserve">MAP-04</t>
  </si>
  <si>
    <t xml:space="preserve">Ambient Findability</t>
  </si>
  <si>
    <t xml:space="preserve">Morville, P.</t>
  </si>
  <si>
    <t xml:space="preserve">MU-14</t>
  </si>
  <si>
    <t xml:space="preserve">Flash 5 Virtual Classroom  (CD Inc.)</t>
  </si>
  <si>
    <t xml:space="preserve">FLASH 5</t>
  </si>
  <si>
    <t xml:space="preserve">Multimedia</t>
  </si>
  <si>
    <t xml:space="preserve">Sahlin, D.</t>
  </si>
  <si>
    <t xml:space="preserve">MU-15</t>
  </si>
  <si>
    <t xml:space="preserve">ActionScript, The Definitive Guide</t>
  </si>
  <si>
    <t xml:space="preserve">ACTIONSCRIPT</t>
  </si>
  <si>
    <t xml:space="preserve">MU-16</t>
  </si>
  <si>
    <t xml:space="preserve">Flash ActionScript, f/x &amp; Design   (CD Inc.)</t>
  </si>
  <si>
    <t xml:space="preserve">FLASH ACTIONSCRIPT</t>
  </si>
  <si>
    <t xml:space="preserve">Sanders, B.</t>
  </si>
  <si>
    <t xml:space="preserve">MU-17</t>
  </si>
  <si>
    <t xml:space="preserve">DreamWeaver 2 for Windows &amp; Macintosh</t>
  </si>
  <si>
    <t xml:space="preserve">DREAMWEAVER 2</t>
  </si>
  <si>
    <t xml:space="preserve">Tarin Towers, J.</t>
  </si>
  <si>
    <t xml:space="preserve">MU-18</t>
  </si>
  <si>
    <t xml:space="preserve">Fireworks 2 for Windows &amp; Macintosh</t>
  </si>
  <si>
    <t xml:space="preserve">FIREWORKS 2</t>
  </si>
  <si>
    <t xml:space="preserve">MU-19</t>
  </si>
  <si>
    <t xml:space="preserve">Flash 4 for Windows &amp; Macintosh</t>
  </si>
  <si>
    <t xml:space="preserve">Ulrich, K.</t>
  </si>
  <si>
    <t xml:space="preserve">MU-20</t>
  </si>
  <si>
    <t xml:space="preserve">Flash 4 Creative Web Animation  (CD Included)</t>
  </si>
  <si>
    <t xml:space="preserve">MU-25</t>
  </si>
  <si>
    <t xml:space="preserve">The Complete Idiots Guide to Creating Your Own CD's</t>
  </si>
  <si>
    <t xml:space="preserve">Ogletree, T.W.</t>
  </si>
  <si>
    <t xml:space="preserve">MU-26</t>
  </si>
  <si>
    <t xml:space="preserve">The Little Audio CD Book</t>
  </si>
  <si>
    <t xml:space="preserve">Starrett,B. &amp; McDaniel, J.</t>
  </si>
  <si>
    <t xml:space="preserve">MU-27</t>
  </si>
  <si>
    <t xml:space="preserve">iPod, The Missing Manual</t>
  </si>
  <si>
    <t xml:space="preserve">IPOD</t>
  </si>
  <si>
    <t xml:space="preserve">Biersdorf, J.D.</t>
  </si>
  <si>
    <t xml:space="preserve">MU-29</t>
  </si>
  <si>
    <t xml:space="preserve">iPod &amp; Tunes, The Missing Manual</t>
  </si>
  <si>
    <t xml:space="preserve">iPOD</t>
  </si>
  <si>
    <t xml:space="preserve">MU-31</t>
  </si>
  <si>
    <t xml:space="preserve">Flash out of the Box   (CD Inc.)</t>
  </si>
  <si>
    <t xml:space="preserve">FLASH</t>
  </si>
  <si>
    <t xml:space="preserve">Hoekman, R.</t>
  </si>
  <si>
    <t xml:space="preserve">MU-32</t>
  </si>
  <si>
    <t xml:space="preserve">Roxio-Easy Media Creator for Dummies</t>
  </si>
  <si>
    <t xml:space="preserve">Roxio</t>
  </si>
  <si>
    <t xml:space="preserve">Harvey, H.</t>
  </si>
  <si>
    <t xml:space="preserve">MU-33</t>
  </si>
  <si>
    <t xml:space="preserve">The Complete Idiot's Guide to Creating Your Own CDs</t>
  </si>
  <si>
    <t xml:space="preserve">Ogtree, T. W.</t>
  </si>
  <si>
    <t xml:space="preserve">MU-34</t>
  </si>
  <si>
    <t xml:space="preserve">Creating your own great DVD's &amp; CD's</t>
  </si>
  <si>
    <t xml:space="preserve">MU-35</t>
  </si>
  <si>
    <t xml:space="preserve">I Want My MP3  (CD Inc.)</t>
  </si>
  <si>
    <t xml:space="preserve">Mann, Bill</t>
  </si>
  <si>
    <t xml:space="preserve">MU-36</t>
  </si>
  <si>
    <t xml:space="preserve">PC Music</t>
  </si>
  <si>
    <t xml:space="preserve">Vincent, R.</t>
  </si>
  <si>
    <t xml:space="preserve">PC Publishing</t>
  </si>
  <si>
    <t xml:space="preserve">MU-37</t>
  </si>
  <si>
    <t xml:space="preserve">Dreamweaver For Windows &amp; Macintosh</t>
  </si>
  <si>
    <t xml:space="preserve">Towers, J. T.</t>
  </si>
  <si>
    <t xml:space="preserve">MU-38</t>
  </si>
  <si>
    <t xml:space="preserve">Macromedia Fireworks 3</t>
  </si>
  <si>
    <t xml:space="preserve">FIREWORKS 3</t>
  </si>
  <si>
    <t xml:space="preserve">Macromedia</t>
  </si>
  <si>
    <t xml:space="preserve">MU-39</t>
  </si>
  <si>
    <t xml:space="preserve">Extending Dreamweaver 3</t>
  </si>
  <si>
    <t xml:space="preserve">DREAMWEAVER 3</t>
  </si>
  <si>
    <t xml:space="preserve">MU-40</t>
  </si>
  <si>
    <t xml:space="preserve">Realplayer Plus</t>
  </si>
  <si>
    <t xml:space="preserve">REALPLAYER</t>
  </si>
  <si>
    <t xml:space="preserve">Real Networks</t>
  </si>
  <si>
    <t xml:space="preserve">MU-41</t>
  </si>
  <si>
    <t xml:space="preserve">Flash Site Workshop</t>
  </si>
  <si>
    <t xml:space="preserve">Millburn, K.</t>
  </si>
  <si>
    <t xml:space="preserve">MU-42</t>
  </si>
  <si>
    <t xml:space="preserve">Flash MX Actionscript Bible</t>
  </si>
  <si>
    <t xml:space="preserve">FLASH-ACTIONSCRIPT</t>
  </si>
  <si>
    <t xml:space="preserve">Reinhardt, R.&amp; Lott, J </t>
  </si>
  <si>
    <t xml:space="preserve">MU-43</t>
  </si>
  <si>
    <t xml:space="preserve">Macromedia Flash 8 Bible </t>
  </si>
  <si>
    <t xml:space="preserve">FLASH 8</t>
  </si>
  <si>
    <t xml:space="preserve">Reinhardt, R. &amp; Dowd,S.</t>
  </si>
  <si>
    <t xml:space="preserve">MU-44</t>
  </si>
  <si>
    <t xml:space="preserve">Macromedia Flash Advanced</t>
  </si>
  <si>
    <t xml:space="preserve">Chun, R. &amp; Garraffo, J.</t>
  </si>
  <si>
    <t xml:space="preserve">MU-45</t>
  </si>
  <si>
    <t xml:space="preserve">Flash Remoting</t>
  </si>
  <si>
    <t xml:space="preserve">Muck, T.</t>
  </si>
  <si>
    <t xml:space="preserve">MU-46</t>
  </si>
  <si>
    <t xml:space="preserve">Flash MX Developer</t>
  </si>
  <si>
    <t xml:space="preserve">Tanksley, Bayes &amp; Elstad</t>
  </si>
  <si>
    <t xml:space="preserve">Macromedia press</t>
  </si>
  <si>
    <t xml:space="preserve">MU-47</t>
  </si>
  <si>
    <t xml:space="preserve">Flash MX 2004 Developer Study Guide</t>
  </si>
  <si>
    <t xml:space="preserve">Voerman, V.</t>
  </si>
  <si>
    <t xml:space="preserve">MU-48</t>
  </si>
  <si>
    <t xml:space="preserve">Object-Oriented Programming with Actionscript 2.0</t>
  </si>
  <si>
    <t xml:space="preserve">ACTIONSCRIPT 2.0</t>
  </si>
  <si>
    <t xml:space="preserve">Tapper, Talbot &amp; Haffner</t>
  </si>
  <si>
    <t xml:space="preserve">MU-49</t>
  </si>
  <si>
    <t xml:space="preserve">Actionscript 2.0 Dictionary </t>
  </si>
  <si>
    <t xml:space="preserve">Macromedis press</t>
  </si>
  <si>
    <t xml:space="preserve">MU-50</t>
  </si>
  <si>
    <t xml:space="preserve">ColdFusion MX with Dreamweaver MX</t>
  </si>
  <si>
    <t xml:space="preserve">COLDFUSION MX</t>
  </si>
  <si>
    <t xml:space="preserve">Golden, D.</t>
  </si>
  <si>
    <t xml:space="preserve">MU-51</t>
  </si>
  <si>
    <t xml:space="preserve">ColdFusion MX - Flash MX Integration</t>
  </si>
  <si>
    <t xml:space="preserve">Forta, B. et al</t>
  </si>
  <si>
    <t xml:space="preserve">MU-52</t>
  </si>
  <si>
    <t xml:space="preserve">ColdFusion MX Web Application Construction</t>
  </si>
  <si>
    <t xml:space="preserve">Forta, B. &amp; Weiss, N.</t>
  </si>
  <si>
    <t xml:space="preserve">MU-53</t>
  </si>
  <si>
    <t xml:space="preserve">ColdFusion MX Web Application Development</t>
  </si>
  <si>
    <t xml:space="preserve">MU-54</t>
  </si>
  <si>
    <t xml:space="preserve">Discovering Fusebox With ColdFusion</t>
  </si>
  <si>
    <t xml:space="preserve">J.Q-von-tivadar</t>
  </si>
  <si>
    <t xml:space="preserve">Techspedition</t>
  </si>
  <si>
    <t xml:space="preserve">MU-55</t>
  </si>
  <si>
    <t xml:space="preserve">Fusebox - Developing ColdFusion Applications</t>
  </si>
  <si>
    <t xml:space="preserve">Peters, J. &amp; Papovich,N.</t>
  </si>
  <si>
    <t xml:space="preserve">MU-56</t>
  </si>
  <si>
    <t xml:space="preserve">Developing Killer Web Apps with Dreamweaver MX and C#</t>
  </si>
  <si>
    <t xml:space="preserve">DREAMWEAVER  MX</t>
  </si>
  <si>
    <t xml:space="preserve">White, C.</t>
  </si>
  <si>
    <t xml:space="preserve">SYBEX</t>
  </si>
  <si>
    <t xml:space="preserve">MU-57</t>
  </si>
  <si>
    <t xml:space="preserve">AS. NET  Development with Dreamweaver MX</t>
  </si>
  <si>
    <t xml:space="preserve">Parnell, R. &amp; Martinez, J.</t>
  </si>
  <si>
    <t xml:space="preserve">MU-58</t>
  </si>
  <si>
    <t xml:space="preserve">How to do Everything With Dreamweaver 4</t>
  </si>
  <si>
    <t xml:space="preserve">DREAMWEAVER 4</t>
  </si>
  <si>
    <t xml:space="preserve">Meadhra, M.</t>
  </si>
  <si>
    <t xml:space="preserve">MU-59</t>
  </si>
  <si>
    <t xml:space="preserve">Macromedia  Dreamweaver 8</t>
  </si>
  <si>
    <t xml:space="preserve">DREAMWEAVER 8</t>
  </si>
  <si>
    <t xml:space="preserve">Bishop, S.</t>
  </si>
  <si>
    <t xml:space="preserve">MU-60</t>
  </si>
  <si>
    <t xml:space="preserve">Foundation Flash 5</t>
  </si>
  <si>
    <t xml:space="preserve">Bhangal, Farr, Rey</t>
  </si>
  <si>
    <t xml:space="preserve">MU-61</t>
  </si>
  <si>
    <t xml:space="preserve">MU-62</t>
  </si>
  <si>
    <t xml:space="preserve">Flash 5 for Windows &amp; Macintosh</t>
  </si>
  <si>
    <t xml:space="preserve">MU-63</t>
  </si>
  <si>
    <t xml:space="preserve">Adobe Dreamweaver CS4 Revealed</t>
  </si>
  <si>
    <t xml:space="preserve">Delmar, Cengage Learning</t>
  </si>
  <si>
    <t xml:space="preserve">MU-64</t>
  </si>
  <si>
    <t xml:space="preserve">Teach Yourself Visually Dreamweaver CS3</t>
  </si>
  <si>
    <t xml:space="preserve">Warner, J. C.</t>
  </si>
  <si>
    <t xml:space="preserve">NE-07</t>
  </si>
  <si>
    <t xml:space="preserve">Networking Home PCs for Dummies  (CD Inc.)</t>
  </si>
  <si>
    <t xml:space="preserve">Ivens, K.</t>
  </si>
  <si>
    <t xml:space="preserve">NE-13</t>
  </si>
  <si>
    <t xml:space="preserve">Home Networking Bible</t>
  </si>
  <si>
    <t xml:space="preserve">Plumley, S.</t>
  </si>
  <si>
    <t xml:space="preserve">NE-14</t>
  </si>
  <si>
    <t xml:space="preserve">Managing Windows 2000 Network Services</t>
  </si>
  <si>
    <t xml:space="preserve">WINDOWS 2000</t>
  </si>
  <si>
    <t xml:space="preserve">Shinder, Shinder &amp; Hinkle</t>
  </si>
  <si>
    <t xml:space="preserve">NE-15</t>
  </si>
  <si>
    <t xml:space="preserve">Troubleshooting Windows 2000 TCP/IP</t>
  </si>
  <si>
    <t xml:space="preserve">Shinder, D.L. &amp; Shinder, T.W. </t>
  </si>
  <si>
    <t xml:space="preserve">NE-16</t>
  </si>
  <si>
    <t xml:space="preserve">SNMP v1 &amp; 2.  Simple Network Management Protocol.</t>
  </si>
  <si>
    <t xml:space="preserve">Hein, M. &amp; Griffiths, D.</t>
  </si>
  <si>
    <t xml:space="preserve">International Thomson</t>
  </si>
  <si>
    <t xml:space="preserve">NE-17</t>
  </si>
  <si>
    <t xml:space="preserve">MSCE Windows 2000 Network Administration Guide</t>
  </si>
  <si>
    <t xml:space="preserve">Osbourne McGraw Hill</t>
  </si>
  <si>
    <t xml:space="preserve">NE-19</t>
  </si>
  <si>
    <t xml:space="preserve">Kerberos - A Network Authentication System</t>
  </si>
  <si>
    <t xml:space="preserve">KERBEROS</t>
  </si>
  <si>
    <t xml:space="preserve">Tung, K.</t>
  </si>
  <si>
    <t xml:space="preserve">NE-21</t>
  </si>
  <si>
    <t xml:space="preserve">Exchange 2000 Server Administration - A Beginner's Guide</t>
  </si>
  <si>
    <t xml:space="preserve">English, B &amp; Cavalancia, N</t>
  </si>
  <si>
    <t xml:space="preserve">NE-22</t>
  </si>
  <si>
    <t xml:space="preserve">MSCE Windows 2000 Accelerated Study Guide</t>
  </si>
  <si>
    <t xml:space="preserve">NE-23</t>
  </si>
  <si>
    <t xml:space="preserve">MCSE  Windows 2000 Accelerated, Test Yourself (CD Included)</t>
  </si>
  <si>
    <t xml:space="preserve">NE-24</t>
  </si>
  <si>
    <t xml:space="preserve">MCSE  Windows 2000 Accelerated, Instructor's Pack. (CD Included)</t>
  </si>
  <si>
    <t xml:space="preserve">NE-25</t>
  </si>
  <si>
    <t xml:space="preserve">Delivering Voice over IP Networks</t>
  </si>
  <si>
    <t xml:space="preserve">NE-28</t>
  </si>
  <si>
    <t xml:space="preserve">PC Anywhere for Dummies</t>
  </si>
  <si>
    <t xml:space="preserve">NE-29</t>
  </si>
  <si>
    <t xml:space="preserve">Using Networks</t>
  </si>
  <si>
    <t xml:space="preserve">Derfler, F.J. </t>
  </si>
  <si>
    <t xml:space="preserve">NE-30</t>
  </si>
  <si>
    <t xml:space="preserve">MCSE Designing Windows 2000 Directory Service</t>
  </si>
  <si>
    <t xml:space="preserve">NE-32</t>
  </si>
  <si>
    <t xml:space="preserve">MCSE Readiness Review.  Windows NT Server 4.0 (CD Missing)</t>
  </si>
  <si>
    <t xml:space="preserve">SERVER 4.0</t>
  </si>
  <si>
    <t xml:space="preserve">Wilansky, E.</t>
  </si>
  <si>
    <t xml:space="preserve">NE-33</t>
  </si>
  <si>
    <t xml:space="preserve">MCSE Readiness Review. Internet Information Server 4.0 (CD Missing)</t>
  </si>
  <si>
    <t xml:space="preserve">Semick, J.</t>
  </si>
  <si>
    <t xml:space="preserve">NE-34</t>
  </si>
  <si>
    <t xml:space="preserve">MCSE Simulation Guide, Windows NT Server 4 &amp; Enterprise</t>
  </si>
  <si>
    <t xml:space="preserve">Bixler, D.</t>
  </si>
  <si>
    <t xml:space="preserve">NE-35</t>
  </si>
  <si>
    <t xml:space="preserve">MCSE NT Server 4 &amp; in the Enterprise</t>
  </si>
  <si>
    <t xml:space="preserve">Donald,L. &amp; Chellis, J.</t>
  </si>
  <si>
    <t xml:space="preserve">NE-36</t>
  </si>
  <si>
    <t xml:space="preserve">MCSE Networking Essentials 2nd Edition (CD Included)</t>
  </si>
  <si>
    <t xml:space="preserve">NE-37</t>
  </si>
  <si>
    <t xml:space="preserve">MCSE Internet Information Server 4 Training  (CD Missing)</t>
  </si>
  <si>
    <t xml:space="preserve">NE-38</t>
  </si>
  <si>
    <t xml:space="preserve">MCSE Proxy Server 2.0 Training (CD Missing)</t>
  </si>
  <si>
    <t xml:space="preserve">PROXY SERVER 2.0</t>
  </si>
  <si>
    <t xml:space="preserve">NE-39</t>
  </si>
  <si>
    <t xml:space="preserve">MCSE Internet Information Server 4 for Dummies (CD Missing)</t>
  </si>
  <si>
    <t xml:space="preserve">Iseminger, D.</t>
  </si>
  <si>
    <t xml:space="preserve">NE-40</t>
  </si>
  <si>
    <t xml:space="preserve">MCSE Windows NT Workstation 4 (CD Missing)</t>
  </si>
  <si>
    <t xml:space="preserve">WINDOWS NT</t>
  </si>
  <si>
    <t xml:space="preserve">Kendzierski, M.</t>
  </si>
  <si>
    <t xml:space="preserve">NE-41</t>
  </si>
  <si>
    <t xml:space="preserve">MCSE IIS 4 Exam 70-087</t>
  </si>
  <si>
    <t xml:space="preserve">Stewart,J.M. &amp; Chandak, R&gt;</t>
  </si>
  <si>
    <t xml:space="preserve">NE-44</t>
  </si>
  <si>
    <t xml:space="preserve">A+ Certification Bible</t>
  </si>
  <si>
    <t xml:space="preserve">A+ MCSE</t>
  </si>
  <si>
    <t xml:space="preserve">Tetz, Clarke, Phillips</t>
  </si>
  <si>
    <t xml:space="preserve">NE-45</t>
  </si>
  <si>
    <t xml:space="preserve">Microsoft Exchange Server 2003</t>
  </si>
  <si>
    <t xml:space="preserve">Redmond, T.</t>
  </si>
  <si>
    <t xml:space="preserve">Elsevier Digital Press</t>
  </si>
  <si>
    <t xml:space="preserve">NE-47</t>
  </si>
  <si>
    <t xml:space="preserve">Head First Servlets &amp; JSP</t>
  </si>
  <si>
    <t xml:space="preserve">SERVLETS &amp; JSP</t>
  </si>
  <si>
    <t xml:space="preserve">Basham, Sierra, bates.</t>
  </si>
  <si>
    <t xml:space="preserve">NE-48</t>
  </si>
  <si>
    <t xml:space="preserve">Home Networking for Dummies</t>
  </si>
  <si>
    <t xml:space="preserve">NE-50</t>
  </si>
  <si>
    <t xml:space="preserve">Networking Complete</t>
  </si>
  <si>
    <t xml:space="preserve">NE-51</t>
  </si>
  <si>
    <t xml:space="preserve">Networking for Dummies, 11th edition</t>
  </si>
  <si>
    <t xml:space="preserve">NE-52</t>
  </si>
  <si>
    <t xml:space="preserve">Blockchain for Dummies</t>
  </si>
  <si>
    <t xml:space="preserve">Laurence, T.</t>
  </si>
  <si>
    <t xml:space="preserve">NE-53</t>
  </si>
  <si>
    <t xml:space="preserve">Blockchain Basics</t>
  </si>
  <si>
    <t xml:space="preserve">Drescher, D.</t>
  </si>
  <si>
    <t xml:space="preserve">NEC-01</t>
  </si>
  <si>
    <t xml:space="preserve">Get Cisco Certified &amp; Get Ahead</t>
  </si>
  <si>
    <t xml:space="preserve">CISCO</t>
  </si>
  <si>
    <t xml:space="preserve">Martinez, A.</t>
  </si>
  <si>
    <t xml:space="preserve">NEC-02</t>
  </si>
  <si>
    <t xml:space="preserve">Cisco Voice over IP</t>
  </si>
  <si>
    <t xml:space="preserve">Lewis, E.</t>
  </si>
  <si>
    <t xml:space="preserve">Synpress</t>
  </si>
  <si>
    <t xml:space="preserve">NEC-04</t>
  </si>
  <si>
    <t xml:space="preserve">CCIE Prep.com Study Guide</t>
  </si>
  <si>
    <t xml:space="preserve">Rossi, L.D., L.R., Thomas.</t>
  </si>
  <si>
    <t xml:space="preserve">Genium Publishing</t>
  </si>
  <si>
    <t xml:space="preserve">NEN-12</t>
  </si>
  <si>
    <t xml:space="preserve">Network Troubleshooting Tools</t>
  </si>
  <si>
    <t xml:space="preserve">Sloan, J.D.</t>
  </si>
  <si>
    <t xml:space="preserve">NEN-13</t>
  </si>
  <si>
    <t xml:space="preserve">How Networks Work</t>
  </si>
  <si>
    <t xml:space="preserve">Derfler, F.J. &amp; Freed, L.</t>
  </si>
  <si>
    <t xml:space="preserve">NEN-15</t>
  </si>
  <si>
    <t xml:space="preserve">Introduction to Information Systems</t>
  </si>
  <si>
    <t xml:space="preserve">O'Brien, J.A.</t>
  </si>
  <si>
    <t xml:space="preserve">NEN-16</t>
  </si>
  <si>
    <t xml:space="preserve">Introduction to Data Communications &amp; Networking</t>
  </si>
  <si>
    <t xml:space="preserve">Forouzian&lt; B.</t>
  </si>
  <si>
    <t xml:space="preserve">NEN-18</t>
  </si>
  <si>
    <t xml:space="preserve">Introduction to Networking - 2nd Edition</t>
  </si>
  <si>
    <t xml:space="preserve">Currid, C.C. &amp; Eggleston, M.A.</t>
  </si>
  <si>
    <t xml:space="preserve">Novell Press</t>
  </si>
  <si>
    <t xml:space="preserve">NEN-19</t>
  </si>
  <si>
    <t xml:space="preserve">NEN-21</t>
  </si>
  <si>
    <t xml:space="preserve">Netware 5 CNA Accelerated Study Guide </t>
  </si>
  <si>
    <t xml:space="preserve">NETWARE 5</t>
  </si>
  <si>
    <t xml:space="preserve">Cady, D.</t>
  </si>
  <si>
    <t xml:space="preserve">NEN-22</t>
  </si>
  <si>
    <t xml:space="preserve">Microsoft SQL Server Introduction</t>
  </si>
  <si>
    <t xml:space="preserve">SQL SERVER</t>
  </si>
  <si>
    <t xml:space="preserve">NEN-23</t>
  </si>
  <si>
    <t xml:space="preserve">Microsoft SQL Server 7</t>
  </si>
  <si>
    <t xml:space="preserve">SQL SERVER 7  </t>
  </si>
  <si>
    <t xml:space="preserve">McGee, B.</t>
  </si>
  <si>
    <t xml:space="preserve">NEN-24</t>
  </si>
  <si>
    <t xml:space="preserve">SQL Server 6.5 Unleashed  (CD Missing)</t>
  </si>
  <si>
    <t xml:space="preserve">SQL SERVER 6.5</t>
  </si>
  <si>
    <t xml:space="preserve">Solomon, D. &amp; Rankins, R.</t>
  </si>
  <si>
    <t xml:space="preserve">NEN-25</t>
  </si>
  <si>
    <t xml:space="preserve">SQL Server 7.0 Unleashed  (CD Missing)</t>
  </si>
  <si>
    <t xml:space="preserve">SQL SERVER 7.0</t>
  </si>
  <si>
    <t xml:space="preserve">Bjeletich, S. &amp; Mable, G.</t>
  </si>
  <si>
    <t xml:space="preserve">NEN-26</t>
  </si>
  <si>
    <t xml:space="preserve">SQL Server 7.0 Database Implementation Training Kit  (CD Inc.)</t>
  </si>
  <si>
    <t xml:space="preserve">NEN-27</t>
  </si>
  <si>
    <t xml:space="preserve">Active Server Pages 2.0</t>
  </si>
  <si>
    <t xml:space="preserve">ACTIVE SERVER</t>
  </si>
  <si>
    <t xml:space="preserve">Walther&lt; S.</t>
  </si>
  <si>
    <t xml:space="preserve">NEN-29</t>
  </si>
  <si>
    <t xml:space="preserve">Introduction To Networking</t>
  </si>
  <si>
    <t xml:space="preserve">McMahon, R.A.</t>
  </si>
  <si>
    <t xml:space="preserve">NEN-30</t>
  </si>
  <si>
    <t xml:space="preserve">Microsoft Official NetMeeting Book</t>
  </si>
  <si>
    <t xml:space="preserve">Summer, B.</t>
  </si>
  <si>
    <t xml:space="preserve">NEN-32</t>
  </si>
  <si>
    <t xml:space="preserve">Microsoft Exchange Server  in a Nutshell</t>
  </si>
  <si>
    <t xml:space="preserve">EXCHANGE SERVER</t>
  </si>
  <si>
    <t xml:space="preserve">Tulloch, M.</t>
  </si>
  <si>
    <t xml:space="preserve">NEN-34</t>
  </si>
  <si>
    <t xml:space="preserve">MCSE Windows Not Server 4 for Dummies</t>
  </si>
  <si>
    <t xml:space="preserve">WIN  NT SERVER 4</t>
  </si>
  <si>
    <t xml:space="preserve">Majors, Dermon, &amp; Ferris</t>
  </si>
  <si>
    <t xml:space="preserve">NEN-35</t>
  </si>
  <si>
    <t xml:space="preserve">MCSE Internet Information Server 4 for Dummies</t>
  </si>
  <si>
    <t xml:space="preserve">NEN-36</t>
  </si>
  <si>
    <t xml:space="preserve">MCSE Windows NT Server 4 for Dummies</t>
  </si>
  <si>
    <t xml:space="preserve">Majors &amp; McTague</t>
  </si>
  <si>
    <t xml:space="preserve">NEN-37</t>
  </si>
  <si>
    <t xml:space="preserve">MCSE Exchange Server 5.5</t>
  </si>
  <si>
    <t xml:space="preserve">WIN  NT SERVER 5.5</t>
  </si>
  <si>
    <t xml:space="preserve">Rachui, S. &amp; Simmons, c.</t>
  </si>
  <si>
    <t xml:space="preserve">NEN-38</t>
  </si>
  <si>
    <t xml:space="preserve">Microsoft Windows NT Server 4.0 Administrators Pocket Consultant</t>
  </si>
  <si>
    <t xml:space="preserve">WIN NT SERVER 4</t>
  </si>
  <si>
    <t xml:space="preserve">Stanek, W.R.</t>
  </si>
  <si>
    <t xml:space="preserve">NEN-39</t>
  </si>
  <si>
    <t xml:space="preserve">Windows NT TCP/IP Network Administration</t>
  </si>
  <si>
    <t xml:space="preserve">WIN NT TCP/IP</t>
  </si>
  <si>
    <t xml:space="preserve">NEN-40</t>
  </si>
  <si>
    <t xml:space="preserve">SQL for Dummies</t>
  </si>
  <si>
    <t xml:space="preserve">Taylor, A.</t>
  </si>
  <si>
    <t xml:space="preserve">NEN-41</t>
  </si>
  <si>
    <t xml:space="preserve">Beginning SQL</t>
  </si>
  <si>
    <t xml:space="preserve">Wilton,P. &amp; Colby,J.</t>
  </si>
  <si>
    <t xml:space="preserve">NEN-42</t>
  </si>
  <si>
    <t xml:space="preserve">Netware 6.5 Administrator's Handbook</t>
  </si>
  <si>
    <t xml:space="preserve">NOVELL NETWARE 6.5</t>
  </si>
  <si>
    <t xml:space="preserve">Harris, J.</t>
  </si>
  <si>
    <t xml:space="preserve">OP-01</t>
  </si>
  <si>
    <t xml:space="preserve">Survey of Operating Systems </t>
  </si>
  <si>
    <t xml:space="preserve">Operating Systems</t>
  </si>
  <si>
    <t xml:space="preserve">Holcombe, Jane &amp; Charles</t>
  </si>
  <si>
    <t xml:space="preserve">OPA-01</t>
  </si>
  <si>
    <t xml:space="preserve">The Multi-Boot Configuration Handbook  (CD Inc.)</t>
  </si>
  <si>
    <t xml:space="preserve">MULTI-BOOT</t>
  </si>
  <si>
    <t xml:space="preserve">Smith, R.W.</t>
  </si>
  <si>
    <t xml:space="preserve">OPB-01</t>
  </si>
  <si>
    <t xml:space="preserve">The BEOS Bible</t>
  </si>
  <si>
    <t xml:space="preserve">BEOS</t>
  </si>
  <si>
    <t xml:space="preserve">Hacker, S.</t>
  </si>
  <si>
    <t xml:space="preserve">OPB-02</t>
  </si>
  <si>
    <t xml:space="preserve">BeOS Porting UNIX Applications</t>
  </si>
  <si>
    <t xml:space="preserve">Martin C. Brown</t>
  </si>
  <si>
    <t xml:space="preserve">OPL-01</t>
  </si>
  <si>
    <t xml:space="preserve">Linux For Dummies (With C D)</t>
  </si>
  <si>
    <t xml:space="preserve">Witherspoon, C.</t>
  </si>
  <si>
    <t xml:space="preserve">OPL-04</t>
  </si>
  <si>
    <t xml:space="preserve">Linux Internals</t>
  </si>
  <si>
    <t xml:space="preserve">Bar, M.</t>
  </si>
  <si>
    <t xml:space="preserve">OPL-05</t>
  </si>
  <si>
    <t xml:space="preserve">Linux Unleashed (4th Edition)</t>
  </si>
  <si>
    <t xml:space="preserve">Ball, Pitts, Goerzen, et al</t>
  </si>
  <si>
    <t xml:space="preserve">Sams (MacMillan)</t>
  </si>
  <si>
    <t xml:space="preserve">OPL-06</t>
  </si>
  <si>
    <t xml:space="preserve"> Linux Music &amp; Sound  (CD Inc.)+C740</t>
  </si>
  <si>
    <t xml:space="preserve">Phillips, D.</t>
  </si>
  <si>
    <t xml:space="preserve">Linux Journal Press</t>
  </si>
  <si>
    <t xml:space="preserve">OPL-08</t>
  </si>
  <si>
    <t xml:space="preserve">Using Caldera Open Linux  (CD Inc.)</t>
  </si>
  <si>
    <t xml:space="preserve">Smart, Ratcliffe,Bird, et al</t>
  </si>
  <si>
    <t xml:space="preserve">OPL-10</t>
  </si>
  <si>
    <t xml:space="preserve">Using Linux.  Special Edition  (3 CD's included)</t>
  </si>
  <si>
    <t xml:space="preserve">Tackett,J. &amp; Burnett,S.</t>
  </si>
  <si>
    <t xml:space="preserve">OPL-11</t>
  </si>
  <si>
    <t xml:space="preserve">Corel Linux OS Starter Kit (CD Inc.)</t>
  </si>
  <si>
    <t xml:space="preserve">Merlino,J. &amp; Wrightson,K.</t>
  </si>
  <si>
    <t xml:space="preserve">OPL-12</t>
  </si>
  <si>
    <t xml:space="preserve">Linux Networking Clearly Explained</t>
  </si>
  <si>
    <t xml:space="preserve">Pfaffenberger, B.</t>
  </si>
  <si>
    <t xml:space="preserve">OPL-13</t>
  </si>
  <si>
    <t xml:space="preserve">Idiot's Guide to Linux</t>
  </si>
  <si>
    <t xml:space="preserve">Ricart, M. A.</t>
  </si>
  <si>
    <t xml:space="preserve">OPL-15</t>
  </si>
  <si>
    <t xml:space="preserve">Linux Network Administrator's Guide</t>
  </si>
  <si>
    <t xml:space="preserve">Kirch, O. &amp; Dawson, T.</t>
  </si>
  <si>
    <t xml:space="preserve">OPL-17</t>
  </si>
  <si>
    <t xml:space="preserve">Teach Yourself KDE 1.1  in 24 Hours</t>
  </si>
  <si>
    <t xml:space="preserve">LINUX - KDE 1.1</t>
  </si>
  <si>
    <t xml:space="preserve">Wells, N.D.</t>
  </si>
  <si>
    <t xml:space="preserve">OPL-18</t>
  </si>
  <si>
    <t xml:space="preserve">Lindows Fast &amp; Easy </t>
  </si>
  <si>
    <t xml:space="preserve">LINUX-LINDOWS</t>
  </si>
  <si>
    <t xml:space="preserve">Grebler, E.</t>
  </si>
  <si>
    <t xml:space="preserve">OPL-19</t>
  </si>
  <si>
    <t xml:space="preserve">Linux in a Nutshell</t>
  </si>
  <si>
    <t xml:space="preserve">Siever, Spainbour,Figgins, et al</t>
  </si>
  <si>
    <t xml:space="preserve">OPL-20</t>
  </si>
  <si>
    <t xml:space="preserve">Red Hat Linux 9 Bible</t>
  </si>
  <si>
    <t xml:space="preserve">LINUX 9</t>
  </si>
  <si>
    <t xml:space="preserve">Negus, C.</t>
  </si>
  <si>
    <t xml:space="preserve">OPL-21</t>
  </si>
  <si>
    <t xml:space="preserve">Learning Red Hat Linux  (CD Included)</t>
  </si>
  <si>
    <t xml:space="preserve">LINUX 8</t>
  </si>
  <si>
    <t xml:space="preserve">McCarty</t>
  </si>
  <si>
    <t xml:space="preserve">OPL-22</t>
  </si>
  <si>
    <t xml:space="preserve">Linux Mandrake</t>
  </si>
  <si>
    <t xml:space="preserve">LINUX MANDRAKE</t>
  </si>
  <si>
    <t xml:space="preserve">Mandrake Soft</t>
  </si>
  <si>
    <t xml:space="preserve">OPL-23</t>
  </si>
  <si>
    <t xml:space="preserve">Official Fedora Companion </t>
  </si>
  <si>
    <t xml:space="preserve">LINUX FEDORA</t>
  </si>
  <si>
    <t xml:space="preserve">Petreley, Nick</t>
  </si>
  <si>
    <t xml:space="preserve">Red Hat Press</t>
  </si>
  <si>
    <t xml:space="preserve">OPL-24</t>
  </si>
  <si>
    <t xml:space="preserve">Exploring the JDS Linux Desktop</t>
  </si>
  <si>
    <t xml:space="preserve">Adelstein, T &amp; Hiser, S</t>
  </si>
  <si>
    <t xml:space="preserve">OPL-25</t>
  </si>
  <si>
    <t xml:space="preserve">Learning Red Hat Enterprise</t>
  </si>
  <si>
    <t xml:space="preserve">McCarty, B</t>
  </si>
  <si>
    <t xml:space="preserve">OPL-26</t>
  </si>
  <si>
    <t xml:space="preserve">Test Driving Linux - From Windows to Linux in 60 secs ( CD Inc.)</t>
  </si>
  <si>
    <t xml:space="preserve">Brickner, C.</t>
  </si>
  <si>
    <t xml:space="preserve">OPL-27</t>
  </si>
  <si>
    <t xml:space="preserve">Red Hat Fedora Linux 3 for Dummies (CD Inc.)</t>
  </si>
  <si>
    <t xml:space="preserve">Hall,J.M. &amp; Sery, P.G.</t>
  </si>
  <si>
    <t xml:space="preserve">OPL-28</t>
  </si>
  <si>
    <t xml:space="preserve">Red Hat Fedora &amp; Enterprise Linux 4 Bible</t>
  </si>
  <si>
    <t xml:space="preserve">OPL-29</t>
  </si>
  <si>
    <t xml:space="preserve">The Complete reference Red Hat Enterprise &amp; Fedora Edition</t>
  </si>
  <si>
    <t xml:space="preserve">Petersen, R. &amp; Haddad,I.</t>
  </si>
  <si>
    <t xml:space="preserve">McGraw Hill Osborne</t>
  </si>
  <si>
    <t xml:space="preserve">OPL-32</t>
  </si>
  <si>
    <t xml:space="preserve">LeBlanc, D-A.</t>
  </si>
  <si>
    <t xml:space="preserve">OPL-33</t>
  </si>
  <si>
    <t xml:space="preserve">SUSE Linux 9.3 for Dummies (Cod Inc.)</t>
  </si>
  <si>
    <t xml:space="preserve">SUSE LINUX</t>
  </si>
  <si>
    <t xml:space="preserve">Barkakati,N.</t>
  </si>
  <si>
    <t xml:space="preserve">OPL-34</t>
  </si>
  <si>
    <t xml:space="preserve">Red Hat Linux for Dummies</t>
  </si>
  <si>
    <t xml:space="preserve">RED HAT LINUX</t>
  </si>
  <si>
    <t xml:space="preserve">OPL-35</t>
  </si>
  <si>
    <t xml:space="preserve">Linux For Dummies (With C D) 7th Edition</t>
  </si>
  <si>
    <t xml:space="preserve">OPL-36</t>
  </si>
  <si>
    <t xml:space="preserve">Suse Linux</t>
  </si>
  <si>
    <t xml:space="preserve">Brown, Chris</t>
  </si>
  <si>
    <t xml:space="preserve">OPL-37</t>
  </si>
  <si>
    <t xml:space="preserve">Ball, B.</t>
  </si>
  <si>
    <t xml:space="preserve">OPL-38</t>
  </si>
  <si>
    <t xml:space="preserve">Linux, Install &amp; Configuration</t>
  </si>
  <si>
    <t xml:space="preserve">LeBlanc, D. &amp; Yates, I.H. </t>
  </si>
  <si>
    <t xml:space="preserve">OPL-39</t>
  </si>
  <si>
    <t xml:space="preserve">Fedora Linux</t>
  </si>
  <si>
    <t xml:space="preserve">FEDORA</t>
  </si>
  <si>
    <t xml:space="preserve">Tyler, C.</t>
  </si>
  <si>
    <t xml:space="preserve">OPL-41</t>
  </si>
  <si>
    <t xml:space="preserve">Ubuntu Linux (CD Inc.)</t>
  </si>
  <si>
    <t xml:space="preserve">UBUNTU</t>
  </si>
  <si>
    <t xml:space="preserve">von Hagen, W.</t>
  </si>
  <si>
    <t xml:space="preserve">OPL-42</t>
  </si>
  <si>
    <t xml:space="preserve">Ubuntu Linux for Non-Geeks (CD Inc.)</t>
  </si>
  <si>
    <t xml:space="preserve">Grant, R.</t>
  </si>
  <si>
    <t xml:space="preserve">Non Starch Press</t>
  </si>
  <si>
    <t xml:space="preserve">OPL-43</t>
  </si>
  <si>
    <t xml:space="preserve">Linux Bible 2007 Edition</t>
  </si>
  <si>
    <t xml:space="preserve">C Negus</t>
  </si>
  <si>
    <t xml:space="preserve">OPL-44</t>
  </si>
  <si>
    <t xml:space="preserve">Linux Pocket Book</t>
  </si>
  <si>
    <t xml:space="preserve">ACP Tech</t>
  </si>
  <si>
    <t xml:space="preserve">OPL-45</t>
  </si>
  <si>
    <t xml:space="preserve">Xandros Desktop OS  Version 3</t>
  </si>
  <si>
    <t xml:space="preserve">XANDROS 3</t>
  </si>
  <si>
    <t xml:space="preserve">Xandros</t>
  </si>
  <si>
    <t xml:space="preserve">OPL-47</t>
  </si>
  <si>
    <t xml:space="preserve">Pro Linux System Administration</t>
  </si>
  <si>
    <t xml:space="preserve">Turnbull, Lieverdink, &amp; Matotek</t>
  </si>
  <si>
    <t xml:space="preserve">OPL-48</t>
  </si>
  <si>
    <t xml:space="preserve">Ubuntu Linux for Dummies</t>
  </si>
  <si>
    <t xml:space="preserve">Sery, P G</t>
  </si>
  <si>
    <t xml:space="preserve">OPL-49</t>
  </si>
  <si>
    <t xml:space="preserve">Ubuntu for Non-Geeks, 2nd edition</t>
  </si>
  <si>
    <t xml:space="preserve">OPM-01</t>
  </si>
  <si>
    <t xml:space="preserve">Windows Millennium - The Missing Manual</t>
  </si>
  <si>
    <t xml:space="preserve">WINDOWS ME</t>
  </si>
  <si>
    <t xml:space="preserve">OPM-02</t>
  </si>
  <si>
    <t xml:space="preserve">Microsoft Windows Me Millennium Edition for Dummies</t>
  </si>
  <si>
    <t xml:space="preserve">Rathbone, A.</t>
  </si>
  <si>
    <t xml:space="preserve">OPM-04</t>
  </si>
  <si>
    <t xml:space="preserve">Microsoft Windows Me At a Glance</t>
  </si>
  <si>
    <t xml:space="preserve">Joyce,J. &amp; Moon,M.</t>
  </si>
  <si>
    <t xml:space="preserve">OPM-05</t>
  </si>
  <si>
    <t xml:space="preserve">Windows Me Step by Step</t>
  </si>
  <si>
    <t xml:space="preserve">OPM-06</t>
  </si>
  <si>
    <t xml:space="preserve">Microsoft Windows Me Unauthorised Guide</t>
  </si>
  <si>
    <t xml:space="preserve">McFedries, P.</t>
  </si>
  <si>
    <t xml:space="preserve">OPM-07</t>
  </si>
  <si>
    <t xml:space="preserve">Master Visually Windows Me Millennium Edition</t>
  </si>
  <si>
    <t xml:space="preserve">OPM-08</t>
  </si>
  <si>
    <t xml:space="preserve">Practical Windows Me</t>
  </si>
  <si>
    <t xml:space="preserve">OPN-19</t>
  </si>
  <si>
    <t xml:space="preserve">Windows 2000 Configuration Wizards</t>
  </si>
  <si>
    <t xml:space="preserve">Collins,B.M. &amp; Cunningham, S.</t>
  </si>
  <si>
    <t xml:space="preserve">OPN-20</t>
  </si>
  <si>
    <t xml:space="preserve"> Windows 2000 - A Beginner's Guide</t>
  </si>
  <si>
    <t xml:space="preserve">Matthews, M.S.</t>
  </si>
  <si>
    <t xml:space="preserve">OPN-25</t>
  </si>
  <si>
    <t xml:space="preserve">Windows 2000 Pro.  The Missing Manual.</t>
  </si>
  <si>
    <t xml:space="preserve">Crawford, S.</t>
  </si>
  <si>
    <t xml:space="preserve">OPN-45</t>
  </si>
  <si>
    <t xml:space="preserve">Optimising Windows Operating Systems</t>
  </si>
  <si>
    <t xml:space="preserve">D L Farquhar</t>
  </si>
  <si>
    <t xml:space="preserve">OPN-46</t>
  </si>
  <si>
    <t xml:space="preserve">Windows 2000 secrets</t>
  </si>
  <si>
    <t xml:space="preserve">Livingston,B. </t>
  </si>
  <si>
    <t xml:space="preserve">OPN-47</t>
  </si>
  <si>
    <t xml:space="preserve">Hoe to use Windows 2000 Professional</t>
  </si>
  <si>
    <t xml:space="preserve">Glenn, W.J.</t>
  </si>
  <si>
    <t xml:space="preserve">OPN-48</t>
  </si>
  <si>
    <t xml:space="preserve">Mastering Windows 2000</t>
  </si>
  <si>
    <t xml:space="preserve">Mark Minas</t>
  </si>
  <si>
    <t xml:space="preserve">OPN-49</t>
  </si>
  <si>
    <t xml:space="preserve">Windows 2000 Profesional Expert Companion</t>
  </si>
  <si>
    <t xml:space="preserve">WINDOWS 2001</t>
  </si>
  <si>
    <t xml:space="preserve">Stinson, C &amp; Siechert, C</t>
  </si>
  <si>
    <t xml:space="preserve">OPP-01</t>
  </si>
  <si>
    <t xml:space="preserve">Windows Powershell 2.0 Programming</t>
  </si>
  <si>
    <t xml:space="preserve">WINDOWS POWERSHELL</t>
  </si>
  <si>
    <t xml:space="preserve">Ford, J.L.</t>
  </si>
  <si>
    <t xml:space="preserve">Course Technology</t>
  </si>
  <si>
    <t xml:space="preserve">OPP-02</t>
  </si>
  <si>
    <t xml:space="preserve">Windows Powershell in Action20</t>
  </si>
  <si>
    <t xml:space="preserve">Payette, B.</t>
  </si>
  <si>
    <t xml:space="preserve">Manning</t>
  </si>
  <si>
    <t xml:space="preserve">OPS-05</t>
  </si>
  <si>
    <t xml:space="preserve">Windows 7 - Visual Quickstart Guide</t>
  </si>
  <si>
    <t xml:space="preserve">WINDOWS 7</t>
  </si>
  <si>
    <t xml:space="preserve">Fehily, C.</t>
  </si>
  <si>
    <t xml:space="preserve">OPS-07</t>
  </si>
  <si>
    <t xml:space="preserve">Windows 7 for Seniors for Dummies</t>
  </si>
  <si>
    <t xml:space="preserve">Hinton, M.J.</t>
  </si>
  <si>
    <t xml:space="preserve">OPS-10</t>
  </si>
  <si>
    <t xml:space="preserve">Windows 7 Tweaks</t>
  </si>
  <si>
    <t xml:space="preserve">Steve Sinchak</t>
  </si>
  <si>
    <t xml:space="preserve">OPS-11</t>
  </si>
  <si>
    <t xml:space="preserve">Windows 7 The Definitive Guide</t>
  </si>
  <si>
    <t xml:space="preserve">William R. Stanek</t>
  </si>
  <si>
    <t xml:space="preserve">OPS-12</t>
  </si>
  <si>
    <t xml:space="preserve">Windows 7 the missing manual</t>
  </si>
  <si>
    <t xml:space="preserve">David Pogue</t>
  </si>
  <si>
    <t xml:space="preserve">OPS-14</t>
  </si>
  <si>
    <t xml:space="preserve">Getting Started in Windows 7</t>
  </si>
  <si>
    <t xml:space="preserve">OPS-16</t>
  </si>
  <si>
    <t xml:space="preserve">Windows 7 Inside Out</t>
  </si>
  <si>
    <t xml:space="preserve">Ed Bott, Carl Siechart, Craig Stinson</t>
  </si>
  <si>
    <t xml:space="preserve">OPS-17</t>
  </si>
  <si>
    <t xml:space="preserve">Windows 7 for Dummies: DVD</t>
  </si>
  <si>
    <t xml:space="preserve">OPS-101</t>
  </si>
  <si>
    <t xml:space="preserve">Windows 10 for Dummies</t>
  </si>
  <si>
    <t xml:space="preserve">WINDOWS 10</t>
  </si>
  <si>
    <t xml:space="preserve">Andy Rathbone</t>
  </si>
  <si>
    <t xml:space="preserve">OPS-102</t>
  </si>
  <si>
    <t xml:space="preserve">Windows 10 at Work for Dummies</t>
  </si>
  <si>
    <t xml:space="preserve">Rusen, C.A.</t>
  </si>
  <si>
    <t xml:space="preserve">OPS-103</t>
  </si>
  <si>
    <t xml:space="preserve">Windows 10 for Seniors for Dummies</t>
  </si>
  <si>
    <t xml:space="preserve">Weverka, P.</t>
  </si>
  <si>
    <t xml:space="preserve">OPS-104</t>
  </si>
  <si>
    <t xml:space="preserve">Windows 10 All-in-One for Dummies</t>
  </si>
  <si>
    <t xml:space="preserve">OPS-800</t>
  </si>
  <si>
    <t xml:space="preserve">Windows 8 Bible</t>
  </si>
  <si>
    <t xml:space="preserve">WINDOWS 8</t>
  </si>
  <si>
    <t xml:space="preserve">Jim Boyce, Rob Tidrow</t>
  </si>
  <si>
    <t xml:space="preserve">OPS-801</t>
  </si>
  <si>
    <t xml:space="preserve">Windows 8 Secrets</t>
  </si>
  <si>
    <t xml:space="preserve">Paul Thurrott, Raphael Rivera</t>
  </si>
  <si>
    <t xml:space="preserve">OPS-802</t>
  </si>
  <si>
    <t xml:space="preserve">Windows 8 Step by Step</t>
  </si>
  <si>
    <t xml:space="preserve">Ciprian Adrian Russen, Joli Ballew</t>
  </si>
  <si>
    <t xml:space="preserve">O'Reilly, Microsoft</t>
  </si>
  <si>
    <t xml:space="preserve">OPS-804</t>
  </si>
  <si>
    <t xml:space="preserve">Optimizing Windows for Games, Graphics &amp; Multimedia</t>
  </si>
  <si>
    <t xml:space="preserve">OPS-805</t>
  </si>
  <si>
    <t xml:space="preserve">Windows 8 Inside Out</t>
  </si>
  <si>
    <t xml:space="preserve">Tony No rth rup</t>
  </si>
  <si>
    <t xml:space="preserve">OPS-806</t>
  </si>
  <si>
    <t xml:space="preserve">Windows 8 Plain &amp; Simple</t>
  </si>
  <si>
    <t xml:space="preserve">Nancy Muir</t>
  </si>
  <si>
    <t xml:space="preserve">OPS-807</t>
  </si>
  <si>
    <t xml:space="preserve">Windows 8.1 for Dummies</t>
  </si>
  <si>
    <t xml:space="preserve">WINDOWS 8.1</t>
  </si>
  <si>
    <t xml:space="preserve">OPS-809</t>
  </si>
  <si>
    <t xml:space="preserve">Windows 8.1</t>
  </si>
  <si>
    <t xml:space="preserve">OPS-810</t>
  </si>
  <si>
    <t xml:space="preserve">Windows 8.1 for Seniors for Dummies</t>
  </si>
  <si>
    <t xml:space="preserve">Weverka, P. &amp; Hinton, M. J.</t>
  </si>
  <si>
    <t xml:space="preserve">OPS-811</t>
  </si>
  <si>
    <t xml:space="preserve">Windows 8 for Seniors for Dummies</t>
  </si>
  <si>
    <t xml:space="preserve">Windows 8</t>
  </si>
  <si>
    <t xml:space="preserve">OPT-03</t>
  </si>
  <si>
    <t xml:space="preserve">Windows NT 4.0 Workstation</t>
  </si>
  <si>
    <t xml:space="preserve">WINDOWS N T</t>
  </si>
  <si>
    <t xml:space="preserve">Hoffmeyer, Aaron et al.</t>
  </si>
  <si>
    <t xml:space="preserve">Mis Press</t>
  </si>
  <si>
    <t xml:space="preserve">OPT-05</t>
  </si>
  <si>
    <t xml:space="preserve">Teach Yourself Windows NT 4  In 24 Hours</t>
  </si>
  <si>
    <t xml:space="preserve">Kenley, M.</t>
  </si>
  <si>
    <t xml:space="preserve">OPT-14</t>
  </si>
  <si>
    <t xml:space="preserve">Windows NT in a nutshell</t>
  </si>
  <si>
    <t xml:space="preserve">Pearce, E.</t>
  </si>
  <si>
    <t xml:space="preserve">OPT-15</t>
  </si>
  <si>
    <t xml:space="preserve">Windows NT User Administration</t>
  </si>
  <si>
    <t xml:space="preserve">Mefggitt, A.J. &amp; Ritchey T. D.</t>
  </si>
  <si>
    <t xml:space="preserve">OPT-16</t>
  </si>
  <si>
    <t xml:space="preserve">Teach Yourself Windows NT Workstation 4</t>
  </si>
  <si>
    <t xml:space="preserve">WINDOWS NT4.0</t>
  </si>
  <si>
    <t xml:space="preserve">Plumley, S. &amp; Cassel P.</t>
  </si>
  <si>
    <t xml:space="preserve">OPT-17</t>
  </si>
  <si>
    <t xml:space="preserve">Windows NT Workstation 4 for Dummies</t>
  </si>
  <si>
    <t xml:space="preserve">Rathbone, A. &amp; Crawford, S.</t>
  </si>
  <si>
    <t xml:space="preserve">OPV-02</t>
  </si>
  <si>
    <t xml:space="preserve">Windows Vista Product Guide</t>
  </si>
  <si>
    <t xml:space="preserve">WINDOWS VISTA</t>
  </si>
  <si>
    <t xml:space="preserve">OPV-03</t>
  </si>
  <si>
    <t xml:space="preserve">OPV-04</t>
  </si>
  <si>
    <t xml:space="preserve">Windows Vista - Consumer Experience Guide</t>
  </si>
  <si>
    <t xml:space="preserve">OPV-06</t>
  </si>
  <si>
    <t xml:space="preserve">Easy Microsoft Windows Vista</t>
  </si>
  <si>
    <t xml:space="preserve">O'Hara, S.</t>
  </si>
  <si>
    <t xml:space="preserve">Que Publishing</t>
  </si>
  <si>
    <t xml:space="preserve">OPV-07</t>
  </si>
  <si>
    <t xml:space="preserve">Windows Vista - Quick Steps</t>
  </si>
  <si>
    <t xml:space="preserve">Matthews, M.</t>
  </si>
  <si>
    <t xml:space="preserve">OPV-10</t>
  </si>
  <si>
    <t xml:space="preserve">Microsoft Windows Vista - Visual Quickstart Guide</t>
  </si>
  <si>
    <t xml:space="preserve">OPV-11</t>
  </si>
  <si>
    <t xml:space="preserve">How to do Everything with Windows Vista</t>
  </si>
  <si>
    <t xml:space="preserve">Simmons,C.</t>
  </si>
  <si>
    <t xml:space="preserve">OPV-12</t>
  </si>
  <si>
    <t xml:space="preserve">Hacking Windows Vista</t>
  </si>
  <si>
    <t xml:space="preserve">Sinchak, S.</t>
  </si>
  <si>
    <t xml:space="preserve">OPV-14</t>
  </si>
  <si>
    <t xml:space="preserve">Top 100 Tips &amp; Tricks for Windows Vista</t>
  </si>
  <si>
    <t xml:space="preserve">OPV-15</t>
  </si>
  <si>
    <t xml:space="preserve">The Unofficial Guide To Windows Vista</t>
  </si>
  <si>
    <t xml:space="preserve">Torres, D. &amp; Mudie, S.</t>
  </si>
  <si>
    <t xml:space="preserve">OPV-16</t>
  </si>
  <si>
    <t xml:space="preserve">How To Do Everything With Windows Vista</t>
  </si>
  <si>
    <t xml:space="preserve">Simmons, C.</t>
  </si>
  <si>
    <t xml:space="preserve">OPV-17</t>
  </si>
  <si>
    <t xml:space="preserve">Breakthrough Windows Vista</t>
  </si>
  <si>
    <t xml:space="preserve">Ballew, J. &amp; Slack, S.E.</t>
  </si>
  <si>
    <t xml:space="preserve">OPV-18</t>
  </si>
  <si>
    <t xml:space="preserve">OPV-19</t>
  </si>
  <si>
    <t xml:space="preserve">Windows Vista, The Definitive Guide</t>
  </si>
  <si>
    <t xml:space="preserve">OPV-20</t>
  </si>
  <si>
    <t xml:space="preserve">Windows Vista Administration, The Definitive Guide</t>
  </si>
  <si>
    <t xml:space="preserve">Culp, B.</t>
  </si>
  <si>
    <t xml:space="preserve">OPV-21</t>
  </si>
  <si>
    <t xml:space="preserve">Windows Vista in Quicksteps</t>
  </si>
  <si>
    <t xml:space="preserve">OPV-22</t>
  </si>
  <si>
    <t xml:space="preserve">Easy Windows Vista</t>
  </si>
  <si>
    <t xml:space="preserve">OPV-23</t>
  </si>
  <si>
    <t xml:space="preserve">Windows Vista - Top 100 Tips &amp; Tricks</t>
  </si>
  <si>
    <t xml:space="preserve">OPX-13</t>
  </si>
  <si>
    <t xml:space="preserve">Windows XP Professional. Benchmark Series.</t>
  </si>
  <si>
    <t xml:space="preserve">WINDOWS XP</t>
  </si>
  <si>
    <t xml:space="preserve">Hollingsworth, C.N.&amp; M.C.&amp; Koers..</t>
  </si>
  <si>
    <t xml:space="preserve">Paradigm</t>
  </si>
  <si>
    <t xml:space="preserve">OPX-28</t>
  </si>
  <si>
    <t xml:space="preserve">Win XP, 50 Things you should know. Covers SP/2.</t>
  </si>
  <si>
    <t xml:space="preserve">WINDOWS XP (inc SP/2)</t>
  </si>
  <si>
    <t xml:space="preserve">O'Hara ,S.</t>
  </si>
  <si>
    <t xml:space="preserve">OPX-29</t>
  </si>
  <si>
    <t xml:space="preserve">Windows XP in Easy Steps.  Covers SP/2.</t>
  </si>
  <si>
    <t xml:space="preserve">Kotecha, H.</t>
  </si>
  <si>
    <t xml:space="preserve">OPX-33</t>
  </si>
  <si>
    <t xml:space="preserve">Teach Yourself Visually Windows XP Media Edition</t>
  </si>
  <si>
    <t xml:space="preserve">Kinkoph, S.W.</t>
  </si>
  <si>
    <t xml:space="preserve">OPX-35</t>
  </si>
  <si>
    <t xml:space="preserve">Windows XP For Dummies, All-in-one-reference</t>
  </si>
  <si>
    <t xml:space="preserve">OPX-36</t>
  </si>
  <si>
    <t xml:space="preserve">Windows XP Bible, 2nd Edition</t>
  </si>
  <si>
    <t xml:space="preserve">Simpson, A.</t>
  </si>
  <si>
    <t xml:space="preserve">OPX-38</t>
  </si>
  <si>
    <t xml:space="preserve">Windows Up, Just the Steps, for Dummies</t>
  </si>
  <si>
    <t xml:space="preserve">Stevenson,N.</t>
  </si>
  <si>
    <t xml:space="preserve">OPX-40</t>
  </si>
  <si>
    <t xml:space="preserve">Master Visually Windows XP  SP2 Edition</t>
  </si>
  <si>
    <t xml:space="preserve">Tidrow , Clark, Toot</t>
  </si>
  <si>
    <t xml:space="preserve">OPX-44</t>
  </si>
  <si>
    <t xml:space="preserve">Windows XP Home Edition - The Missing Manual</t>
  </si>
  <si>
    <t xml:space="preserve">WINDOWS XP (Home)</t>
  </si>
  <si>
    <t xml:space="preserve">OPX-46</t>
  </si>
  <si>
    <t xml:space="preserve">The Unofficial Guide to Windows up</t>
  </si>
  <si>
    <t xml:space="preserve">Toot, M. &amp; Torres, D.</t>
  </si>
  <si>
    <t xml:space="preserve">OPX-47</t>
  </si>
  <si>
    <t xml:space="preserve">Windows XP Visual Quick Tips</t>
  </si>
  <si>
    <t xml:space="preserve">McFedries</t>
  </si>
  <si>
    <t xml:space="preserve">OPX-49</t>
  </si>
  <si>
    <t xml:space="preserve">Windows XP Command Line</t>
  </si>
  <si>
    <t xml:space="preserve">Gillay, C.Z. &amp; Peat, B.A.</t>
  </si>
  <si>
    <t xml:space="preserve">Franklin Beadle &amp; Assoc.</t>
  </si>
  <si>
    <t xml:space="preserve">OPX-52</t>
  </si>
  <si>
    <t xml:space="preserve">Windows XP Plain &amp; Simple</t>
  </si>
  <si>
    <t xml:space="preserve">Jerry Joyce &amp; Marianne Moon</t>
  </si>
  <si>
    <t xml:space="preserve">PJ-01</t>
  </si>
  <si>
    <t xml:space="preserve">Build Your Smart Home</t>
  </si>
  <si>
    <t xml:space="preserve">Projects</t>
  </si>
  <si>
    <t xml:space="preserve">Elsenpeter, R.C. &amp; Velte, T.J.</t>
  </si>
  <si>
    <t xml:space="preserve">McGraw Hill.</t>
  </si>
  <si>
    <t xml:space="preserve">PJM-01</t>
  </si>
  <si>
    <t xml:space="preserve">Teach Yourself Microsoft Project 98</t>
  </si>
  <si>
    <t xml:space="preserve">PROJECT 98</t>
  </si>
  <si>
    <t xml:space="preserve">Pyron, T.</t>
  </si>
  <si>
    <t xml:space="preserve">PR-03</t>
  </si>
  <si>
    <t xml:space="preserve">Beginning Programming for Dummies</t>
  </si>
  <si>
    <t xml:space="preserve">Programming</t>
  </si>
  <si>
    <t xml:space="preserve">PR-15</t>
  </si>
  <si>
    <t xml:space="preserve">Understanding  UML</t>
  </si>
  <si>
    <t xml:space="preserve">UML</t>
  </si>
  <si>
    <t xml:space="preserve">Harmon, P, &amp; Watson, M.</t>
  </si>
  <si>
    <t xml:space="preserve">PR-16</t>
  </si>
  <si>
    <t xml:space="preserve">Mastering UML with Rational Rose</t>
  </si>
  <si>
    <t xml:space="preserve">Boggs, M. &amp; W.</t>
  </si>
  <si>
    <t xml:space="preserve">PR-17</t>
  </si>
  <si>
    <t xml:space="preserve">Simple Program Design</t>
  </si>
  <si>
    <t xml:space="preserve">Robertson, L.A.</t>
  </si>
  <si>
    <t xml:space="preserve">Nelson</t>
  </si>
  <si>
    <t xml:space="preserve">PR-18</t>
  </si>
  <si>
    <t xml:space="preserve">Object Oriented Thought Process</t>
  </si>
  <si>
    <t xml:space="preserve">Weisfeld, M.</t>
  </si>
  <si>
    <t xml:space="preserve">PR-20</t>
  </si>
  <si>
    <t xml:space="preserve">Learning UML</t>
  </si>
  <si>
    <t xml:space="preserve">Si Alhir, S</t>
  </si>
  <si>
    <t xml:space="preserve">PR-21</t>
  </si>
  <si>
    <t xml:space="preserve">The Unified Modelling Language</t>
  </si>
  <si>
    <t xml:space="preserve">Booch,  Rumbaugh, Jacobson </t>
  </si>
  <si>
    <t xml:space="preserve">PR-23</t>
  </si>
  <si>
    <t xml:space="preserve">e-Business - Roadmap for Success</t>
  </si>
  <si>
    <t xml:space="preserve">Kalakota, R. &amp; Robinson, M.</t>
  </si>
  <si>
    <t xml:space="preserve">PRA-01</t>
  </si>
  <si>
    <t xml:space="preserve">Ajax Hacks</t>
  </si>
  <si>
    <t xml:space="preserve">AJAX</t>
  </si>
  <si>
    <t xml:space="preserve">Perry, B W</t>
  </si>
  <si>
    <t xml:space="preserve">PRB-09</t>
  </si>
  <si>
    <t xml:space="preserve">Teach Yourself Visual Basic 5 In 21 Days</t>
  </si>
  <si>
    <t xml:space="preserve">VISUAL BASIC 5</t>
  </si>
  <si>
    <t xml:space="preserve">PRB-11</t>
  </si>
  <si>
    <t xml:space="preserve">Microsoft Visual Basic Active X Controls Reference</t>
  </si>
  <si>
    <t xml:space="preserve">PRB-17</t>
  </si>
  <si>
    <t xml:space="preserve">Visual Basic Shell Programming</t>
  </si>
  <si>
    <t xml:space="preserve">VISUAL BASIC</t>
  </si>
  <si>
    <t xml:space="preserve">Hamilton, J.</t>
  </si>
  <si>
    <t xml:space="preserve">PRB-18</t>
  </si>
  <si>
    <t xml:space="preserve">Visual Basic &amp; SQL Server   (CD Inc)</t>
  </si>
  <si>
    <t xml:space="preserve">Vaughan, W.R.</t>
  </si>
  <si>
    <t xml:space="preserve">PRB-21</t>
  </si>
  <si>
    <t xml:space="preserve">Visual Basic Jumpstart 2005</t>
  </si>
  <si>
    <t xml:space="preserve">VISUAL BASIC 2005</t>
  </si>
  <si>
    <t xml:space="preserve">Lee, Wei-Meng</t>
  </si>
  <si>
    <t xml:space="preserve">PRB-22</t>
  </si>
  <si>
    <t xml:space="preserve">Programming Visual basic 2005</t>
  </si>
  <si>
    <t xml:space="preserve">Liberty, J.</t>
  </si>
  <si>
    <t xml:space="preserve">PRB-23</t>
  </si>
  <si>
    <t xml:space="preserve">Visual Basic 2005 for Dummies</t>
  </si>
  <si>
    <t xml:space="preserve">VISUAL BSAIC 2005</t>
  </si>
  <si>
    <t xml:space="preserve">Sempf, B.</t>
  </si>
  <si>
    <t xml:space="preserve">PRB-26</t>
  </si>
  <si>
    <t xml:space="preserve">Microsoft Visual Basic  .net  Step By Step</t>
  </si>
  <si>
    <t xml:space="preserve">VISUAL BASIC .NET</t>
  </si>
  <si>
    <t xml:space="preserve">Halvorson, M.</t>
  </si>
  <si>
    <t xml:space="preserve">PRB-27</t>
  </si>
  <si>
    <t xml:space="preserve">Microsoft ASP.net, Programming with Visual Basic .net</t>
  </si>
  <si>
    <t xml:space="preserve">Duthie, G.A.</t>
  </si>
  <si>
    <t xml:space="preserve">PRB-28</t>
  </si>
  <si>
    <t xml:space="preserve">Microsoft Visual Basic . Net  In Action</t>
  </si>
  <si>
    <t xml:space="preserve">PRB-40</t>
  </si>
  <si>
    <t xml:space="preserve">Beginning Visual Basic 6</t>
  </si>
  <si>
    <t xml:space="preserve">Peter Wright</t>
  </si>
  <si>
    <t xml:space="preserve">WROX</t>
  </si>
  <si>
    <t xml:space="preserve">PRB-41</t>
  </si>
  <si>
    <t xml:space="preserve">Beginning Visual Basic Objects</t>
  </si>
  <si>
    <t xml:space="preserve">PRB-42</t>
  </si>
  <si>
    <t xml:space="preserve">Microsoft Visual BASIC.NET Step by Step</t>
  </si>
  <si>
    <t xml:space="preserve">Visual BASIC.NET</t>
  </si>
  <si>
    <t xml:space="preserve">PROGRAMMING</t>
  </si>
  <si>
    <t xml:space="preserve">PRB-43</t>
  </si>
  <si>
    <t xml:space="preserve">Visual Basic Object &amp; Component Handbook</t>
  </si>
  <si>
    <t xml:space="preserve">Visual Basic</t>
  </si>
  <si>
    <t xml:space="preserve">Vogel, P.</t>
  </si>
  <si>
    <t xml:space="preserve">PRB-44</t>
  </si>
  <si>
    <t xml:space="preserve">CDO &amp; MAPI Programming with Visual Basic</t>
  </si>
  <si>
    <t xml:space="preserve">Grundgeiger, D.</t>
  </si>
  <si>
    <t xml:space="preserve">PRB-45</t>
  </si>
  <si>
    <t xml:space="preserve">Internet Programming with Visual Basic</t>
  </si>
  <si>
    <t xml:space="preserve">PRC-03</t>
  </si>
  <si>
    <t xml:space="preserve">Programming with  Qt.</t>
  </si>
  <si>
    <t xml:space="preserve">C++  Qt</t>
  </si>
  <si>
    <t xml:space="preserve">Dalheimer, M.K.</t>
  </si>
  <si>
    <t xml:space="preserve">PRC-04</t>
  </si>
  <si>
    <t xml:space="preserve">C++  A beginners Guide  2nd Edition</t>
  </si>
  <si>
    <t xml:space="preserve">C++</t>
  </si>
  <si>
    <t xml:space="preserve">Schildt, H.</t>
  </si>
  <si>
    <t xml:space="preserve">PRC-20</t>
  </si>
  <si>
    <t xml:space="preserve">Teach Yourself C++ In 21 Days</t>
  </si>
  <si>
    <t xml:space="preserve">Liberty, J</t>
  </si>
  <si>
    <t xml:space="preserve">PRC-26</t>
  </si>
  <si>
    <t xml:space="preserve">A Computer Tapestry</t>
  </si>
  <si>
    <t xml:space="preserve">Astrachan, O.</t>
  </si>
  <si>
    <t xml:space="preserve">PRC-27</t>
  </si>
  <si>
    <t xml:space="preserve">C by Example</t>
  </si>
  <si>
    <t xml:space="preserve">C</t>
  </si>
  <si>
    <t xml:space="preserve">Perry, G.</t>
  </si>
  <si>
    <t xml:space="preserve">PRC-30</t>
  </si>
  <si>
    <t xml:space="preserve">The Complete Reference C  - 4th Edition</t>
  </si>
  <si>
    <t xml:space="preserve">Schildt, Herbert</t>
  </si>
  <si>
    <t xml:space="preserve">PRC-31</t>
  </si>
  <si>
    <t xml:space="preserve">C by Dissection</t>
  </si>
  <si>
    <t xml:space="preserve">Kelley, A. &amp; Pohl, I.</t>
  </si>
  <si>
    <t xml:space="preserve">PRC-32</t>
  </si>
  <si>
    <t xml:space="preserve">A Book on C</t>
  </si>
  <si>
    <t xml:space="preserve">PRC-35</t>
  </si>
  <si>
    <t xml:space="preserve">C All-in-one Desk Reference for Dummies</t>
  </si>
  <si>
    <t xml:space="preserve">PRC-38</t>
  </si>
  <si>
    <t xml:space="preserve">Engaged Learning for Programming in C++ (CD Inc.)</t>
  </si>
  <si>
    <t xml:space="preserve">Roberge, Bauer, Smith.</t>
  </si>
  <si>
    <t xml:space="preserve">PRC-39</t>
  </si>
  <si>
    <t xml:space="preserve">Visual Studio 2005</t>
  </si>
  <si>
    <t xml:space="preserve">VISUAL &amp; C</t>
  </si>
  <si>
    <t xml:space="preserve">Parsons, A. &amp; Randolph, N.</t>
  </si>
  <si>
    <t xml:space="preserve">PRC-40</t>
  </si>
  <si>
    <t xml:space="preserve">C# Complete</t>
  </si>
  <si>
    <t xml:space="preserve">C# &amp; .NET</t>
  </si>
  <si>
    <t xml:space="preserve">PRC-43</t>
  </si>
  <si>
    <t xml:space="preserve">Microsoft Visual C#.NET Step by Step</t>
  </si>
  <si>
    <t xml:space="preserve">Visual C#.NET</t>
  </si>
  <si>
    <t xml:space="preserve">Sharp, J. &amp; Jagger, J.</t>
  </si>
  <si>
    <t xml:space="preserve">PRD-02</t>
  </si>
  <si>
    <t xml:space="preserve">Delphi Programming Graphics &amp; Game Exposed! w/ DirectX (CD Inc.)</t>
  </si>
  <si>
    <t xml:space="preserve">DELPHI (DIRECTX)</t>
  </si>
  <si>
    <t xml:space="preserve">Ayres, J.</t>
  </si>
  <si>
    <t xml:space="preserve">PRD-07</t>
  </si>
  <si>
    <t xml:space="preserve">Delphi in a Nutshell.</t>
  </si>
  <si>
    <t xml:space="preserve">DELPHI</t>
  </si>
  <si>
    <t xml:space="preserve">Lischner, R.</t>
  </si>
  <si>
    <t xml:space="preserve">PRG-01</t>
  </si>
  <si>
    <t xml:space="preserve">Rebol, The Official Guide</t>
  </si>
  <si>
    <t xml:space="preserve">REBOL</t>
  </si>
  <si>
    <t xml:space="preserve">Goldman,E. &amp; Blanton, J.</t>
  </si>
  <si>
    <t xml:space="preserve">PRH-01</t>
  </si>
  <si>
    <t xml:space="preserve">Perl in a Nutshell.  The Perl CD Bookshelf  (2 CD's Inc.)</t>
  </si>
  <si>
    <t xml:space="preserve">PERL</t>
  </si>
  <si>
    <t xml:space="preserve">Seiver, Spainbour, &amp; Patwardhan</t>
  </si>
  <si>
    <t xml:space="preserve">PRH-02</t>
  </si>
  <si>
    <t xml:space="preserve">Learning Perl</t>
  </si>
  <si>
    <t xml:space="preserve">Schwartz &amp; Christiansen</t>
  </si>
  <si>
    <t xml:space="preserve">PRH-03</t>
  </si>
  <si>
    <t xml:space="preserve">Perl in a Nutshell.  2nd Edition, The Perl CD Bookshelf  (2 CD's Inc.)</t>
  </si>
  <si>
    <t xml:space="preserve">PERL  3.0</t>
  </si>
  <si>
    <t xml:space="preserve">Patwardhan, Siever, Spainbour.</t>
  </si>
  <si>
    <t xml:space="preserve">PRH-04</t>
  </si>
  <si>
    <t xml:space="preserve">PERL for Dummies</t>
  </si>
  <si>
    <t xml:space="preserve">PERL 5.8</t>
  </si>
  <si>
    <t xml:space="preserve">Hoffman, P.</t>
  </si>
  <si>
    <t xml:space="preserve">PRH-05</t>
  </si>
  <si>
    <t xml:space="preserve">Web, Graphics &amp; Perl/Tk</t>
  </si>
  <si>
    <t xml:space="preserve">Orwant, J.</t>
  </si>
  <si>
    <t xml:space="preserve">PRH-06</t>
  </si>
  <si>
    <t xml:space="preserve">Perl Graphics Programming</t>
  </si>
  <si>
    <t xml:space="preserve">Wallace, S.</t>
  </si>
  <si>
    <t xml:space="preserve">PRH-07</t>
  </si>
  <si>
    <t xml:space="preserve">Introduction to CGI / Perl</t>
  </si>
  <si>
    <t xml:space="preserve">CGI / PERL</t>
  </si>
  <si>
    <t xml:space="preserve">Brenner, S. 7 Aoki, E.</t>
  </si>
  <si>
    <t xml:space="preserve">MST Books</t>
  </si>
  <si>
    <t xml:space="preserve">PRH-08</t>
  </si>
  <si>
    <t xml:space="preserve">Perl for Oracle DBAs</t>
  </si>
  <si>
    <t xml:space="preserve">Duncan, A &amp; Still, J</t>
  </si>
  <si>
    <t xml:space="preserve">PRH-09</t>
  </si>
  <si>
    <t xml:space="preserve">Win32 Perl Programming The Standard Extensions</t>
  </si>
  <si>
    <t xml:space="preserve">Roth, D</t>
  </si>
  <si>
    <t xml:space="preserve">PRJ-03</t>
  </si>
  <si>
    <t xml:space="preserve">Intelligent Java Applications.  (CD Inc.)</t>
  </si>
  <si>
    <t xml:space="preserve">JAVA</t>
  </si>
  <si>
    <t xml:space="preserve">Watson, M.</t>
  </si>
  <si>
    <t xml:space="preserve">PRJ-04</t>
  </si>
  <si>
    <t xml:space="preserve">Java 2 Platform Unleashed</t>
  </si>
  <si>
    <t xml:space="preserve">JAVA 2</t>
  </si>
  <si>
    <t xml:space="preserve">Jaworski, J.</t>
  </si>
  <si>
    <t xml:space="preserve">PRJ-05</t>
  </si>
  <si>
    <t xml:space="preserve">Creating JavaBeans  (CD Inc,)</t>
  </si>
  <si>
    <t xml:space="preserve">JAVABEANS</t>
  </si>
  <si>
    <t xml:space="preserve">PRJ-06</t>
  </si>
  <si>
    <t xml:space="preserve">Constructing Intelligent Agents with Java  (CD Inc.)+C677</t>
  </si>
  <si>
    <t xml:space="preserve">Bigus, Joseph.P. &amp; Jennifer.</t>
  </si>
  <si>
    <t xml:space="preserve">PRJ-07</t>
  </si>
  <si>
    <t xml:space="preserve">Java Network Programming</t>
  </si>
  <si>
    <t xml:space="preserve">Harold, E.R.</t>
  </si>
  <si>
    <t xml:space="preserve">PRJ-09</t>
  </si>
  <si>
    <t xml:space="preserve">Java &amp; Xml</t>
  </si>
  <si>
    <t xml:space="preserve">JAVA &amp; XML</t>
  </si>
  <si>
    <t xml:space="preserve">McLaughlin, B.</t>
  </si>
  <si>
    <t xml:space="preserve">PRJ-10</t>
  </si>
  <si>
    <t xml:space="preserve">Definitive Guide to Swing for Java 2, 2nd Edition</t>
  </si>
  <si>
    <t xml:space="preserve">Zukowski, J.</t>
  </si>
  <si>
    <t xml:space="preserve">PRJ-11</t>
  </si>
  <si>
    <t xml:space="preserve">Java Tools for Extreme Programming</t>
  </si>
  <si>
    <t xml:space="preserve">Hightower,R. &amp; Lesiecki, N.</t>
  </si>
  <si>
    <t xml:space="preserve">PRJ-12</t>
  </si>
  <si>
    <t xml:space="preserve">Java in a Nutshell</t>
  </si>
  <si>
    <t xml:space="preserve">Flanagan, D.</t>
  </si>
  <si>
    <t xml:space="preserve">PRJ-13</t>
  </si>
  <si>
    <t xml:space="preserve">Java Enterprise in a Nutshell</t>
  </si>
  <si>
    <t xml:space="preserve">Farley, Crawford, Flanagan.</t>
  </si>
  <si>
    <t xml:space="preserve">PRJ-14</t>
  </si>
  <si>
    <t xml:space="preserve">J2ME in a Nutshell</t>
  </si>
  <si>
    <t xml:space="preserve">Topley, K.</t>
  </si>
  <si>
    <t xml:space="preserve">PRJ-16</t>
  </si>
  <si>
    <t xml:space="preserve">JavaScript, A Beginner's Guide.</t>
  </si>
  <si>
    <t xml:space="preserve">Pollock, J.</t>
  </si>
  <si>
    <t xml:space="preserve">PRJ-17</t>
  </si>
  <si>
    <t xml:space="preserve">Learn Java Script</t>
  </si>
  <si>
    <t xml:space="preserve">Easttom.C.</t>
  </si>
  <si>
    <t xml:space="preserve">Wordware Publishing</t>
  </si>
  <si>
    <t xml:space="preserve">PRJ-18</t>
  </si>
  <si>
    <t xml:space="preserve">Swing</t>
  </si>
  <si>
    <t xml:space="preserve">JAVA SWING</t>
  </si>
  <si>
    <t xml:space="preserve">Robinson, M. &amp; Vorobiev, P.</t>
  </si>
  <si>
    <t xml:space="preserve">PRJ-19</t>
  </si>
  <si>
    <t xml:space="preserve">JavaScript Quick Reference</t>
  </si>
  <si>
    <t xml:space="preserve">Darnell, R.</t>
  </si>
  <si>
    <t xml:space="preserve">PRJ-20</t>
  </si>
  <si>
    <t xml:space="preserve">PRJ-21</t>
  </si>
  <si>
    <t xml:space="preserve">Presenting Java Beans</t>
  </si>
  <si>
    <t xml:space="preserve">Morrison.M.</t>
  </si>
  <si>
    <t xml:space="preserve">PRJ-22</t>
  </si>
  <si>
    <t xml:space="preserve">Core JFC Java Foundation Classes Second Edition</t>
  </si>
  <si>
    <t xml:space="preserve">PRJ-23</t>
  </si>
  <si>
    <t xml:space="preserve">The Java Developer's Guide to Eclipse</t>
  </si>
  <si>
    <t xml:space="preserve">Shavor, S. et al</t>
  </si>
  <si>
    <t xml:space="preserve">PRJ-24</t>
  </si>
  <si>
    <t xml:space="preserve">Head First Java</t>
  </si>
  <si>
    <t xml:space="preserve">Sierra,K. &amp; Bates,B.</t>
  </si>
  <si>
    <t xml:space="preserve">PRJ-25</t>
  </si>
  <si>
    <t xml:space="preserve">Java 5 Illuminated</t>
  </si>
  <si>
    <t xml:space="preserve">JAVA 5</t>
  </si>
  <si>
    <t xml:space="preserve">Anderson, J. &amp; Franceschi, H.</t>
  </si>
  <si>
    <t xml:space="preserve">Jones &amp; Bartlett</t>
  </si>
  <si>
    <t xml:space="preserve">PRJ-26</t>
  </si>
  <si>
    <t xml:space="preserve">Learning Java Script</t>
  </si>
  <si>
    <t xml:space="preserve">JAVA SCRIPT</t>
  </si>
  <si>
    <t xml:space="preserve">Powers, S.</t>
  </si>
  <si>
    <t xml:space="preserve">PRJ-27</t>
  </si>
  <si>
    <t xml:space="preserve">JavaScript - The Definitive Guide</t>
  </si>
  <si>
    <t xml:space="preserve">PRJ-28</t>
  </si>
  <si>
    <t xml:space="preserve">Java development with the Spring Framework</t>
  </si>
  <si>
    <t xml:space="preserve">Johnson, Hoeller, Arendsen, et al</t>
  </si>
  <si>
    <t xml:space="preserve">PRJ-29</t>
  </si>
  <si>
    <t xml:space="preserve">Using JavaScript   Special Edition</t>
  </si>
  <si>
    <t xml:space="preserve">McFedries P.</t>
  </si>
  <si>
    <t xml:space="preserve">PRJ-30</t>
  </si>
  <si>
    <t xml:space="preserve">Java Script Bible 3rd Edition</t>
  </si>
  <si>
    <t xml:space="preserve">Goodman, D.</t>
  </si>
  <si>
    <t xml:space="preserve">PRJ-31</t>
  </si>
  <si>
    <t xml:space="preserve">Java In Plain English</t>
  </si>
  <si>
    <t xml:space="preserve">Overland, B.</t>
  </si>
  <si>
    <t xml:space="preserve">PRJ-32</t>
  </si>
  <si>
    <t xml:space="preserve">Teach Yourself JavaScript in 24 hours</t>
  </si>
  <si>
    <t xml:space="preserve">JAVASCRIPT</t>
  </si>
  <si>
    <t xml:space="preserve">Moncur, Michael</t>
  </si>
  <si>
    <t xml:space="preserve">PRJ-33</t>
  </si>
  <si>
    <t xml:space="preserve">Learning Java</t>
  </si>
  <si>
    <t xml:space="preserve">Niemeyer, P &amp; Knudsen, J</t>
  </si>
  <si>
    <t xml:space="preserve">PRJ-34</t>
  </si>
  <si>
    <t xml:space="preserve">Java Examples in a Nutshell</t>
  </si>
  <si>
    <t xml:space="preserve">PRJ-35</t>
  </si>
  <si>
    <t xml:space="preserve">PRJ-36</t>
  </si>
  <si>
    <t xml:space="preserve">Learning JavaScript</t>
  </si>
  <si>
    <t xml:space="preserve">JavaScript</t>
  </si>
  <si>
    <t xml:space="preserve">PRJ-37</t>
  </si>
  <si>
    <t xml:space="preserve">Core Java 2 Volume 1 - Fundamentals</t>
  </si>
  <si>
    <t xml:space="preserve">Java</t>
  </si>
  <si>
    <t xml:space="preserve">Horstmann, C. S. &amp; Cornell, G.</t>
  </si>
  <si>
    <t xml:space="preserve">Sun Microsystems</t>
  </si>
  <si>
    <t xml:space="preserve">PRJ-38</t>
  </si>
  <si>
    <t xml:space="preserve">Java Programming Fundamentals</t>
  </si>
  <si>
    <t xml:space="preserve">Seefeld, K.</t>
  </si>
  <si>
    <t xml:space="preserve">Charles River Media</t>
  </si>
  <si>
    <t xml:space="preserve">PRJ-39</t>
  </si>
  <si>
    <t xml:space="preserve">Java 2 in easy steps</t>
  </si>
  <si>
    <t xml:space="preserve">McGrath, M.</t>
  </si>
  <si>
    <t xml:space="preserve">PRM-01</t>
  </si>
  <si>
    <t xml:space="preserve">Complete Maya Programming</t>
  </si>
  <si>
    <t xml:space="preserve">MAYA</t>
  </si>
  <si>
    <t xml:space="preserve">Gould, D.A.D.</t>
  </si>
  <si>
    <t xml:space="preserve">RO-01</t>
  </si>
  <si>
    <t xml:space="preserve">BattleBots, The Official Guide</t>
  </si>
  <si>
    <t xml:space="preserve">Robotics</t>
  </si>
  <si>
    <t xml:space="preserve">Clarkson,M.</t>
  </si>
  <si>
    <t xml:space="preserve">RO-02</t>
  </si>
  <si>
    <t xml:space="preserve">Build your own Combat Robot</t>
  </si>
  <si>
    <t xml:space="preserve">Miles, P. &amp; Carroll, T.</t>
  </si>
  <si>
    <t xml:space="preserve">SBS-01</t>
  </si>
  <si>
    <t xml:space="preserve">Windows Small Business Server 2008</t>
  </si>
  <si>
    <t xml:space="preserve">WINDOWS SBS</t>
  </si>
  <si>
    <t xml:space="preserve">Small Business Server</t>
  </si>
  <si>
    <t xml:space="preserve">Neale, E.O. et al</t>
  </si>
  <si>
    <t xml:space="preserve">SBS-03</t>
  </si>
  <si>
    <t xml:space="preserve">Windows Small Business Server 2003</t>
  </si>
  <si>
    <t xml:space="preserve">Russell, C.&amp; Crawford, S.</t>
  </si>
  <si>
    <t xml:space="preserve">SBS-05</t>
  </si>
  <si>
    <t xml:space="preserve">SMB Consulting Best Practices</t>
  </si>
  <si>
    <t xml:space="preserve">Brelsford, H.</t>
  </si>
  <si>
    <t xml:space="preserve">SMB Nation Press</t>
  </si>
  <si>
    <t xml:space="preserve">SBS-06</t>
  </si>
  <si>
    <t xml:space="preserve">Advanced Windows Small Business Server 2003 Best Practices</t>
  </si>
  <si>
    <t xml:space="preserve">SBS-07</t>
  </si>
  <si>
    <t xml:space="preserve">Designing, Deploying, And Managing a Network Solution </t>
  </si>
  <si>
    <t xml:space="preserve">SBS-08</t>
  </si>
  <si>
    <t xml:space="preserve">Introducing Microsoft Windows Server 2003</t>
  </si>
  <si>
    <t xml:space="preserve">Honeycutt, J.</t>
  </si>
  <si>
    <t xml:space="preserve">SE-03</t>
  </si>
  <si>
    <t xml:space="preserve">Cracking DES - Secrets of Encryption Research</t>
  </si>
  <si>
    <t xml:space="preserve">Security</t>
  </si>
  <si>
    <t xml:space="preserve">Electronic Frontier Foundation</t>
  </si>
  <si>
    <t xml:space="preserve">SE-04</t>
  </si>
  <si>
    <t xml:space="preserve">Personal Encryption - Clearly Explained</t>
  </si>
  <si>
    <t xml:space="preserve">Loshin, P.</t>
  </si>
  <si>
    <t xml:space="preserve">SE-07</t>
  </si>
  <si>
    <t xml:space="preserve">PKI  Implementing &amp; Managing  E-Security</t>
  </si>
  <si>
    <t xml:space="preserve">Nash, Duane, Joseph, &amp; Brink.</t>
  </si>
  <si>
    <t xml:space="preserve">SE-08</t>
  </si>
  <si>
    <t xml:space="preserve">RSA Security Official Guide to Cryptography</t>
  </si>
  <si>
    <t xml:space="preserve">Burnett,S. &amp; Paine, S.</t>
  </si>
  <si>
    <t xml:space="preserve">SE-09</t>
  </si>
  <si>
    <t xml:space="preserve">Have you locked the Castle gate?</t>
  </si>
  <si>
    <t xml:space="preserve">Shea, B.</t>
  </si>
  <si>
    <t xml:space="preserve">SE-11</t>
  </si>
  <si>
    <t xml:space="preserve">Computer Forensics</t>
  </si>
  <si>
    <t xml:space="preserve">Kruse,W.G. &amp; Heiser,J.G.</t>
  </si>
  <si>
    <t xml:space="preserve">SE-13</t>
  </si>
  <si>
    <t xml:space="preserve">Computer Security, Employee Handbook</t>
  </si>
  <si>
    <t xml:space="preserve">Rothke, B.</t>
  </si>
  <si>
    <t xml:space="preserve">SE-15</t>
  </si>
  <si>
    <t xml:space="preserve">Hacking Exposed (2nd Edition)</t>
  </si>
  <si>
    <t xml:space="preserve">Scambray, McClure, &amp; Kurz.</t>
  </si>
  <si>
    <t xml:space="preserve">SE-16</t>
  </si>
  <si>
    <t xml:space="preserve">Hacker Attack</t>
  </si>
  <si>
    <t xml:space="preserve">Mansfield</t>
  </si>
  <si>
    <t xml:space="preserve">SE-17</t>
  </si>
  <si>
    <t xml:space="preserve">Hacking Web Applications Exposed</t>
  </si>
  <si>
    <t xml:space="preserve">Scambray, J. &amp; Shema, M.</t>
  </si>
  <si>
    <t xml:space="preserve">SE-18</t>
  </si>
  <si>
    <t xml:space="preserve">Incident Response</t>
  </si>
  <si>
    <t xml:space="preserve">Mandia, K. &amp; Prosise, C.</t>
  </si>
  <si>
    <t xml:space="preserve">SE-19</t>
  </si>
  <si>
    <t xml:space="preserve">Hack Attacks Encyclopedia</t>
  </si>
  <si>
    <t xml:space="preserve">Chirillo, J.</t>
  </si>
  <si>
    <t xml:space="preserve">SE-21</t>
  </si>
  <si>
    <t xml:space="preserve">Information Systems Security Officers Guide</t>
  </si>
  <si>
    <t xml:space="preserve">Kovacick, G.L.</t>
  </si>
  <si>
    <t xml:space="preserve">Butterworth Heineman</t>
  </si>
  <si>
    <t xml:space="preserve">SE-23</t>
  </si>
  <si>
    <t xml:space="preserve">Security Warrior</t>
  </si>
  <si>
    <t xml:space="preserve">Peikari, C. &amp; Chuvakin, A.</t>
  </si>
  <si>
    <t xml:space="preserve">SE-24</t>
  </si>
  <si>
    <t xml:space="preserve">Stealing the network</t>
  </si>
  <si>
    <t xml:space="preserve">Russell, R. &amp; Mitnick, K.D.</t>
  </si>
  <si>
    <t xml:space="preserve">SynGress</t>
  </si>
  <si>
    <t xml:space="preserve">SE-26</t>
  </si>
  <si>
    <t xml:space="preserve">Keep Your Kids Safe on the Internet</t>
  </si>
  <si>
    <t xml:space="preserve">Johnson, S</t>
  </si>
  <si>
    <t xml:space="preserve">SE-27</t>
  </si>
  <si>
    <t xml:space="preserve">Spam Wars</t>
  </si>
  <si>
    <t xml:space="preserve">Goodman,D.</t>
  </si>
  <si>
    <t xml:space="preserve">Selectbooks</t>
  </si>
  <si>
    <t xml:space="preserve">SE-28</t>
  </si>
  <si>
    <t xml:space="preserve">Trojans, Worms,&amp; Spyware</t>
  </si>
  <si>
    <t xml:space="preserve">Erbschloe, M.</t>
  </si>
  <si>
    <t xml:space="preserve">SE-29</t>
  </si>
  <si>
    <t xml:space="preserve">Ending SPAM</t>
  </si>
  <si>
    <t xml:space="preserve">J A Zdziarski</t>
  </si>
  <si>
    <t xml:space="preserve">SPE-10</t>
  </si>
  <si>
    <t xml:space="preserve">Running Microsoft Excel 97  (CD Missing)+C599</t>
  </si>
  <si>
    <t xml:space="preserve">EXCEL 97</t>
  </si>
  <si>
    <t xml:space="preserve">Spreadsheets</t>
  </si>
  <si>
    <t xml:space="preserve">Dodge, M</t>
  </si>
  <si>
    <t xml:space="preserve">SPE-14</t>
  </si>
  <si>
    <t xml:space="preserve"> Microsoft Excel 2000 Bible (CD included).C299</t>
  </si>
  <si>
    <t xml:space="preserve">EXCEL 2000</t>
  </si>
  <si>
    <t xml:space="preserve">Walkenbach, J.</t>
  </si>
  <si>
    <t xml:space="preserve">SPE-16</t>
  </si>
  <si>
    <t xml:space="preserve">Excel 2002 In Easy Steps</t>
  </si>
  <si>
    <t xml:space="preserve">EXCEL 2002</t>
  </si>
  <si>
    <t xml:space="preserve">SPE-17</t>
  </si>
  <si>
    <t xml:space="preserve">Excel By Example - a Cookbook for Electronics Engineers.</t>
  </si>
  <si>
    <t xml:space="preserve">EXCEL</t>
  </si>
  <si>
    <t xml:space="preserve">Kagan, A.</t>
  </si>
  <si>
    <t xml:space="preserve">SPE-18</t>
  </si>
  <si>
    <t xml:space="preserve">Excel 2003 Personal Trainer (Cod Inc.)</t>
  </si>
  <si>
    <t xml:space="preserve">EXCEL 2003</t>
  </si>
  <si>
    <t xml:space="preserve">SPE-19</t>
  </si>
  <si>
    <t xml:space="preserve">Excel Annoyances</t>
  </si>
  <si>
    <t xml:space="preserve">Frye, C.</t>
  </si>
  <si>
    <t xml:space="preserve">SPE-21</t>
  </si>
  <si>
    <t xml:space="preserve">SPE-22</t>
  </si>
  <si>
    <t xml:space="preserve">Writing Excel Macros</t>
  </si>
  <si>
    <t xml:space="preserve">Roman,S.</t>
  </si>
  <si>
    <t xml:space="preserve">SPE-23</t>
  </si>
  <si>
    <t xml:space="preserve">Excel Timesaving Techniques for Dummies</t>
  </si>
  <si>
    <t xml:space="preserve">Harvey,G.</t>
  </si>
  <si>
    <t xml:space="preserve">SPE-24</t>
  </si>
  <si>
    <t xml:space="preserve">Excel 2003 , A Developer's Notebook</t>
  </si>
  <si>
    <t xml:space="preserve">Webb, J.</t>
  </si>
  <si>
    <t xml:space="preserve">SPE-26</t>
  </si>
  <si>
    <t xml:space="preserve">Excel, The Missing Manual</t>
  </si>
  <si>
    <t xml:space="preserve">MacDonald</t>
  </si>
  <si>
    <t xml:space="preserve">SPE-27</t>
  </si>
  <si>
    <t xml:space="preserve">Spreadsheet Check &amp; Control</t>
  </si>
  <si>
    <t xml:space="preserve">O'Beirne, P.</t>
  </si>
  <si>
    <t xml:space="preserve">Systems Publishing</t>
  </si>
  <si>
    <t xml:space="preserve">SPE-28</t>
  </si>
  <si>
    <t xml:space="preserve">Excel 2003 Visual Quick Tips</t>
  </si>
  <si>
    <t xml:space="preserve">Peal, D.</t>
  </si>
  <si>
    <t xml:space="preserve">SPE-29</t>
  </si>
  <si>
    <t xml:space="preserve">Excel 2003 for Dummies - Just the Steps</t>
  </si>
  <si>
    <t xml:space="preserve">Koers, D.</t>
  </si>
  <si>
    <t xml:space="preserve">SPE-30</t>
  </si>
  <si>
    <t xml:space="preserve">Excel for Starters. The Missing Manual</t>
  </si>
  <si>
    <t xml:space="preserve">MacDonald, M.</t>
  </si>
  <si>
    <t xml:space="preserve">SPE-32</t>
  </si>
  <si>
    <t xml:space="preserve">Step by Step Excel 97 Visual Basic</t>
  </si>
  <si>
    <t xml:space="preserve">Jacobson, R.</t>
  </si>
  <si>
    <t xml:space="preserve">SPE-33</t>
  </si>
  <si>
    <t xml:space="preserve">Excel 97 for Dummies</t>
  </si>
  <si>
    <t xml:space="preserve">Harvey, G.</t>
  </si>
  <si>
    <t xml:space="preserve">Hungry Minds Inc.</t>
  </si>
  <si>
    <t xml:space="preserve">SPE-34</t>
  </si>
  <si>
    <t xml:space="preserve">Excel 2007</t>
  </si>
  <si>
    <t xml:space="preserve">EXCEL 2007</t>
  </si>
  <si>
    <t xml:space="preserve">SPE-36</t>
  </si>
  <si>
    <t xml:space="preserve">Microsoft Excel 2007, Inside Out</t>
  </si>
  <si>
    <t xml:space="preserve">Dodge, M. &amp; Stinson, C.</t>
  </si>
  <si>
    <t xml:space="preserve">SPE-37</t>
  </si>
  <si>
    <t xml:space="preserve">Excel 2013 for Dummies</t>
  </si>
  <si>
    <t xml:space="preserve">EXCEL 2013</t>
  </si>
  <si>
    <t xml:space="preserve">SPE-38</t>
  </si>
  <si>
    <t xml:space="preserve">Excel VBA Programming for Dummies, 4th edition</t>
  </si>
  <si>
    <t xml:space="preserve">EXCEL 2016</t>
  </si>
  <si>
    <t xml:space="preserve">SPE-39</t>
  </si>
  <si>
    <t xml:space="preserve">Teach Yourself Visually Excel 2016</t>
  </si>
  <si>
    <t xml:space="preserve">SPE-40</t>
  </si>
  <si>
    <t xml:space="preserve">Microsoft Excel 2016 for Dummies</t>
  </si>
  <si>
    <t xml:space="preserve">VI-04</t>
  </si>
  <si>
    <t xml:space="preserve">Malicious Mobile Code</t>
  </si>
  <si>
    <t xml:space="preserve">Viruses</t>
  </si>
  <si>
    <t xml:space="preserve">Grimes, R.</t>
  </si>
  <si>
    <t xml:space="preserve">VI-05</t>
  </si>
  <si>
    <t xml:space="preserve">Viruses Revealed</t>
  </si>
  <si>
    <t xml:space="preserve">Harley, Slade, &amp; Gattiker</t>
  </si>
  <si>
    <t xml:space="preserve">VI-06</t>
  </si>
  <si>
    <t xml:space="preserve">Bigelow's Virus Troubleshooting Handbook</t>
  </si>
  <si>
    <t xml:space="preserve">Bigelow's S.</t>
  </si>
  <si>
    <t xml:space="preserve">VI-07</t>
  </si>
  <si>
    <t xml:space="preserve">Best Damn Firewall Book</t>
  </si>
  <si>
    <t xml:space="preserve">Shimonski, Shinder, Carasik-Henmi</t>
  </si>
  <si>
    <t xml:space="preserve">VI-08</t>
  </si>
  <si>
    <t xml:space="preserve">Computers Viruses for Dummies</t>
  </si>
  <si>
    <t xml:space="preserve">Gregory, P</t>
  </si>
  <si>
    <t xml:space="preserve">VI-09</t>
  </si>
  <si>
    <t xml:space="preserve">How to do Everything. Fight Spam, Viruses, etc.</t>
  </si>
  <si>
    <t xml:space="preserve">Ken Feinstein</t>
  </si>
  <si>
    <t xml:space="preserve">McGraw Hill/Osborne</t>
  </si>
  <si>
    <t xml:space="preserve">WPM-19</t>
  </si>
  <si>
    <t xml:space="preserve">Microsoft Word V2002</t>
  </si>
  <si>
    <t xml:space="preserve">WORD 2002</t>
  </si>
  <si>
    <t xml:space="preserve">Word  Processing</t>
  </si>
  <si>
    <t xml:space="preserve">Millhollon, M. &amp; Murray, K.</t>
  </si>
  <si>
    <t xml:space="preserve">WPM-21</t>
  </si>
  <si>
    <t xml:space="preserve">The Complete Idiot's Guide to Word 2000</t>
  </si>
  <si>
    <t xml:space="preserve">WORD 2000</t>
  </si>
  <si>
    <t xml:space="preserve">Bobola, D.T.</t>
  </si>
  <si>
    <t xml:space="preserve">WPM-22</t>
  </si>
  <si>
    <t xml:space="preserve">Word Hacks, Tips &amp; Tools</t>
  </si>
  <si>
    <t xml:space="preserve">WORD 2003</t>
  </si>
  <si>
    <t xml:space="preserve">Savikas,A.</t>
  </si>
  <si>
    <t xml:space="preserve">WPM-24</t>
  </si>
  <si>
    <t xml:space="preserve">Word 2007 Quick Steps</t>
  </si>
  <si>
    <t xml:space="preserve">WORD 2007</t>
  </si>
  <si>
    <t xml:space="preserve">M. &amp; C. Matthews</t>
  </si>
  <si>
    <t xml:space="preserve">WPM-25</t>
  </si>
  <si>
    <t xml:space="preserve">Word 2007 for Dummies</t>
  </si>
  <si>
    <t xml:space="preserve">WPM-27</t>
  </si>
  <si>
    <t xml:space="preserve">Word 2007 Inside Out</t>
  </si>
  <si>
    <t xml:space="preserve">Murray, Milhollon</t>
  </si>
  <si>
    <t xml:space="preserve">WPM-28</t>
  </si>
  <si>
    <t xml:space="preserve">Teach Yourself Microsoft Word 2000 Automation</t>
  </si>
  <si>
    <t xml:space="preserve">Word 2000</t>
  </si>
  <si>
    <t xml:space="preserve">WORD PROCESSING</t>
  </si>
  <si>
    <t xml:space="preserve">Palmer, P.</t>
  </si>
  <si>
    <t xml:space="preserve">WPM-30</t>
  </si>
  <si>
    <t xml:space="preserve">Word 2016 for Dummies</t>
  </si>
  <si>
    <t xml:space="preserve">Word 2016</t>
  </si>
  <si>
    <t xml:space="preserve">WT-01</t>
  </si>
  <si>
    <t xml:space="preserve">Wireless Hacks. 100 Industrial Strength Tips &amp; Tools</t>
  </si>
  <si>
    <t xml:space="preserve">Wireless Technology</t>
  </si>
  <si>
    <t xml:space="preserve">Flickenger, R.</t>
  </si>
  <si>
    <t xml:space="preserve">WT-02</t>
  </si>
  <si>
    <t xml:space="preserve">802.11 Wireless Networks. The Definitive Guide</t>
  </si>
  <si>
    <t xml:space="preserve">Gast, M.S.</t>
  </si>
  <si>
    <t xml:space="preserve">WT-03</t>
  </si>
  <si>
    <t xml:space="preserve">802.11 Security</t>
  </si>
  <si>
    <t xml:space="preserve">Potter, B. &amp; Fleck, B.</t>
  </si>
  <si>
    <t xml:space="preserve">WT-04</t>
  </si>
  <si>
    <t xml:space="preserve">Building Wireless Community Networks</t>
  </si>
  <si>
    <t xml:space="preserve">R.Flickenger</t>
  </si>
  <si>
    <t xml:space="preserve">WT-06</t>
  </si>
  <si>
    <t xml:space="preserve">Implementing 802.11, 802.16,and 802.20 Wireless Networks (CD Inc)</t>
  </si>
  <si>
    <t xml:space="preserve">802.11, 802.16, 802.20</t>
  </si>
  <si>
    <t xml:space="preserve">Olexa, R.</t>
  </si>
  <si>
    <t xml:space="preserve">WT-07</t>
  </si>
  <si>
    <t xml:space="preserve">Wireless All-in-one Desk Reference for Dummies</t>
  </si>
  <si>
    <t xml:space="preserve">Carter, T.W.</t>
  </si>
  <si>
    <t xml:space="preserve">WT-08</t>
  </si>
  <si>
    <t xml:space="preserve">Wireless Home Networking for Dummies</t>
  </si>
  <si>
    <t xml:space="preserve">Briere, Hurley &amp; Ferris</t>
  </si>
  <si>
    <t xml:space="preserve">WT-09</t>
  </si>
  <si>
    <t xml:space="preserve">Implementing 802.11, with Microcontrollers</t>
  </si>
  <si>
    <t xml:space="preserve">Eady, F.</t>
  </si>
  <si>
    <t xml:space="preserve">WT-11</t>
  </si>
  <si>
    <t xml:space="preserve">Wi-Fi Home Networking for Dummies - Just the Steps.</t>
  </si>
  <si>
    <t xml:space="preserve">Underdahl, K.</t>
  </si>
  <si>
    <t xml:space="preserve">WT-12</t>
  </si>
  <si>
    <t xml:space="preserve">AAAAAH/f4II=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</si>
</sst>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Verdana"/>
      <family val="2"/>
      <charset val="1"/>
    </font>
    <font>
      <sz val="11"/>
      <color rgb="FF000000"/>
      <name val="Verdana"/>
      <family val="2"/>
      <charset val="1"/>
    </font>
    <font>
      <sz val="11"/>
      <color rgb="FFFF0000"/>
      <name val="Verdana"/>
      <family val="2"/>
      <charset val="1"/>
    </font>
    <font>
      <b val="true"/>
      <sz val="11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7030A0"/>
        <bgColor rgb="FF993366"/>
      </patternFill>
    </fill>
    <fill>
      <patternFill patternType="solid">
        <fgColor rgb="FFCCECFF"/>
        <bgColor rgb="FFCCFFFF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C2" activeCellId="0" sqref="C2"/>
    </sheetView>
  </sheetViews>
  <sheetFormatPr defaultColWidth="9.30078125" defaultRowHeight="14.2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10.42"/>
    <col collapsed="false" customWidth="true" hidden="false" outlineLevel="0" max="3" min="3" style="1" width="78.42"/>
    <col collapsed="false" customWidth="true" hidden="false" outlineLevel="0" max="4" min="4" style="1" width="27.71"/>
    <col collapsed="false" customWidth="true" hidden="false" outlineLevel="0" max="5" min="5" style="1" width="24.71"/>
    <col collapsed="false" customWidth="true" hidden="false" outlineLevel="0" max="6" min="6" style="1" width="13.57"/>
    <col collapsed="false" customWidth="true" hidden="false" outlineLevel="0" max="7" min="7" style="1" width="37.71"/>
    <col collapsed="false" customWidth="true" hidden="false" outlineLevel="0" max="8" min="8" style="1" width="29.29"/>
    <col collapsed="false" customWidth="false" hidden="false" outlineLevel="0" max="1024" min="9" style="1" width="9.29"/>
  </cols>
  <sheetData>
    <row r="1" customFormat="false" ht="14.25" hidden="false" customHeight="false" outlineLevel="0" collapsed="false">
      <c r="C1" s="2" t="s">
        <v>0</v>
      </c>
      <c r="D1" s="3"/>
      <c r="E1" s="3"/>
    </row>
    <row r="2" customFormat="false" ht="14.25" hidden="false" customHeight="false" outlineLevel="0" collapsed="false">
      <c r="C2" s="4" t="s">
        <v>1</v>
      </c>
    </row>
    <row r="3" customFormat="false" ht="14.25" hidden="false" customHeight="false" outlineLevel="0" collapsed="false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5" customFormat="false" ht="14.25" hidden="false" customHeight="false" outlineLevel="0" collapsed="false">
      <c r="B5" s="6" t="s">
        <v>9</v>
      </c>
      <c r="C5" s="2" t="s">
        <v>10</v>
      </c>
      <c r="D5" s="2"/>
      <c r="E5" s="2" t="s">
        <v>11</v>
      </c>
      <c r="F5" s="6" t="n">
        <v>2002</v>
      </c>
      <c r="G5" s="2" t="s">
        <v>12</v>
      </c>
      <c r="H5" s="2" t="s">
        <v>13</v>
      </c>
    </row>
    <row r="6" customFormat="false" ht="14.25" hidden="false" customHeight="false" outlineLevel="0" collapsed="false">
      <c r="B6" s="7" t="s">
        <v>14</v>
      </c>
      <c r="C6" s="1" t="s">
        <v>15</v>
      </c>
      <c r="E6" s="1" t="s">
        <v>11</v>
      </c>
      <c r="F6" s="7" t="n">
        <v>2004</v>
      </c>
      <c r="G6" s="1" t="s">
        <v>16</v>
      </c>
      <c r="H6" s="1" t="s">
        <v>17</v>
      </c>
    </row>
    <row r="7" customFormat="false" ht="14.25" hidden="false" customHeight="false" outlineLevel="0" collapsed="false">
      <c r="B7" s="7" t="s">
        <v>18</v>
      </c>
      <c r="C7" s="1" t="s">
        <v>19</v>
      </c>
      <c r="D7" s="1" t="s">
        <v>20</v>
      </c>
      <c r="E7" s="1" t="s">
        <v>11</v>
      </c>
      <c r="F7" s="7" t="n">
        <v>2006</v>
      </c>
      <c r="G7" s="3"/>
      <c r="H7" s="1" t="s">
        <v>21</v>
      </c>
    </row>
    <row r="8" customFormat="false" ht="14.25" hidden="false" customHeight="false" outlineLevel="0" collapsed="false">
      <c r="B8" s="6" t="s">
        <v>22</v>
      </c>
      <c r="C8" s="2" t="s">
        <v>23</v>
      </c>
      <c r="D8" s="2" t="s">
        <v>20</v>
      </c>
      <c r="E8" s="2" t="s">
        <v>11</v>
      </c>
      <c r="F8" s="6" t="n">
        <v>2007</v>
      </c>
      <c r="G8" s="2" t="s">
        <v>24</v>
      </c>
      <c r="H8" s="2" t="s">
        <v>25</v>
      </c>
    </row>
    <row r="9" customFormat="false" ht="14.25" hidden="false" customHeight="false" outlineLevel="0" collapsed="false">
      <c r="B9" s="7" t="s">
        <v>26</v>
      </c>
      <c r="C9" s="1" t="s">
        <v>27</v>
      </c>
      <c r="E9" s="1" t="s">
        <v>11</v>
      </c>
      <c r="F9" s="7" t="n">
        <v>2007</v>
      </c>
      <c r="G9" s="1" t="s">
        <v>28</v>
      </c>
      <c r="H9" s="1" t="s">
        <v>29</v>
      </c>
    </row>
    <row r="10" customFormat="false" ht="14.25" hidden="false" customHeight="false" outlineLevel="0" collapsed="false">
      <c r="B10" s="6" t="s">
        <v>30</v>
      </c>
      <c r="C10" s="2" t="s">
        <v>31</v>
      </c>
      <c r="D10" s="2" t="s">
        <v>32</v>
      </c>
      <c r="E10" s="2" t="s">
        <v>11</v>
      </c>
      <c r="F10" s="6" t="n">
        <v>2008</v>
      </c>
      <c r="G10" s="2" t="s">
        <v>33</v>
      </c>
      <c r="H10" s="2" t="s">
        <v>34</v>
      </c>
    </row>
    <row r="11" customFormat="false" ht="14.25" hidden="false" customHeight="false" outlineLevel="0" collapsed="false">
      <c r="B11" s="7" t="s">
        <v>35</v>
      </c>
      <c r="C11" s="1" t="s">
        <v>36</v>
      </c>
      <c r="D11" s="1" t="s">
        <v>37</v>
      </c>
      <c r="E11" s="1" t="s">
        <v>11</v>
      </c>
      <c r="F11" s="7" t="n">
        <v>2005</v>
      </c>
      <c r="G11" s="1" t="s">
        <v>38</v>
      </c>
      <c r="H11" s="1" t="s">
        <v>13</v>
      </c>
    </row>
    <row r="12" customFormat="false" ht="14.25" hidden="false" customHeight="false" outlineLevel="0" collapsed="false">
      <c r="B12" s="6" t="s">
        <v>39</v>
      </c>
      <c r="C12" s="2" t="s">
        <v>31</v>
      </c>
      <c r="D12" s="2" t="s">
        <v>32</v>
      </c>
      <c r="E12" s="2" t="s">
        <v>11</v>
      </c>
      <c r="F12" s="6" t="n">
        <v>2008</v>
      </c>
      <c r="G12" s="2" t="s">
        <v>33</v>
      </c>
      <c r="H12" s="2" t="s">
        <v>34</v>
      </c>
    </row>
    <row r="13" customFormat="false" ht="14.25" hidden="false" customHeight="false" outlineLevel="0" collapsed="false">
      <c r="B13" s="6" t="s">
        <v>40</v>
      </c>
      <c r="C13" s="2" t="s">
        <v>31</v>
      </c>
      <c r="D13" s="2" t="s">
        <v>32</v>
      </c>
      <c r="E13" s="2" t="s">
        <v>11</v>
      </c>
      <c r="F13" s="6" t="n">
        <v>2008</v>
      </c>
      <c r="G13" s="2" t="s">
        <v>33</v>
      </c>
      <c r="H13" s="2" t="s">
        <v>34</v>
      </c>
    </row>
    <row r="14" customFormat="false" ht="14.25" hidden="false" customHeight="false" outlineLevel="0" collapsed="false">
      <c r="B14" s="7" t="s">
        <v>41</v>
      </c>
      <c r="C14" s="1" t="s">
        <v>31</v>
      </c>
      <c r="D14" s="1" t="s">
        <v>32</v>
      </c>
      <c r="E14" s="1" t="s">
        <v>11</v>
      </c>
      <c r="F14" s="7" t="n">
        <v>2008</v>
      </c>
      <c r="G14" s="1" t="s">
        <v>33</v>
      </c>
      <c r="H14" s="1" t="s">
        <v>34</v>
      </c>
    </row>
    <row r="15" customFormat="false" ht="14.25" hidden="false" customHeight="false" outlineLevel="0" collapsed="false">
      <c r="B15" s="7" t="s">
        <v>42</v>
      </c>
      <c r="C15" s="1" t="s">
        <v>43</v>
      </c>
      <c r="E15" s="1" t="s">
        <v>11</v>
      </c>
      <c r="F15" s="7" t="n">
        <v>2008</v>
      </c>
      <c r="G15" s="1" t="s">
        <v>44</v>
      </c>
      <c r="H15" s="1" t="s">
        <v>45</v>
      </c>
    </row>
    <row r="16" customFormat="false" ht="14.25" hidden="false" customHeight="false" outlineLevel="0" collapsed="false">
      <c r="B16" s="7" t="s">
        <v>46</v>
      </c>
      <c r="C16" s="1" t="s">
        <v>47</v>
      </c>
      <c r="D16" s="1" t="s">
        <v>48</v>
      </c>
      <c r="F16" s="7" t="n">
        <v>2009</v>
      </c>
      <c r="G16" s="1" t="s">
        <v>49</v>
      </c>
      <c r="H16" s="1" t="s">
        <v>50</v>
      </c>
    </row>
    <row r="17" customFormat="false" ht="14.25" hidden="false" customHeight="false" outlineLevel="0" collapsed="false">
      <c r="B17" s="7" t="s">
        <v>51</v>
      </c>
      <c r="C17" s="1" t="s">
        <v>52</v>
      </c>
      <c r="D17" s="1" t="s">
        <v>53</v>
      </c>
      <c r="E17" s="1" t="s">
        <v>54</v>
      </c>
      <c r="F17" s="7" t="n">
        <v>1997</v>
      </c>
      <c r="G17" s="1" t="s">
        <v>55</v>
      </c>
      <c r="H17" s="1" t="s">
        <v>17</v>
      </c>
    </row>
    <row r="18" customFormat="false" ht="14.25" hidden="false" customHeight="false" outlineLevel="0" collapsed="false">
      <c r="B18" s="7" t="s">
        <v>56</v>
      </c>
      <c r="C18" s="1" t="s">
        <v>57</v>
      </c>
      <c r="D18" s="1" t="s">
        <v>58</v>
      </c>
      <c r="E18" s="1" t="s">
        <v>54</v>
      </c>
      <c r="F18" s="7" t="n">
        <v>2005</v>
      </c>
      <c r="G18" s="1" t="s">
        <v>59</v>
      </c>
      <c r="H18" s="1" t="s">
        <v>50</v>
      </c>
    </row>
    <row r="19" customFormat="false" ht="14.25" hidden="false" customHeight="false" outlineLevel="0" collapsed="false">
      <c r="B19" s="7" t="s">
        <v>60</v>
      </c>
      <c r="C19" s="1" t="s">
        <v>61</v>
      </c>
      <c r="E19" s="1" t="s">
        <v>62</v>
      </c>
      <c r="F19" s="7" t="n">
        <v>1998</v>
      </c>
      <c r="G19" s="1" t="s">
        <v>63</v>
      </c>
      <c r="H19" s="1" t="s">
        <v>64</v>
      </c>
    </row>
    <row r="20" customFormat="false" ht="14.25" hidden="false" customHeight="false" outlineLevel="0" collapsed="false">
      <c r="B20" s="7" t="s">
        <v>65</v>
      </c>
      <c r="C20" s="1" t="s">
        <v>66</v>
      </c>
      <c r="E20" s="1" t="s">
        <v>62</v>
      </c>
      <c r="F20" s="7" t="n">
        <v>2000</v>
      </c>
      <c r="G20" s="1" t="s">
        <v>67</v>
      </c>
      <c r="H20" s="1" t="s">
        <v>64</v>
      </c>
    </row>
    <row r="21" customFormat="false" ht="14.25" hidden="false" customHeight="false" outlineLevel="0" collapsed="false">
      <c r="B21" s="6" t="s">
        <v>68</v>
      </c>
      <c r="C21" s="2" t="s">
        <v>69</v>
      </c>
      <c r="D21" s="2"/>
      <c r="E21" s="2" t="s">
        <v>62</v>
      </c>
      <c r="F21" s="6" t="n">
        <v>1998</v>
      </c>
      <c r="G21" s="2" t="s">
        <v>70</v>
      </c>
      <c r="H21" s="2" t="s">
        <v>64</v>
      </c>
    </row>
    <row r="22" customFormat="false" ht="14.25" hidden="false" customHeight="false" outlineLevel="0" collapsed="false">
      <c r="B22" s="7" t="s">
        <v>71</v>
      </c>
      <c r="C22" s="1" t="s">
        <v>72</v>
      </c>
      <c r="E22" s="1" t="s">
        <v>73</v>
      </c>
      <c r="F22" s="7" t="n">
        <v>1998</v>
      </c>
      <c r="G22" s="1" t="s">
        <v>74</v>
      </c>
      <c r="H22" s="1" t="s">
        <v>64</v>
      </c>
    </row>
    <row r="23" customFormat="false" ht="14.25" hidden="false" customHeight="false" outlineLevel="0" collapsed="false">
      <c r="B23" s="6" t="s">
        <v>75</v>
      </c>
      <c r="C23" s="2" t="s">
        <v>76</v>
      </c>
      <c r="D23" s="2"/>
      <c r="E23" s="2" t="s">
        <v>73</v>
      </c>
      <c r="F23" s="6" t="n">
        <v>2001</v>
      </c>
      <c r="G23" s="2" t="s">
        <v>77</v>
      </c>
      <c r="H23" s="2" t="s">
        <v>78</v>
      </c>
    </row>
    <row r="24" customFormat="false" ht="14.25" hidden="false" customHeight="false" outlineLevel="0" collapsed="false">
      <c r="B24" s="6" t="s">
        <v>79</v>
      </c>
      <c r="C24" s="2" t="s">
        <v>80</v>
      </c>
      <c r="D24" s="2"/>
      <c r="E24" s="2" t="s">
        <v>73</v>
      </c>
      <c r="F24" s="6" t="n">
        <v>2000</v>
      </c>
      <c r="G24" s="2" t="s">
        <v>81</v>
      </c>
      <c r="H24" s="2" t="s">
        <v>82</v>
      </c>
    </row>
    <row r="25" customFormat="false" ht="14.25" hidden="false" customHeight="false" outlineLevel="0" collapsed="false">
      <c r="B25" s="6" t="s">
        <v>83</v>
      </c>
      <c r="C25" s="2" t="s">
        <v>84</v>
      </c>
      <c r="D25" s="2"/>
      <c r="E25" s="2" t="s">
        <v>73</v>
      </c>
      <c r="F25" s="6" t="n">
        <v>2000</v>
      </c>
      <c r="G25" s="2" t="s">
        <v>85</v>
      </c>
      <c r="H25" s="2" t="s">
        <v>86</v>
      </c>
    </row>
    <row r="26" customFormat="false" ht="14.25" hidden="false" customHeight="false" outlineLevel="0" collapsed="false">
      <c r="B26" s="6" t="s">
        <v>87</v>
      </c>
      <c r="C26" s="2" t="s">
        <v>88</v>
      </c>
      <c r="D26" s="2"/>
      <c r="E26" s="2" t="s">
        <v>73</v>
      </c>
      <c r="F26" s="6" t="n">
        <v>2001</v>
      </c>
      <c r="G26" s="2" t="s">
        <v>89</v>
      </c>
      <c r="H26" s="2" t="s">
        <v>86</v>
      </c>
    </row>
    <row r="27" customFormat="false" ht="14.25" hidden="false" customHeight="false" outlineLevel="0" collapsed="false">
      <c r="B27" s="6" t="s">
        <v>90</v>
      </c>
      <c r="C27" s="2" t="s">
        <v>91</v>
      </c>
      <c r="D27" s="2"/>
      <c r="E27" s="2" t="s">
        <v>73</v>
      </c>
      <c r="F27" s="6" t="n">
        <v>2000</v>
      </c>
      <c r="G27" s="2" t="s">
        <v>92</v>
      </c>
      <c r="H27" s="2" t="s">
        <v>64</v>
      </c>
    </row>
    <row r="28" customFormat="false" ht="14.25" hidden="false" customHeight="false" outlineLevel="0" collapsed="false">
      <c r="B28" s="6" t="s">
        <v>93</v>
      </c>
      <c r="C28" s="2" t="s">
        <v>94</v>
      </c>
      <c r="D28" s="2"/>
      <c r="E28" s="2" t="s">
        <v>73</v>
      </c>
      <c r="F28" s="6" t="n">
        <v>2000</v>
      </c>
      <c r="G28" s="2" t="s">
        <v>95</v>
      </c>
      <c r="H28" s="2" t="s">
        <v>96</v>
      </c>
    </row>
    <row r="29" customFormat="false" ht="14.25" hidden="false" customHeight="false" outlineLevel="0" collapsed="false">
      <c r="B29" s="6" t="s">
        <v>97</v>
      </c>
      <c r="C29" s="2" t="s">
        <v>98</v>
      </c>
      <c r="D29" s="2"/>
      <c r="E29" s="2" t="s">
        <v>73</v>
      </c>
      <c r="F29" s="6" t="n">
        <v>2000</v>
      </c>
      <c r="G29" s="2" t="s">
        <v>99</v>
      </c>
      <c r="H29" s="2" t="s">
        <v>100</v>
      </c>
    </row>
    <row r="30" customFormat="false" ht="14.25" hidden="false" customHeight="false" outlineLevel="0" collapsed="false">
      <c r="B30" s="6" t="s">
        <v>101</v>
      </c>
      <c r="C30" s="2" t="s">
        <v>102</v>
      </c>
      <c r="D30" s="2"/>
      <c r="E30" s="2" t="s">
        <v>73</v>
      </c>
      <c r="F30" s="6" t="n">
        <v>2001</v>
      </c>
      <c r="G30" s="2" t="s">
        <v>103</v>
      </c>
      <c r="H30" s="2" t="s">
        <v>104</v>
      </c>
    </row>
    <row r="31" customFormat="false" ht="14.25" hidden="false" customHeight="false" outlineLevel="0" collapsed="false">
      <c r="B31" s="6" t="s">
        <v>105</v>
      </c>
      <c r="C31" s="2" t="s">
        <v>106</v>
      </c>
      <c r="D31" s="2"/>
      <c r="E31" s="2" t="s">
        <v>73</v>
      </c>
      <c r="F31" s="6" t="n">
        <v>2000</v>
      </c>
      <c r="G31" s="2" t="s">
        <v>107</v>
      </c>
      <c r="H31" s="2" t="s">
        <v>64</v>
      </c>
    </row>
    <row r="32" customFormat="false" ht="14.25" hidden="false" customHeight="false" outlineLevel="0" collapsed="false">
      <c r="B32" s="6" t="s">
        <v>108</v>
      </c>
      <c r="C32" s="2" t="s">
        <v>109</v>
      </c>
      <c r="D32" s="2"/>
      <c r="E32" s="2" t="s">
        <v>73</v>
      </c>
      <c r="F32" s="6" t="n">
        <v>2000</v>
      </c>
      <c r="G32" s="2" t="s">
        <v>110</v>
      </c>
      <c r="H32" s="2" t="s">
        <v>104</v>
      </c>
    </row>
    <row r="33" customFormat="false" ht="14.25" hidden="false" customHeight="false" outlineLevel="0" collapsed="false">
      <c r="B33" s="6" t="s">
        <v>111</v>
      </c>
      <c r="C33" s="2" t="s">
        <v>112</v>
      </c>
      <c r="D33" s="2"/>
      <c r="E33" s="2" t="s">
        <v>73</v>
      </c>
      <c r="F33" s="6" t="n">
        <v>2000</v>
      </c>
      <c r="G33" s="2" t="s">
        <v>113</v>
      </c>
      <c r="H33" s="2" t="s">
        <v>114</v>
      </c>
    </row>
    <row r="34" customFormat="false" ht="14.25" hidden="false" customHeight="false" outlineLevel="0" collapsed="false">
      <c r="B34" s="6" t="s">
        <v>115</v>
      </c>
      <c r="C34" s="2" t="s">
        <v>116</v>
      </c>
      <c r="D34" s="2"/>
      <c r="E34" s="2" t="s">
        <v>73</v>
      </c>
      <c r="F34" s="6" t="n">
        <v>2001</v>
      </c>
      <c r="G34" s="2" t="s">
        <v>117</v>
      </c>
      <c r="H34" s="2" t="s">
        <v>118</v>
      </c>
    </row>
    <row r="35" customFormat="false" ht="14.25" hidden="false" customHeight="false" outlineLevel="0" collapsed="false">
      <c r="B35" s="6" t="s">
        <v>119</v>
      </c>
      <c r="C35" s="2" t="s">
        <v>120</v>
      </c>
      <c r="D35" s="2"/>
      <c r="E35" s="2" t="s">
        <v>73</v>
      </c>
      <c r="F35" s="6" t="n">
        <v>2003</v>
      </c>
      <c r="G35" s="2" t="s">
        <v>121</v>
      </c>
      <c r="H35" s="2" t="s">
        <v>122</v>
      </c>
    </row>
    <row r="36" customFormat="false" ht="14.25" hidden="false" customHeight="false" outlineLevel="0" collapsed="false">
      <c r="B36" s="6" t="s">
        <v>123</v>
      </c>
      <c r="C36" s="2" t="s">
        <v>124</v>
      </c>
      <c r="D36" s="2"/>
      <c r="E36" s="2" t="s">
        <v>73</v>
      </c>
      <c r="F36" s="6" t="n">
        <v>2003</v>
      </c>
      <c r="G36" s="2" t="s">
        <v>125</v>
      </c>
      <c r="H36" s="2" t="s">
        <v>82</v>
      </c>
    </row>
    <row r="37" customFormat="false" ht="14.25" hidden="false" customHeight="false" outlineLevel="0" collapsed="false">
      <c r="B37" s="6" t="s">
        <v>126</v>
      </c>
      <c r="C37" s="2" t="s">
        <v>127</v>
      </c>
      <c r="D37" s="2"/>
      <c r="E37" s="2" t="s">
        <v>73</v>
      </c>
      <c r="F37" s="6" t="n">
        <v>2000</v>
      </c>
      <c r="G37" s="2" t="s">
        <v>128</v>
      </c>
      <c r="H37" s="2" t="s">
        <v>129</v>
      </c>
    </row>
    <row r="38" customFormat="false" ht="14.25" hidden="false" customHeight="false" outlineLevel="0" collapsed="false">
      <c r="B38" s="6" t="s">
        <v>130</v>
      </c>
      <c r="C38" s="2" t="s">
        <v>131</v>
      </c>
      <c r="D38" s="2"/>
      <c r="E38" s="2" t="s">
        <v>73</v>
      </c>
      <c r="F38" s="6" t="n">
        <v>2002</v>
      </c>
      <c r="G38" s="2" t="s">
        <v>132</v>
      </c>
      <c r="H38" s="2" t="s">
        <v>133</v>
      </c>
    </row>
    <row r="39" customFormat="false" ht="14.25" hidden="false" customHeight="false" outlineLevel="0" collapsed="false">
      <c r="B39" s="6" t="s">
        <v>134</v>
      </c>
      <c r="C39" s="2" t="s">
        <v>135</v>
      </c>
      <c r="D39" s="2"/>
      <c r="E39" s="2" t="s">
        <v>73</v>
      </c>
      <c r="F39" s="6" t="n">
        <v>1999</v>
      </c>
      <c r="G39" s="2" t="s">
        <v>136</v>
      </c>
      <c r="H39" s="2" t="s">
        <v>137</v>
      </c>
    </row>
    <row r="40" customFormat="false" ht="14.25" hidden="false" customHeight="false" outlineLevel="0" collapsed="false">
      <c r="B40" s="6" t="s">
        <v>138</v>
      </c>
      <c r="C40" s="2" t="s">
        <v>139</v>
      </c>
      <c r="D40" s="2"/>
      <c r="E40" s="2" t="s">
        <v>73</v>
      </c>
      <c r="F40" s="6" t="n">
        <v>2004</v>
      </c>
      <c r="G40" s="2" t="s">
        <v>140</v>
      </c>
      <c r="H40" s="2" t="s">
        <v>50</v>
      </c>
    </row>
    <row r="41" customFormat="false" ht="14.25" hidden="false" customHeight="false" outlineLevel="0" collapsed="false">
      <c r="B41" s="6" t="s">
        <v>141</v>
      </c>
      <c r="C41" s="2" t="s">
        <v>142</v>
      </c>
      <c r="D41" s="2"/>
      <c r="E41" s="2" t="s">
        <v>73</v>
      </c>
      <c r="F41" s="6" t="n">
        <v>2005</v>
      </c>
      <c r="G41" s="2" t="s">
        <v>143</v>
      </c>
      <c r="H41" s="2"/>
    </row>
    <row r="42" customFormat="false" ht="14.25" hidden="false" customHeight="false" outlineLevel="0" collapsed="false">
      <c r="B42" s="6" t="s">
        <v>144</v>
      </c>
      <c r="C42" s="2" t="s">
        <v>145</v>
      </c>
      <c r="D42" s="2"/>
      <c r="E42" s="2" t="s">
        <v>73</v>
      </c>
      <c r="F42" s="6" t="n">
        <v>2004</v>
      </c>
      <c r="G42" s="2" t="s">
        <v>146</v>
      </c>
      <c r="H42" s="2" t="s">
        <v>147</v>
      </c>
    </row>
    <row r="43" customFormat="false" ht="14.25" hidden="false" customHeight="false" outlineLevel="0" collapsed="false">
      <c r="B43" s="6" t="s">
        <v>148</v>
      </c>
      <c r="C43" s="2" t="s">
        <v>149</v>
      </c>
      <c r="D43" s="2"/>
      <c r="E43" s="2" t="s">
        <v>73</v>
      </c>
      <c r="F43" s="6" t="n">
        <v>2003</v>
      </c>
      <c r="G43" s="2" t="s">
        <v>150</v>
      </c>
      <c r="H43" s="2" t="s">
        <v>151</v>
      </c>
    </row>
    <row r="44" customFormat="false" ht="14.25" hidden="false" customHeight="false" outlineLevel="0" collapsed="false">
      <c r="B44" s="6" t="s">
        <v>152</v>
      </c>
      <c r="C44" s="2" t="s">
        <v>153</v>
      </c>
      <c r="D44" s="2"/>
      <c r="E44" s="2" t="s">
        <v>73</v>
      </c>
      <c r="F44" s="6" t="n">
        <v>2005</v>
      </c>
      <c r="G44" s="2" t="s">
        <v>143</v>
      </c>
      <c r="H44" s="2" t="s">
        <v>50</v>
      </c>
    </row>
    <row r="45" customFormat="false" ht="14.25" hidden="false" customHeight="false" outlineLevel="0" collapsed="false">
      <c r="B45" s="6" t="s">
        <v>154</v>
      </c>
      <c r="C45" s="2" t="s">
        <v>155</v>
      </c>
      <c r="D45" s="2"/>
      <c r="E45" s="2" t="s">
        <v>73</v>
      </c>
      <c r="F45" s="6" t="n">
        <v>2006</v>
      </c>
      <c r="G45" s="2" t="s">
        <v>156</v>
      </c>
      <c r="H45" s="2" t="s">
        <v>157</v>
      </c>
    </row>
    <row r="46" customFormat="false" ht="14.25" hidden="false" customHeight="false" outlineLevel="0" collapsed="false">
      <c r="B46" s="8" t="s">
        <v>158</v>
      </c>
      <c r="C46" s="9" t="s">
        <v>159</v>
      </c>
      <c r="D46" s="9"/>
      <c r="E46" s="9" t="s">
        <v>73</v>
      </c>
      <c r="F46" s="8" t="n">
        <v>2004</v>
      </c>
      <c r="G46" s="9" t="s">
        <v>160</v>
      </c>
      <c r="H46" s="9" t="s">
        <v>161</v>
      </c>
    </row>
    <row r="47" customFormat="false" ht="14.25" hidden="false" customHeight="false" outlineLevel="0" collapsed="false">
      <c r="B47" s="6" t="s">
        <v>162</v>
      </c>
      <c r="C47" s="2" t="s">
        <v>163</v>
      </c>
      <c r="D47" s="2"/>
      <c r="E47" s="2" t="s">
        <v>73</v>
      </c>
      <c r="F47" s="6" t="n">
        <v>2005</v>
      </c>
      <c r="G47" s="2" t="s">
        <v>164</v>
      </c>
      <c r="H47" s="2" t="s">
        <v>165</v>
      </c>
    </row>
    <row r="48" customFormat="false" ht="14.25" hidden="false" customHeight="false" outlineLevel="0" collapsed="false">
      <c r="B48" s="6" t="s">
        <v>166</v>
      </c>
      <c r="C48" s="2" t="s">
        <v>167</v>
      </c>
      <c r="D48" s="2"/>
      <c r="E48" s="2" t="s">
        <v>73</v>
      </c>
      <c r="F48" s="6" t="n">
        <v>2002</v>
      </c>
      <c r="G48" s="2" t="s">
        <v>77</v>
      </c>
      <c r="H48" s="2" t="s">
        <v>78</v>
      </c>
    </row>
    <row r="49" customFormat="false" ht="14.25" hidden="false" customHeight="false" outlineLevel="0" collapsed="false">
      <c r="B49" s="6" t="s">
        <v>168</v>
      </c>
      <c r="C49" s="2" t="s">
        <v>169</v>
      </c>
      <c r="D49" s="2" t="s">
        <v>170</v>
      </c>
      <c r="E49" s="2" t="s">
        <v>73</v>
      </c>
      <c r="F49" s="6" t="n">
        <v>2005</v>
      </c>
      <c r="G49" s="2" t="s">
        <v>171</v>
      </c>
      <c r="H49" s="2" t="s">
        <v>172</v>
      </c>
    </row>
    <row r="50" customFormat="false" ht="14.25" hidden="false" customHeight="false" outlineLevel="0" collapsed="false">
      <c r="B50" s="7" t="s">
        <v>173</v>
      </c>
      <c r="C50" s="1" t="s">
        <v>174</v>
      </c>
      <c r="E50" s="1" t="s">
        <v>73</v>
      </c>
      <c r="F50" s="7" t="n">
        <v>2006</v>
      </c>
      <c r="G50" s="1" t="s">
        <v>175</v>
      </c>
      <c r="H50" s="1" t="s">
        <v>50</v>
      </c>
    </row>
    <row r="51" customFormat="false" ht="14.25" hidden="false" customHeight="false" outlineLevel="0" collapsed="false">
      <c r="B51" s="7" t="s">
        <v>176</v>
      </c>
      <c r="C51" s="1" t="s">
        <v>177</v>
      </c>
      <c r="E51" s="1" t="s">
        <v>73</v>
      </c>
      <c r="F51" s="7" t="n">
        <v>2008</v>
      </c>
      <c r="G51" s="1" t="s">
        <v>77</v>
      </c>
      <c r="H51" s="1" t="s">
        <v>78</v>
      </c>
    </row>
    <row r="52" customFormat="false" ht="14.25" hidden="false" customHeight="false" outlineLevel="0" collapsed="false">
      <c r="B52" s="7" t="s">
        <v>178</v>
      </c>
      <c r="C52" s="1" t="s">
        <v>179</v>
      </c>
      <c r="D52" s="1" t="s">
        <v>180</v>
      </c>
      <c r="E52" s="1" t="s">
        <v>181</v>
      </c>
      <c r="F52" s="7" t="n">
        <v>2009</v>
      </c>
      <c r="G52" s="1" t="s">
        <v>182</v>
      </c>
      <c r="H52" s="1" t="s">
        <v>182</v>
      </c>
    </row>
    <row r="53" customFormat="false" ht="14.25" hidden="false" customHeight="false" outlineLevel="0" collapsed="false">
      <c r="B53" s="7" t="s">
        <v>183</v>
      </c>
      <c r="C53" s="1" t="s">
        <v>184</v>
      </c>
      <c r="D53" s="1" t="s">
        <v>185</v>
      </c>
      <c r="E53" s="1" t="s">
        <v>186</v>
      </c>
      <c r="F53" s="7" t="n">
        <v>2013</v>
      </c>
      <c r="G53" s="1" t="s">
        <v>187</v>
      </c>
      <c r="H53" s="1" t="s">
        <v>188</v>
      </c>
    </row>
    <row r="54" customFormat="false" ht="14.25" hidden="false" customHeight="false" outlineLevel="0" collapsed="false">
      <c r="B54" s="7" t="s">
        <v>189</v>
      </c>
      <c r="C54" s="1" t="s">
        <v>190</v>
      </c>
      <c r="D54" s="1" t="s">
        <v>185</v>
      </c>
      <c r="E54" s="1" t="s">
        <v>73</v>
      </c>
      <c r="F54" s="7" t="n">
        <v>2015</v>
      </c>
      <c r="G54" s="1" t="s">
        <v>191</v>
      </c>
      <c r="H54" s="1" t="s">
        <v>192</v>
      </c>
    </row>
    <row r="55" customFormat="false" ht="14.25" hidden="false" customHeight="false" outlineLevel="0" collapsed="false">
      <c r="B55" s="7" t="s">
        <v>193</v>
      </c>
      <c r="C55" s="1" t="s">
        <v>194</v>
      </c>
      <c r="E55" s="1" t="s">
        <v>73</v>
      </c>
      <c r="F55" s="7" t="n">
        <v>2013</v>
      </c>
      <c r="G55" s="1" t="s">
        <v>195</v>
      </c>
      <c r="H55" s="1" t="s">
        <v>50</v>
      </c>
    </row>
    <row r="56" customFormat="false" ht="14.25" hidden="false" customHeight="false" outlineLevel="0" collapsed="false">
      <c r="B56" s="7" t="s">
        <v>196</v>
      </c>
      <c r="C56" s="1" t="s">
        <v>197</v>
      </c>
      <c r="D56" s="1" t="s">
        <v>185</v>
      </c>
      <c r="E56" s="1" t="s">
        <v>73</v>
      </c>
      <c r="F56" s="7" t="n">
        <v>2016</v>
      </c>
      <c r="G56" s="1" t="s">
        <v>198</v>
      </c>
      <c r="H56" s="1" t="s">
        <v>199</v>
      </c>
    </row>
    <row r="57" customFormat="false" ht="14.25" hidden="false" customHeight="false" outlineLevel="0" collapsed="false">
      <c r="B57" s="7" t="s">
        <v>200</v>
      </c>
      <c r="C57" s="1" t="s">
        <v>201</v>
      </c>
      <c r="F57" s="7"/>
    </row>
    <row r="58" customFormat="false" ht="14.25" hidden="false" customHeight="false" outlineLevel="0" collapsed="false">
      <c r="B58" s="7" t="s">
        <v>202</v>
      </c>
      <c r="C58" s="1" t="s">
        <v>203</v>
      </c>
      <c r="D58" s="1" t="s">
        <v>185</v>
      </c>
      <c r="E58" s="1" t="s">
        <v>73</v>
      </c>
      <c r="F58" s="7" t="n">
        <v>2018</v>
      </c>
      <c r="G58" s="1" t="s">
        <v>204</v>
      </c>
      <c r="H58" s="1" t="s">
        <v>205</v>
      </c>
    </row>
    <row r="59" customFormat="false" ht="14.25" hidden="false" customHeight="false" outlineLevel="0" collapsed="false">
      <c r="B59" s="7" t="s">
        <v>206</v>
      </c>
      <c r="C59" s="1" t="s">
        <v>207</v>
      </c>
      <c r="D59" s="1" t="s">
        <v>208</v>
      </c>
      <c r="E59" s="1" t="s">
        <v>73</v>
      </c>
      <c r="F59" s="7" t="n">
        <v>2000</v>
      </c>
      <c r="G59" s="1" t="s">
        <v>209</v>
      </c>
      <c r="H59" s="1" t="s">
        <v>210</v>
      </c>
    </row>
    <row r="60" customFormat="false" ht="14.25" hidden="false" customHeight="false" outlineLevel="0" collapsed="false">
      <c r="B60" s="7" t="s">
        <v>211</v>
      </c>
      <c r="C60" s="1" t="s">
        <v>212</v>
      </c>
      <c r="D60" s="1" t="s">
        <v>213</v>
      </c>
      <c r="E60" s="2" t="s">
        <v>214</v>
      </c>
      <c r="F60" s="7" t="n">
        <v>2002</v>
      </c>
      <c r="G60" s="1" t="s">
        <v>215</v>
      </c>
      <c r="H60" s="1" t="s">
        <v>64</v>
      </c>
    </row>
    <row r="61" customFormat="false" ht="14.25" hidden="false" customHeight="false" outlineLevel="0" collapsed="false">
      <c r="B61" s="7" t="s">
        <v>216</v>
      </c>
      <c r="C61" s="1" t="s">
        <v>217</v>
      </c>
      <c r="D61" s="1" t="s">
        <v>218</v>
      </c>
      <c r="E61" s="1" t="s">
        <v>213</v>
      </c>
      <c r="F61" s="7" t="n">
        <v>2002</v>
      </c>
      <c r="G61" s="1" t="s">
        <v>219</v>
      </c>
      <c r="H61" s="1" t="s">
        <v>220</v>
      </c>
    </row>
    <row r="62" customFormat="false" ht="14.25" hidden="false" customHeight="false" outlineLevel="0" collapsed="false">
      <c r="B62" s="7" t="s">
        <v>221</v>
      </c>
      <c r="C62" s="1" t="s">
        <v>222</v>
      </c>
      <c r="D62" s="1" t="s">
        <v>223</v>
      </c>
      <c r="E62" s="1" t="s">
        <v>213</v>
      </c>
      <c r="F62" s="7" t="n">
        <v>2006</v>
      </c>
      <c r="G62" s="1" t="s">
        <v>219</v>
      </c>
      <c r="H62" s="1" t="s">
        <v>220</v>
      </c>
    </row>
    <row r="63" customFormat="false" ht="14.25" hidden="false" customHeight="false" outlineLevel="0" collapsed="false">
      <c r="B63" s="7" t="s">
        <v>224</v>
      </c>
      <c r="C63" s="1" t="s">
        <v>225</v>
      </c>
      <c r="D63" s="1" t="s">
        <v>226</v>
      </c>
      <c r="E63" s="1" t="s">
        <v>213</v>
      </c>
      <c r="F63" s="7" t="n">
        <v>2002</v>
      </c>
      <c r="G63" s="1" t="s">
        <v>227</v>
      </c>
      <c r="H63" s="1" t="s">
        <v>220</v>
      </c>
    </row>
    <row r="64" customFormat="false" ht="14.25" hidden="false" customHeight="false" outlineLevel="0" collapsed="false">
      <c r="B64" s="7" t="s">
        <v>228</v>
      </c>
      <c r="C64" s="1" t="s">
        <v>229</v>
      </c>
      <c r="D64" s="1" t="s">
        <v>230</v>
      </c>
      <c r="E64" s="1" t="s">
        <v>213</v>
      </c>
      <c r="F64" s="7" t="n">
        <v>2003</v>
      </c>
      <c r="G64" s="1" t="s">
        <v>231</v>
      </c>
      <c r="H64" s="1" t="s">
        <v>220</v>
      </c>
    </row>
    <row r="65" customFormat="false" ht="14.25" hidden="false" customHeight="false" outlineLevel="0" collapsed="false">
      <c r="B65" s="7" t="s">
        <v>232</v>
      </c>
      <c r="C65" s="1" t="s">
        <v>233</v>
      </c>
      <c r="D65" s="1" t="s">
        <v>234</v>
      </c>
      <c r="E65" s="1" t="s">
        <v>213</v>
      </c>
      <c r="F65" s="7" t="n">
        <v>2006</v>
      </c>
      <c r="G65" s="1" t="s">
        <v>235</v>
      </c>
      <c r="H65" s="1" t="s">
        <v>220</v>
      </c>
    </row>
    <row r="66" customFormat="false" ht="14.25" hidden="false" customHeight="false" outlineLevel="0" collapsed="false">
      <c r="B66" s="7" t="s">
        <v>236</v>
      </c>
      <c r="C66" s="1" t="s">
        <v>237</v>
      </c>
      <c r="D66" s="1" t="s">
        <v>238</v>
      </c>
      <c r="E66" s="1" t="s">
        <v>213</v>
      </c>
      <c r="F66" s="7" t="n">
        <v>2000</v>
      </c>
      <c r="G66" s="1" t="s">
        <v>239</v>
      </c>
      <c r="H66" s="1" t="s">
        <v>64</v>
      </c>
    </row>
    <row r="67" customFormat="false" ht="14.25" hidden="false" customHeight="false" outlineLevel="0" collapsed="false">
      <c r="B67" s="6" t="s">
        <v>240</v>
      </c>
      <c r="C67" s="2" t="s">
        <v>241</v>
      </c>
      <c r="D67" s="2" t="s">
        <v>242</v>
      </c>
      <c r="E67" s="2" t="s">
        <v>214</v>
      </c>
      <c r="F67" s="6" t="n">
        <v>1999</v>
      </c>
      <c r="G67" s="2" t="s">
        <v>243</v>
      </c>
      <c r="H67" s="2" t="s">
        <v>244</v>
      </c>
    </row>
    <row r="68" customFormat="false" ht="14.25" hidden="false" customHeight="false" outlineLevel="0" collapsed="false">
      <c r="B68" s="6" t="s">
        <v>245</v>
      </c>
      <c r="C68" s="2" t="s">
        <v>246</v>
      </c>
      <c r="D68" s="2" t="s">
        <v>242</v>
      </c>
      <c r="E68" s="2" t="s">
        <v>214</v>
      </c>
      <c r="F68" s="6" t="n">
        <v>1999</v>
      </c>
      <c r="G68" s="2" t="s">
        <v>247</v>
      </c>
      <c r="H68" s="2" t="s">
        <v>244</v>
      </c>
    </row>
    <row r="69" customFormat="false" ht="14.25" hidden="false" customHeight="false" outlineLevel="0" collapsed="false">
      <c r="B69" s="6" t="s">
        <v>248</v>
      </c>
      <c r="C69" s="2" t="s">
        <v>249</v>
      </c>
      <c r="D69" s="2" t="s">
        <v>250</v>
      </c>
      <c r="E69" s="2" t="s">
        <v>214</v>
      </c>
      <c r="F69" s="6" t="n">
        <v>1997</v>
      </c>
      <c r="G69" s="2" t="s">
        <v>243</v>
      </c>
      <c r="H69" s="2" t="s">
        <v>244</v>
      </c>
    </row>
    <row r="70" customFormat="false" ht="14.25" hidden="false" customHeight="false" outlineLevel="0" collapsed="false">
      <c r="B70" s="6" t="s">
        <v>251</v>
      </c>
      <c r="C70" s="2" t="s">
        <v>252</v>
      </c>
      <c r="D70" s="2" t="s">
        <v>253</v>
      </c>
      <c r="E70" s="2" t="s">
        <v>214</v>
      </c>
      <c r="F70" s="6" t="n">
        <v>1997</v>
      </c>
      <c r="G70" s="2" t="s">
        <v>254</v>
      </c>
      <c r="H70" s="2" t="s">
        <v>255</v>
      </c>
    </row>
    <row r="71" customFormat="false" ht="14.25" hidden="false" customHeight="false" outlineLevel="0" collapsed="false">
      <c r="B71" s="6" t="s">
        <v>256</v>
      </c>
      <c r="C71" s="2" t="s">
        <v>257</v>
      </c>
      <c r="D71" s="2" t="s">
        <v>253</v>
      </c>
      <c r="E71" s="2" t="s">
        <v>214</v>
      </c>
      <c r="F71" s="6" t="n">
        <v>1997</v>
      </c>
      <c r="G71" s="2" t="s">
        <v>258</v>
      </c>
      <c r="H71" s="2" t="s">
        <v>244</v>
      </c>
    </row>
    <row r="72" customFormat="false" ht="14.25" hidden="false" customHeight="false" outlineLevel="0" collapsed="false">
      <c r="B72" s="6" t="s">
        <v>259</v>
      </c>
      <c r="C72" s="2" t="s">
        <v>260</v>
      </c>
      <c r="D72" s="2" t="s">
        <v>242</v>
      </c>
      <c r="E72" s="2" t="s">
        <v>214</v>
      </c>
      <c r="F72" s="6" t="n">
        <v>1999</v>
      </c>
      <c r="G72" s="2" t="s">
        <v>261</v>
      </c>
      <c r="H72" s="2" t="s">
        <v>262</v>
      </c>
    </row>
    <row r="73" customFormat="false" ht="14.25" hidden="false" customHeight="false" outlineLevel="0" collapsed="false">
      <c r="B73" s="7" t="s">
        <v>263</v>
      </c>
      <c r="C73" s="1" t="s">
        <v>264</v>
      </c>
      <c r="D73" s="1" t="s">
        <v>265</v>
      </c>
      <c r="E73" s="1" t="s">
        <v>214</v>
      </c>
      <c r="F73" s="7" t="n">
        <v>2005</v>
      </c>
      <c r="G73" s="1" t="s">
        <v>266</v>
      </c>
      <c r="H73" s="1" t="s">
        <v>82</v>
      </c>
    </row>
    <row r="74" customFormat="false" ht="14.25" hidden="false" customHeight="false" outlineLevel="0" collapsed="false">
      <c r="B74" s="7" t="s">
        <v>267</v>
      </c>
      <c r="C74" s="1" t="s">
        <v>268</v>
      </c>
      <c r="D74" s="1" t="s">
        <v>265</v>
      </c>
      <c r="E74" s="1" t="s">
        <v>214</v>
      </c>
      <c r="F74" s="7" t="n">
        <v>2006</v>
      </c>
      <c r="G74" s="1" t="s">
        <v>269</v>
      </c>
      <c r="H74" s="1" t="s">
        <v>82</v>
      </c>
    </row>
    <row r="75" customFormat="false" ht="14.25" hidden="false" customHeight="false" outlineLevel="0" collapsed="false">
      <c r="B75" s="7" t="s">
        <v>270</v>
      </c>
      <c r="C75" s="1" t="s">
        <v>271</v>
      </c>
      <c r="D75" s="1" t="s">
        <v>272</v>
      </c>
      <c r="E75" s="1" t="s">
        <v>214</v>
      </c>
      <c r="F75" s="7" t="n">
        <v>2007</v>
      </c>
      <c r="G75" s="1" t="s">
        <v>273</v>
      </c>
      <c r="H75" s="1" t="s">
        <v>118</v>
      </c>
    </row>
    <row r="76" customFormat="false" ht="14.25" hidden="false" customHeight="false" outlineLevel="0" collapsed="false">
      <c r="B76" s="7" t="s">
        <v>274</v>
      </c>
      <c r="C76" s="1" t="s">
        <v>275</v>
      </c>
      <c r="D76" s="1" t="s">
        <v>242</v>
      </c>
      <c r="E76" s="1" t="s">
        <v>214</v>
      </c>
      <c r="F76" s="7" t="n">
        <v>1999</v>
      </c>
      <c r="H76" s="1" t="s">
        <v>220</v>
      </c>
    </row>
    <row r="77" customFormat="false" ht="14.25" hidden="false" customHeight="false" outlineLevel="0" collapsed="false">
      <c r="B77" s="6" t="s">
        <v>276</v>
      </c>
      <c r="C77" s="2" t="s">
        <v>277</v>
      </c>
      <c r="D77" s="2" t="s">
        <v>272</v>
      </c>
      <c r="E77" s="2" t="s">
        <v>214</v>
      </c>
      <c r="F77" s="6" t="n">
        <v>1999</v>
      </c>
      <c r="G77" s="2" t="s">
        <v>278</v>
      </c>
      <c r="H77" s="2" t="s">
        <v>279</v>
      </c>
    </row>
    <row r="78" customFormat="false" ht="14.25" hidden="false" customHeight="false" outlineLevel="0" collapsed="false">
      <c r="B78" s="7" t="s">
        <v>280</v>
      </c>
      <c r="C78" s="1" t="s">
        <v>281</v>
      </c>
      <c r="D78" s="1" t="s">
        <v>272</v>
      </c>
      <c r="E78" s="1" t="s">
        <v>214</v>
      </c>
      <c r="F78" s="7" t="n">
        <v>1999</v>
      </c>
      <c r="G78" s="1" t="s">
        <v>282</v>
      </c>
      <c r="H78" s="1" t="s">
        <v>283</v>
      </c>
    </row>
    <row r="79" customFormat="false" ht="14.25" hidden="false" customHeight="false" outlineLevel="0" collapsed="false">
      <c r="B79" s="7" t="s">
        <v>284</v>
      </c>
      <c r="C79" s="1" t="s">
        <v>285</v>
      </c>
      <c r="D79" s="1" t="s">
        <v>286</v>
      </c>
      <c r="E79" s="1" t="s">
        <v>214</v>
      </c>
      <c r="F79" s="7" t="n">
        <v>2016</v>
      </c>
      <c r="G79" s="1" t="s">
        <v>287</v>
      </c>
      <c r="H79" s="1" t="s">
        <v>188</v>
      </c>
    </row>
    <row r="80" customFormat="false" ht="14.25" hidden="false" customHeight="false" outlineLevel="0" collapsed="false">
      <c r="A80" s="10"/>
      <c r="B80" s="7" t="s">
        <v>288</v>
      </c>
      <c r="C80" s="1" t="s">
        <v>289</v>
      </c>
      <c r="D80" s="1" t="s">
        <v>290</v>
      </c>
      <c r="F80" s="7" t="n">
        <v>2007</v>
      </c>
      <c r="G80" s="1" t="s">
        <v>291</v>
      </c>
      <c r="H80" s="1" t="s">
        <v>292</v>
      </c>
    </row>
    <row r="81" customFormat="false" ht="14.25" hidden="false" customHeight="false" outlineLevel="0" collapsed="false">
      <c r="B81" s="7" t="s">
        <v>293</v>
      </c>
      <c r="C81" s="1" t="s">
        <v>294</v>
      </c>
      <c r="F81" s="7" t="n">
        <v>2010</v>
      </c>
      <c r="G81" s="1" t="s">
        <v>295</v>
      </c>
      <c r="H81" s="1" t="s">
        <v>50</v>
      </c>
    </row>
    <row r="82" customFormat="false" ht="14.25" hidden="false" customHeight="false" outlineLevel="0" collapsed="false">
      <c r="B82" s="7" t="s">
        <v>296</v>
      </c>
      <c r="C82" s="1" t="s">
        <v>297</v>
      </c>
      <c r="D82" s="1" t="s">
        <v>298</v>
      </c>
      <c r="E82" s="1" t="s">
        <v>214</v>
      </c>
      <c r="F82" s="7" t="n">
        <v>1997</v>
      </c>
      <c r="H82" s="1" t="s">
        <v>299</v>
      </c>
    </row>
    <row r="83" customFormat="false" ht="14.25" hidden="false" customHeight="false" outlineLevel="0" collapsed="false">
      <c r="B83" s="7" t="s">
        <v>300</v>
      </c>
      <c r="C83" s="1" t="s">
        <v>301</v>
      </c>
      <c r="D83" s="1" t="s">
        <v>298</v>
      </c>
      <c r="E83" s="1" t="s">
        <v>214</v>
      </c>
      <c r="F83" s="7" t="n">
        <v>1998</v>
      </c>
      <c r="G83" s="1" t="s">
        <v>302</v>
      </c>
      <c r="H83" s="1" t="s">
        <v>303</v>
      </c>
    </row>
    <row r="84" customFormat="false" ht="14.25" hidden="false" customHeight="false" outlineLevel="0" collapsed="false">
      <c r="B84" s="7" t="s">
        <v>304</v>
      </c>
      <c r="C84" s="1" t="s">
        <v>305</v>
      </c>
      <c r="D84" s="1" t="s">
        <v>306</v>
      </c>
      <c r="E84" s="1" t="s">
        <v>214</v>
      </c>
      <c r="F84" s="7" t="n">
        <v>2014</v>
      </c>
      <c r="G84" s="1" t="s">
        <v>307</v>
      </c>
      <c r="H84" s="1" t="s">
        <v>82</v>
      </c>
    </row>
    <row r="85" customFormat="false" ht="14.25" hidden="false" customHeight="false" outlineLevel="0" collapsed="false">
      <c r="B85" s="7" t="s">
        <v>308</v>
      </c>
      <c r="C85" s="1" t="s">
        <v>309</v>
      </c>
      <c r="E85" s="1" t="s">
        <v>214</v>
      </c>
      <c r="F85" s="7" t="n">
        <v>2002</v>
      </c>
      <c r="G85" s="1" t="s">
        <v>310</v>
      </c>
      <c r="H85" s="1" t="s">
        <v>82</v>
      </c>
    </row>
    <row r="86" customFormat="false" ht="14.25" hidden="false" customHeight="false" outlineLevel="0" collapsed="false">
      <c r="B86" s="7" t="s">
        <v>311</v>
      </c>
      <c r="C86" s="1" t="s">
        <v>312</v>
      </c>
      <c r="D86" s="1" t="s">
        <v>313</v>
      </c>
      <c r="E86" s="1" t="s">
        <v>214</v>
      </c>
      <c r="F86" s="1" t="n">
        <v>2001</v>
      </c>
      <c r="G86" s="1" t="s">
        <v>314</v>
      </c>
      <c r="H86" s="1" t="s">
        <v>315</v>
      </c>
    </row>
    <row r="87" customFormat="false" ht="14.25" hidden="false" customHeight="false" outlineLevel="0" collapsed="false">
      <c r="B87" s="11" t="s">
        <v>316</v>
      </c>
      <c r="C87" s="1" t="s">
        <v>317</v>
      </c>
      <c r="D87" s="1" t="s">
        <v>317</v>
      </c>
      <c r="E87" s="1" t="s">
        <v>213</v>
      </c>
      <c r="F87" s="7" t="n">
        <v>2003</v>
      </c>
      <c r="G87" s="1" t="s">
        <v>318</v>
      </c>
      <c r="H87" s="1" t="s">
        <v>319</v>
      </c>
    </row>
    <row r="88" customFormat="false" ht="14.25" hidden="false" customHeight="false" outlineLevel="0" collapsed="false">
      <c r="B88" s="11" t="s">
        <v>320</v>
      </c>
      <c r="C88" s="1" t="s">
        <v>321</v>
      </c>
      <c r="D88" s="1" t="s">
        <v>322</v>
      </c>
      <c r="E88" s="1" t="s">
        <v>213</v>
      </c>
      <c r="F88" s="7" t="n">
        <v>2003</v>
      </c>
      <c r="G88" s="1" t="s">
        <v>323</v>
      </c>
      <c r="H88" s="1" t="s">
        <v>319</v>
      </c>
    </row>
    <row r="89" customFormat="false" ht="14.25" hidden="false" customHeight="false" outlineLevel="0" collapsed="false">
      <c r="B89" s="7" t="s">
        <v>324</v>
      </c>
      <c r="C89" s="1" t="s">
        <v>325</v>
      </c>
      <c r="E89" s="1" t="s">
        <v>325</v>
      </c>
      <c r="F89" s="7" t="n">
        <v>2001</v>
      </c>
      <c r="G89" s="1" t="s">
        <v>326</v>
      </c>
      <c r="H89" s="1" t="s">
        <v>327</v>
      </c>
    </row>
    <row r="90" customFormat="false" ht="14.25" hidden="false" customHeight="false" outlineLevel="0" collapsed="false">
      <c r="B90" s="6" t="s">
        <v>328</v>
      </c>
      <c r="C90" s="2" t="s">
        <v>329</v>
      </c>
      <c r="D90" s="2"/>
      <c r="E90" s="2" t="s">
        <v>330</v>
      </c>
      <c r="F90" s="6" t="n">
        <v>2001</v>
      </c>
      <c r="G90" s="2" t="s">
        <v>331</v>
      </c>
      <c r="H90" s="2" t="s">
        <v>332</v>
      </c>
    </row>
    <row r="91" customFormat="false" ht="14.25" hidden="false" customHeight="false" outlineLevel="0" collapsed="false">
      <c r="B91" s="6" t="s">
        <v>333</v>
      </c>
      <c r="C91" s="2" t="s">
        <v>334</v>
      </c>
      <c r="D91" s="2"/>
      <c r="E91" s="2" t="s">
        <v>330</v>
      </c>
      <c r="F91" s="6" t="n">
        <v>2001</v>
      </c>
      <c r="G91" s="2" t="s">
        <v>335</v>
      </c>
      <c r="H91" s="2" t="s">
        <v>255</v>
      </c>
    </row>
    <row r="92" customFormat="false" ht="14.25" hidden="false" customHeight="false" outlineLevel="0" collapsed="false">
      <c r="B92" s="6" t="s">
        <v>336</v>
      </c>
      <c r="C92" s="2" t="s">
        <v>337</v>
      </c>
      <c r="D92" s="2"/>
      <c r="E92" s="2" t="s">
        <v>330</v>
      </c>
      <c r="F92" s="6" t="n">
        <v>2001</v>
      </c>
      <c r="G92" s="2" t="s">
        <v>338</v>
      </c>
      <c r="H92" s="2" t="s">
        <v>339</v>
      </c>
    </row>
    <row r="93" customFormat="false" ht="14.25" hidden="false" customHeight="false" outlineLevel="0" collapsed="false">
      <c r="B93" s="6" t="s">
        <v>340</v>
      </c>
      <c r="C93" s="2" t="s">
        <v>341</v>
      </c>
      <c r="D93" s="2"/>
      <c r="E93" s="2" t="s">
        <v>330</v>
      </c>
      <c r="F93" s="6" t="n">
        <v>2001</v>
      </c>
      <c r="G93" s="2" t="s">
        <v>342</v>
      </c>
      <c r="H93" s="2" t="s">
        <v>343</v>
      </c>
    </row>
    <row r="94" customFormat="false" ht="14.25" hidden="false" customHeight="false" outlineLevel="0" collapsed="false">
      <c r="B94" s="6" t="s">
        <v>344</v>
      </c>
      <c r="C94" s="2" t="s">
        <v>345</v>
      </c>
      <c r="D94" s="2"/>
      <c r="E94" s="2" t="s">
        <v>330</v>
      </c>
      <c r="F94" s="6" t="n">
        <v>2002</v>
      </c>
      <c r="G94" s="2" t="s">
        <v>346</v>
      </c>
      <c r="H94" s="2" t="s">
        <v>347</v>
      </c>
    </row>
    <row r="95" customFormat="false" ht="14.25" hidden="false" customHeight="false" outlineLevel="0" collapsed="false">
      <c r="B95" s="6" t="s">
        <v>348</v>
      </c>
      <c r="C95" s="2" t="s">
        <v>349</v>
      </c>
      <c r="D95" s="2"/>
      <c r="E95" s="2" t="s">
        <v>330</v>
      </c>
      <c r="F95" s="6" t="n">
        <v>2001</v>
      </c>
      <c r="G95" s="2" t="s">
        <v>331</v>
      </c>
      <c r="H95" s="2" t="s">
        <v>118</v>
      </c>
    </row>
    <row r="96" customFormat="false" ht="14.25" hidden="false" customHeight="false" outlineLevel="0" collapsed="false">
      <c r="B96" s="6" t="s">
        <v>350</v>
      </c>
      <c r="C96" s="2" t="s">
        <v>349</v>
      </c>
      <c r="D96" s="2"/>
      <c r="E96" s="2" t="s">
        <v>330</v>
      </c>
      <c r="F96" s="6" t="n">
        <v>2001</v>
      </c>
      <c r="G96" s="2" t="s">
        <v>331</v>
      </c>
      <c r="H96" s="2" t="s">
        <v>118</v>
      </c>
    </row>
    <row r="97" customFormat="false" ht="14.25" hidden="false" customHeight="false" outlineLevel="0" collapsed="false">
      <c r="B97" s="6" t="s">
        <v>351</v>
      </c>
      <c r="C97" s="2" t="s">
        <v>352</v>
      </c>
      <c r="D97" s="2"/>
      <c r="E97" s="2" t="s">
        <v>330</v>
      </c>
      <c r="F97" s="6" t="n">
        <v>1997</v>
      </c>
      <c r="G97" s="2" t="s">
        <v>353</v>
      </c>
      <c r="H97" s="2" t="s">
        <v>17</v>
      </c>
    </row>
    <row r="98" customFormat="false" ht="14.25" hidden="false" customHeight="false" outlineLevel="0" collapsed="false">
      <c r="B98" s="6" t="s">
        <v>354</v>
      </c>
      <c r="C98" s="2" t="s">
        <v>355</v>
      </c>
      <c r="D98" s="2"/>
      <c r="E98" s="2" t="s">
        <v>330</v>
      </c>
      <c r="F98" s="6" t="n">
        <v>2003</v>
      </c>
      <c r="G98" s="2" t="s">
        <v>356</v>
      </c>
      <c r="H98" s="2" t="s">
        <v>50</v>
      </c>
    </row>
    <row r="99" customFormat="false" ht="14.25" hidden="false" customHeight="false" outlineLevel="0" collapsed="false">
      <c r="B99" s="6" t="s">
        <v>357</v>
      </c>
      <c r="C99" s="2" t="s">
        <v>358</v>
      </c>
      <c r="D99" s="2"/>
      <c r="E99" s="2" t="s">
        <v>330</v>
      </c>
      <c r="F99" s="6" t="n">
        <v>2003</v>
      </c>
      <c r="G99" s="2" t="s">
        <v>359</v>
      </c>
      <c r="H99" s="2" t="s">
        <v>118</v>
      </c>
    </row>
    <row r="100" customFormat="false" ht="14.25" hidden="false" customHeight="false" outlineLevel="0" collapsed="false">
      <c r="A100" s="10"/>
      <c r="B100" s="6" t="s">
        <v>360</v>
      </c>
      <c r="C100" s="2" t="s">
        <v>361</v>
      </c>
      <c r="D100" s="2"/>
      <c r="E100" s="2" t="s">
        <v>330</v>
      </c>
      <c r="F100" s="6" t="n">
        <v>2004</v>
      </c>
      <c r="G100" s="2" t="s">
        <v>362</v>
      </c>
      <c r="H100" s="2" t="s">
        <v>82</v>
      </c>
    </row>
    <row r="101" customFormat="false" ht="14.25" hidden="false" customHeight="false" outlineLevel="0" collapsed="false">
      <c r="B101" s="6" t="s">
        <v>363</v>
      </c>
      <c r="C101" s="2" t="s">
        <v>364</v>
      </c>
      <c r="D101" s="2"/>
      <c r="E101" s="2" t="s">
        <v>330</v>
      </c>
      <c r="F101" s="6" t="n">
        <v>2004</v>
      </c>
      <c r="G101" s="2" t="s">
        <v>365</v>
      </c>
      <c r="H101" s="2" t="s">
        <v>82</v>
      </c>
    </row>
    <row r="102" customFormat="false" ht="14.25" hidden="false" customHeight="false" outlineLevel="0" collapsed="false">
      <c r="B102" s="6" t="s">
        <v>366</v>
      </c>
      <c r="C102" s="2" t="s">
        <v>367</v>
      </c>
      <c r="D102" s="2"/>
      <c r="E102" s="2" t="s">
        <v>330</v>
      </c>
      <c r="F102" s="6" t="n">
        <v>2002</v>
      </c>
      <c r="G102" s="2" t="s">
        <v>335</v>
      </c>
      <c r="H102" s="2" t="s">
        <v>255</v>
      </c>
    </row>
    <row r="103" customFormat="false" ht="14.25" hidden="false" customHeight="false" outlineLevel="0" collapsed="false">
      <c r="B103" s="6" t="s">
        <v>368</v>
      </c>
      <c r="C103" s="2" t="s">
        <v>369</v>
      </c>
      <c r="D103" s="2"/>
      <c r="E103" s="2" t="s">
        <v>330</v>
      </c>
      <c r="F103" s="6" t="n">
        <v>2004</v>
      </c>
      <c r="G103" s="2" t="s">
        <v>370</v>
      </c>
      <c r="H103" s="2" t="s">
        <v>371</v>
      </c>
    </row>
    <row r="104" customFormat="false" ht="14.25" hidden="false" customHeight="false" outlineLevel="0" collapsed="false">
      <c r="B104" s="7" t="s">
        <v>372</v>
      </c>
      <c r="C104" s="1" t="s">
        <v>373</v>
      </c>
      <c r="E104" s="1" t="s">
        <v>330</v>
      </c>
      <c r="F104" s="7" t="n">
        <v>2005</v>
      </c>
      <c r="G104" s="1" t="s">
        <v>356</v>
      </c>
      <c r="H104" s="1" t="s">
        <v>50</v>
      </c>
    </row>
    <row r="105" customFormat="false" ht="14.25" hidden="false" customHeight="false" outlineLevel="0" collapsed="false">
      <c r="B105" s="7" t="s">
        <v>374</v>
      </c>
      <c r="C105" s="1" t="s">
        <v>375</v>
      </c>
      <c r="D105" s="1" t="s">
        <v>376</v>
      </c>
      <c r="E105" s="2" t="s">
        <v>330</v>
      </c>
      <c r="F105" s="7" t="n">
        <v>2006</v>
      </c>
      <c r="G105" s="1" t="s">
        <v>377</v>
      </c>
      <c r="H105" s="1" t="s">
        <v>182</v>
      </c>
    </row>
    <row r="106" customFormat="false" ht="14.25" hidden="false" customHeight="false" outlineLevel="0" collapsed="false">
      <c r="B106" s="7" t="s">
        <v>378</v>
      </c>
      <c r="C106" s="1" t="s">
        <v>379</v>
      </c>
      <c r="D106" s="1" t="s">
        <v>376</v>
      </c>
      <c r="E106" s="2" t="s">
        <v>330</v>
      </c>
      <c r="F106" s="7" t="n">
        <v>2002</v>
      </c>
      <c r="G106" s="1" t="s">
        <v>380</v>
      </c>
      <c r="H106" s="1" t="s">
        <v>381</v>
      </c>
    </row>
    <row r="107" customFormat="false" ht="14.25" hidden="false" customHeight="false" outlineLevel="0" collapsed="false">
      <c r="B107" s="7" t="s">
        <v>382</v>
      </c>
      <c r="C107" s="1" t="s">
        <v>383</v>
      </c>
      <c r="D107" s="1" t="s">
        <v>376</v>
      </c>
      <c r="E107" s="2" t="s">
        <v>330</v>
      </c>
      <c r="F107" s="7" t="n">
        <v>2002</v>
      </c>
      <c r="G107" s="1" t="s">
        <v>384</v>
      </c>
      <c r="H107" s="1" t="s">
        <v>50</v>
      </c>
    </row>
    <row r="108" customFormat="false" ht="14.25" hidden="false" customHeight="false" outlineLevel="0" collapsed="false">
      <c r="B108" s="7" t="s">
        <v>385</v>
      </c>
      <c r="C108" s="1" t="s">
        <v>386</v>
      </c>
      <c r="D108" s="1" t="s">
        <v>376</v>
      </c>
      <c r="E108" s="2" t="s">
        <v>330</v>
      </c>
      <c r="F108" s="7" t="n">
        <v>2009</v>
      </c>
      <c r="G108" s="1" t="s">
        <v>387</v>
      </c>
      <c r="H108" s="1" t="s">
        <v>388</v>
      </c>
    </row>
    <row r="109" customFormat="false" ht="14.25" hidden="false" customHeight="false" outlineLevel="0" collapsed="false">
      <c r="B109" s="7" t="s">
        <v>389</v>
      </c>
      <c r="C109" s="1" t="s">
        <v>390</v>
      </c>
      <c r="D109" s="1" t="s">
        <v>376</v>
      </c>
      <c r="E109" s="2" t="s">
        <v>330</v>
      </c>
      <c r="F109" s="7" t="n">
        <v>1999</v>
      </c>
      <c r="G109" s="1" t="s">
        <v>391</v>
      </c>
      <c r="H109" s="1" t="s">
        <v>392</v>
      </c>
    </row>
    <row r="110" customFormat="false" ht="14.25" hidden="false" customHeight="false" outlineLevel="0" collapsed="false">
      <c r="B110" s="11" t="s">
        <v>393</v>
      </c>
      <c r="C110" s="1" t="s">
        <v>394</v>
      </c>
      <c r="E110" s="1" t="s">
        <v>395</v>
      </c>
      <c r="F110" s="7" t="n">
        <v>2008</v>
      </c>
      <c r="G110" s="1" t="s">
        <v>396</v>
      </c>
      <c r="H110" s="1" t="s">
        <v>397</v>
      </c>
    </row>
    <row r="111" customFormat="false" ht="14.25" hidden="false" customHeight="false" outlineLevel="0" collapsed="false">
      <c r="B111" s="11" t="s">
        <v>398</v>
      </c>
      <c r="C111" s="1" t="s">
        <v>399</v>
      </c>
      <c r="D111" s="1" t="s">
        <v>400</v>
      </c>
      <c r="E111" s="2" t="s">
        <v>330</v>
      </c>
      <c r="F111" s="7" t="n">
        <v>2015</v>
      </c>
      <c r="G111" s="1" t="s">
        <v>401</v>
      </c>
      <c r="H111" s="1" t="s">
        <v>17</v>
      </c>
    </row>
    <row r="112" customFormat="false" ht="14.25" hidden="false" customHeight="false" outlineLevel="0" collapsed="false">
      <c r="B112" s="11" t="s">
        <v>402</v>
      </c>
      <c r="C112" s="1" t="s">
        <v>403</v>
      </c>
      <c r="D112" s="1" t="s">
        <v>400</v>
      </c>
      <c r="E112" s="2" t="s">
        <v>330</v>
      </c>
      <c r="F112" s="7" t="n">
        <v>2015</v>
      </c>
      <c r="G112" s="1" t="s">
        <v>404</v>
      </c>
      <c r="H112" s="1" t="s">
        <v>50</v>
      </c>
    </row>
    <row r="113" customFormat="false" ht="14.25" hidden="false" customHeight="false" outlineLevel="0" collapsed="false">
      <c r="B113" s="11" t="s">
        <v>405</v>
      </c>
      <c r="C113" s="1" t="s">
        <v>406</v>
      </c>
      <c r="D113" s="1" t="s">
        <v>376</v>
      </c>
      <c r="E113" s="2" t="s">
        <v>330</v>
      </c>
      <c r="F113" s="7" t="n">
        <v>2017</v>
      </c>
      <c r="G113" s="1" t="s">
        <v>407</v>
      </c>
      <c r="H113" s="1" t="s">
        <v>50</v>
      </c>
    </row>
    <row r="114" customFormat="false" ht="14.25" hidden="false" customHeight="false" outlineLevel="0" collapsed="false">
      <c r="B114" s="11" t="s">
        <v>408</v>
      </c>
      <c r="C114" s="1" t="s">
        <v>409</v>
      </c>
      <c r="D114" s="1" t="s">
        <v>376</v>
      </c>
      <c r="E114" s="2" t="s">
        <v>330</v>
      </c>
      <c r="F114" s="7" t="n">
        <v>2009</v>
      </c>
      <c r="G114" s="1" t="s">
        <v>410</v>
      </c>
      <c r="H114" s="1" t="s">
        <v>50</v>
      </c>
    </row>
    <row r="115" customFormat="false" ht="14.25" hidden="false" customHeight="false" outlineLevel="0" collapsed="false">
      <c r="B115" s="11" t="s">
        <v>411</v>
      </c>
      <c r="C115" s="1" t="s">
        <v>412</v>
      </c>
      <c r="D115" s="1" t="s">
        <v>376</v>
      </c>
      <c r="E115" s="2" t="s">
        <v>330</v>
      </c>
      <c r="F115" s="7" t="n">
        <v>2009</v>
      </c>
      <c r="G115" s="1" t="s">
        <v>413</v>
      </c>
      <c r="H115" s="1" t="s">
        <v>414</v>
      </c>
    </row>
    <row r="116" customFormat="false" ht="14.25" hidden="false" customHeight="false" outlineLevel="0" collapsed="false">
      <c r="B116" s="11" t="s">
        <v>415</v>
      </c>
      <c r="C116" s="1" t="s">
        <v>416</v>
      </c>
      <c r="D116" s="1" t="s">
        <v>376</v>
      </c>
      <c r="E116" s="2" t="s">
        <v>330</v>
      </c>
      <c r="F116" s="7" t="n">
        <v>2007</v>
      </c>
      <c r="G116" s="1" t="s">
        <v>417</v>
      </c>
      <c r="H116" s="1" t="s">
        <v>414</v>
      </c>
    </row>
    <row r="117" customFormat="false" ht="14.25" hidden="false" customHeight="false" outlineLevel="0" collapsed="false">
      <c r="B117" s="11" t="s">
        <v>418</v>
      </c>
      <c r="C117" s="1" t="s">
        <v>419</v>
      </c>
      <c r="D117" s="1" t="s">
        <v>376</v>
      </c>
      <c r="E117" s="2" t="s">
        <v>330</v>
      </c>
      <c r="F117" s="7" t="n">
        <v>2007</v>
      </c>
      <c r="G117" s="1" t="s">
        <v>420</v>
      </c>
      <c r="H117" s="1" t="s">
        <v>414</v>
      </c>
    </row>
    <row r="118" customFormat="false" ht="14.25" hidden="false" customHeight="false" outlineLevel="0" collapsed="false">
      <c r="B118" s="6" t="s">
        <v>421</v>
      </c>
      <c r="C118" s="2" t="s">
        <v>422</v>
      </c>
      <c r="D118" s="2" t="s">
        <v>423</v>
      </c>
      <c r="E118" s="2" t="s">
        <v>424</v>
      </c>
      <c r="F118" s="6" t="n">
        <v>1999</v>
      </c>
      <c r="G118" s="2" t="s">
        <v>425</v>
      </c>
      <c r="H118" s="2" t="s">
        <v>303</v>
      </c>
    </row>
    <row r="119" customFormat="false" ht="14.25" hidden="false" customHeight="false" outlineLevel="0" collapsed="false">
      <c r="B119" s="6" t="s">
        <v>426</v>
      </c>
      <c r="C119" s="2" t="s">
        <v>427</v>
      </c>
      <c r="D119" s="2"/>
      <c r="E119" s="2" t="s">
        <v>424</v>
      </c>
      <c r="F119" s="6" t="n">
        <v>2001</v>
      </c>
      <c r="G119" s="2" t="s">
        <v>428</v>
      </c>
      <c r="H119" s="2" t="s">
        <v>429</v>
      </c>
    </row>
    <row r="120" customFormat="false" ht="14.25" hidden="false" customHeight="false" outlineLevel="0" collapsed="false">
      <c r="B120" s="6" t="s">
        <v>430</v>
      </c>
      <c r="C120" s="2" t="s">
        <v>431</v>
      </c>
      <c r="D120" s="2"/>
      <c r="E120" s="2" t="s">
        <v>424</v>
      </c>
      <c r="F120" s="6" t="n">
        <v>1998</v>
      </c>
      <c r="G120" s="2" t="s">
        <v>432</v>
      </c>
      <c r="H120" s="2" t="s">
        <v>433</v>
      </c>
    </row>
    <row r="121" customFormat="false" ht="14.25" hidden="false" customHeight="false" outlineLevel="0" collapsed="false">
      <c r="B121" s="6" t="s">
        <v>434</v>
      </c>
      <c r="C121" s="2" t="s">
        <v>435</v>
      </c>
      <c r="D121" s="2" t="s">
        <v>423</v>
      </c>
      <c r="E121" s="2" t="s">
        <v>424</v>
      </c>
      <c r="F121" s="6" t="n">
        <v>1997</v>
      </c>
      <c r="G121" s="2" t="s">
        <v>436</v>
      </c>
      <c r="H121" s="2" t="s">
        <v>437</v>
      </c>
    </row>
    <row r="122" customFormat="false" ht="14.25" hidden="false" customHeight="false" outlineLevel="0" collapsed="false">
      <c r="B122" s="7" t="s">
        <v>438</v>
      </c>
      <c r="C122" s="1" t="s">
        <v>439</v>
      </c>
      <c r="E122" s="1" t="s">
        <v>424</v>
      </c>
      <c r="F122" s="7" t="n">
        <v>2001</v>
      </c>
      <c r="G122" s="1" t="s">
        <v>440</v>
      </c>
      <c r="H122" s="1" t="s">
        <v>441</v>
      </c>
    </row>
    <row r="123" customFormat="false" ht="14.25" hidden="false" customHeight="false" outlineLevel="0" collapsed="false">
      <c r="B123" s="7" t="s">
        <v>442</v>
      </c>
      <c r="C123" s="1" t="s">
        <v>443</v>
      </c>
      <c r="E123" s="1" t="s">
        <v>424</v>
      </c>
      <c r="F123" s="7" t="n">
        <v>1999</v>
      </c>
      <c r="G123" s="1" t="s">
        <v>444</v>
      </c>
      <c r="H123" s="1" t="s">
        <v>445</v>
      </c>
    </row>
    <row r="124" customFormat="false" ht="14.25" hidden="false" customHeight="false" outlineLevel="0" collapsed="false">
      <c r="B124" s="6" t="s">
        <v>446</v>
      </c>
      <c r="C124" s="2" t="s">
        <v>447</v>
      </c>
      <c r="D124" s="2" t="s">
        <v>423</v>
      </c>
      <c r="E124" s="2" t="s">
        <v>424</v>
      </c>
      <c r="F124" s="6" t="n">
        <v>2000</v>
      </c>
      <c r="G124" s="2" t="s">
        <v>425</v>
      </c>
      <c r="H124" s="2" t="s">
        <v>303</v>
      </c>
    </row>
    <row r="125" customFormat="false" ht="14.25" hidden="false" customHeight="false" outlineLevel="0" collapsed="false">
      <c r="B125" s="6" t="s">
        <v>448</v>
      </c>
      <c r="C125" s="2" t="s">
        <v>449</v>
      </c>
      <c r="D125" s="2" t="s">
        <v>450</v>
      </c>
      <c r="E125" s="2" t="s">
        <v>451</v>
      </c>
      <c r="F125" s="6" t="n">
        <v>2000</v>
      </c>
      <c r="G125" s="2"/>
      <c r="H125" s="2" t="s">
        <v>452</v>
      </c>
    </row>
    <row r="126" customFormat="false" ht="14.25" hidden="false" customHeight="false" outlineLevel="0" collapsed="false">
      <c r="B126" s="6" t="s">
        <v>453</v>
      </c>
      <c r="C126" s="2" t="s">
        <v>454</v>
      </c>
      <c r="D126" s="2" t="s">
        <v>455</v>
      </c>
      <c r="E126" s="2" t="s">
        <v>451</v>
      </c>
      <c r="F126" s="6" t="n">
        <v>2001</v>
      </c>
      <c r="G126" s="2"/>
      <c r="H126" s="2" t="s">
        <v>452</v>
      </c>
    </row>
    <row r="127" customFormat="false" ht="14.25" hidden="false" customHeight="false" outlineLevel="0" collapsed="false">
      <c r="B127" s="6" t="s">
        <v>456</v>
      </c>
      <c r="C127" s="2" t="s">
        <v>457</v>
      </c>
      <c r="D127" s="2" t="s">
        <v>455</v>
      </c>
      <c r="E127" s="2" t="s">
        <v>451</v>
      </c>
      <c r="F127" s="6" t="n">
        <v>2001</v>
      </c>
      <c r="G127" s="2"/>
      <c r="H127" s="2" t="s">
        <v>452</v>
      </c>
    </row>
    <row r="128" customFormat="false" ht="14.25" hidden="false" customHeight="false" outlineLevel="0" collapsed="false">
      <c r="B128" s="6" t="s">
        <v>458</v>
      </c>
      <c r="C128" s="2" t="s">
        <v>459</v>
      </c>
      <c r="D128" s="2" t="s">
        <v>460</v>
      </c>
      <c r="E128" s="2" t="s">
        <v>451</v>
      </c>
      <c r="F128" s="6" t="n">
        <v>1997</v>
      </c>
      <c r="G128" s="2"/>
      <c r="H128" s="2" t="s">
        <v>452</v>
      </c>
    </row>
    <row r="129" customFormat="false" ht="14.25" hidden="false" customHeight="false" outlineLevel="0" collapsed="false">
      <c r="B129" s="6" t="s">
        <v>461</v>
      </c>
      <c r="C129" s="2" t="s">
        <v>462</v>
      </c>
      <c r="D129" s="2" t="s">
        <v>450</v>
      </c>
      <c r="E129" s="2" t="s">
        <v>451</v>
      </c>
      <c r="F129" s="6" t="n">
        <v>1999</v>
      </c>
      <c r="G129" s="2" t="s">
        <v>463</v>
      </c>
      <c r="H129" s="2" t="s">
        <v>464</v>
      </c>
    </row>
    <row r="130" customFormat="false" ht="14.25" hidden="false" customHeight="false" outlineLevel="0" collapsed="false">
      <c r="B130" s="6" t="s">
        <v>465</v>
      </c>
      <c r="C130" s="2" t="s">
        <v>466</v>
      </c>
      <c r="D130" s="2" t="s">
        <v>455</v>
      </c>
      <c r="E130" s="2" t="s">
        <v>451</v>
      </c>
      <c r="F130" s="6" t="n">
        <v>2001</v>
      </c>
      <c r="G130" s="2" t="s">
        <v>463</v>
      </c>
      <c r="H130" s="2" t="s">
        <v>467</v>
      </c>
    </row>
    <row r="131" customFormat="false" ht="14.25" hidden="false" customHeight="false" outlineLevel="0" collapsed="false">
      <c r="B131" s="6" t="s">
        <v>468</v>
      </c>
      <c r="C131" s="2" t="s">
        <v>469</v>
      </c>
      <c r="D131" s="2" t="s">
        <v>470</v>
      </c>
      <c r="E131" s="2" t="s">
        <v>451</v>
      </c>
      <c r="F131" s="6" t="n">
        <v>2003</v>
      </c>
      <c r="G131" s="2" t="s">
        <v>471</v>
      </c>
      <c r="H131" s="2" t="s">
        <v>50</v>
      </c>
    </row>
    <row r="132" customFormat="false" ht="14.25" hidden="false" customHeight="false" outlineLevel="0" collapsed="false">
      <c r="B132" s="6" t="s">
        <v>472</v>
      </c>
      <c r="C132" s="2" t="s">
        <v>473</v>
      </c>
      <c r="D132" s="2" t="s">
        <v>474</v>
      </c>
      <c r="E132" s="2" t="s">
        <v>451</v>
      </c>
      <c r="F132" s="6" t="n">
        <v>2005</v>
      </c>
      <c r="G132" s="2" t="s">
        <v>475</v>
      </c>
      <c r="H132" s="2"/>
    </row>
    <row r="133" customFormat="false" ht="14.25" hidden="false" customHeight="false" outlineLevel="0" collapsed="false">
      <c r="B133" s="6" t="s">
        <v>476</v>
      </c>
      <c r="C133" s="2" t="s">
        <v>477</v>
      </c>
      <c r="D133" s="2" t="s">
        <v>478</v>
      </c>
      <c r="E133" s="2" t="s">
        <v>451</v>
      </c>
      <c r="F133" s="6" t="n">
        <v>2001</v>
      </c>
      <c r="G133" s="2"/>
      <c r="H133" s="2" t="s">
        <v>452</v>
      </c>
    </row>
    <row r="134" customFormat="false" ht="14.25" hidden="false" customHeight="false" outlineLevel="0" collapsed="false">
      <c r="B134" s="7" t="s">
        <v>479</v>
      </c>
      <c r="C134" s="1" t="s">
        <v>480</v>
      </c>
      <c r="D134" s="1" t="s">
        <v>474</v>
      </c>
      <c r="E134" s="2" t="s">
        <v>451</v>
      </c>
      <c r="F134" s="1" t="n">
        <v>2004</v>
      </c>
      <c r="G134" s="1" t="s">
        <v>481</v>
      </c>
      <c r="H134" s="1" t="s">
        <v>433</v>
      </c>
    </row>
    <row r="135" customFormat="false" ht="14.25" hidden="false" customHeight="false" outlineLevel="0" collapsed="false">
      <c r="B135" s="7" t="s">
        <v>482</v>
      </c>
      <c r="C135" s="1" t="s">
        <v>483</v>
      </c>
      <c r="D135" s="1" t="s">
        <v>474</v>
      </c>
      <c r="E135" s="2" t="s">
        <v>451</v>
      </c>
      <c r="F135" s="1" t="n">
        <v>2006</v>
      </c>
      <c r="G135" s="1" t="s">
        <v>484</v>
      </c>
      <c r="H135" s="1" t="s">
        <v>485</v>
      </c>
    </row>
    <row r="136" customFormat="false" ht="14.25" hidden="false" customHeight="false" outlineLevel="0" collapsed="false">
      <c r="B136" s="7" t="s">
        <v>486</v>
      </c>
      <c r="C136" s="1" t="s">
        <v>487</v>
      </c>
      <c r="F136" s="7" t="n">
        <v>2008</v>
      </c>
      <c r="G136" s="1" t="s">
        <v>488</v>
      </c>
      <c r="H136" s="1" t="s">
        <v>489</v>
      </c>
    </row>
    <row r="137" customFormat="false" ht="14.25" hidden="false" customHeight="false" outlineLevel="0" collapsed="false">
      <c r="B137" s="12" t="s">
        <v>490</v>
      </c>
      <c r="C137" s="13" t="s">
        <v>491</v>
      </c>
      <c r="D137" s="14" t="s">
        <v>8</v>
      </c>
      <c r="E137" s="14" t="s">
        <v>451</v>
      </c>
      <c r="F137" s="12" t="n">
        <v>1999</v>
      </c>
      <c r="G137" s="13" t="s">
        <v>492</v>
      </c>
      <c r="H137" s="13" t="s">
        <v>464</v>
      </c>
    </row>
    <row r="138" customFormat="false" ht="14.25" hidden="false" customHeight="false" outlineLevel="0" collapsed="false">
      <c r="B138" s="12" t="s">
        <v>493</v>
      </c>
      <c r="C138" s="13" t="s">
        <v>494</v>
      </c>
      <c r="D138" s="14"/>
      <c r="E138" s="14" t="s">
        <v>451</v>
      </c>
      <c r="F138" s="12" t="n">
        <v>2003</v>
      </c>
      <c r="G138" s="13" t="s">
        <v>495</v>
      </c>
      <c r="H138" s="13" t="s">
        <v>82</v>
      </c>
    </row>
    <row r="139" customFormat="false" ht="14.25" hidden="false" customHeight="false" outlineLevel="0" collapsed="false">
      <c r="B139" s="12" t="s">
        <v>496</v>
      </c>
      <c r="C139" s="13" t="s">
        <v>497</v>
      </c>
      <c r="D139" s="14"/>
      <c r="E139" s="14" t="s">
        <v>451</v>
      </c>
      <c r="F139" s="12" t="n">
        <v>2001</v>
      </c>
      <c r="G139" s="13" t="s">
        <v>498</v>
      </c>
      <c r="H139" s="13" t="s">
        <v>244</v>
      </c>
    </row>
    <row r="140" customFormat="false" ht="14.25" hidden="false" customHeight="false" outlineLevel="0" collapsed="false">
      <c r="B140" s="6" t="s">
        <v>499</v>
      </c>
      <c r="C140" s="2" t="s">
        <v>500</v>
      </c>
      <c r="D140" s="2" t="s">
        <v>501</v>
      </c>
      <c r="E140" s="2" t="s">
        <v>502</v>
      </c>
      <c r="F140" s="6" t="n">
        <v>2001</v>
      </c>
      <c r="G140" s="2" t="s">
        <v>503</v>
      </c>
      <c r="H140" s="2" t="s">
        <v>504</v>
      </c>
    </row>
    <row r="141" customFormat="false" ht="14.25" hidden="false" customHeight="false" outlineLevel="0" collapsed="false">
      <c r="B141" s="15" t="s">
        <v>505</v>
      </c>
      <c r="C141" s="16" t="s">
        <v>506</v>
      </c>
      <c r="D141" s="16"/>
      <c r="E141" s="16" t="s">
        <v>502</v>
      </c>
      <c r="F141" s="15" t="n">
        <v>2002</v>
      </c>
      <c r="G141" s="16" t="s">
        <v>507</v>
      </c>
      <c r="H141" s="16" t="s">
        <v>441</v>
      </c>
    </row>
    <row r="142" customFormat="false" ht="14.25" hidden="false" customHeight="false" outlineLevel="0" collapsed="false">
      <c r="B142" s="6" t="s">
        <v>508</v>
      </c>
      <c r="C142" s="2" t="s">
        <v>509</v>
      </c>
      <c r="D142" s="2"/>
      <c r="E142" s="2" t="s">
        <v>502</v>
      </c>
      <c r="F142" s="6" t="n">
        <v>1998</v>
      </c>
      <c r="G142" s="2" t="s">
        <v>510</v>
      </c>
      <c r="H142" s="2" t="s">
        <v>13</v>
      </c>
    </row>
    <row r="143" customFormat="false" ht="14.25" hidden="false" customHeight="false" outlineLevel="0" collapsed="false">
      <c r="B143" s="15" t="s">
        <v>511</v>
      </c>
      <c r="C143" s="16" t="s">
        <v>512</v>
      </c>
      <c r="D143" s="16"/>
      <c r="E143" s="16" t="s">
        <v>502</v>
      </c>
      <c r="F143" s="15" t="n">
        <v>2002</v>
      </c>
      <c r="G143" s="16" t="s">
        <v>513</v>
      </c>
      <c r="H143" s="16" t="s">
        <v>514</v>
      </c>
    </row>
    <row r="144" customFormat="false" ht="14.25" hidden="false" customHeight="false" outlineLevel="0" collapsed="false">
      <c r="B144" s="6" t="s">
        <v>515</v>
      </c>
      <c r="C144" s="2" t="s">
        <v>516</v>
      </c>
      <c r="D144" s="2" t="s">
        <v>517</v>
      </c>
      <c r="E144" s="2" t="s">
        <v>502</v>
      </c>
      <c r="F144" s="6" t="n">
        <v>2003</v>
      </c>
      <c r="G144" s="2" t="s">
        <v>518</v>
      </c>
      <c r="H144" s="2" t="s">
        <v>433</v>
      </c>
    </row>
    <row r="145" customFormat="false" ht="14.25" hidden="false" customHeight="false" outlineLevel="0" collapsed="false">
      <c r="B145" s="6" t="s">
        <v>519</v>
      </c>
      <c r="C145" s="2" t="s">
        <v>520</v>
      </c>
      <c r="D145" s="2" t="s">
        <v>521</v>
      </c>
      <c r="E145" s="2" t="s">
        <v>502</v>
      </c>
      <c r="F145" s="6" t="n">
        <v>2001</v>
      </c>
      <c r="G145" s="2" t="s">
        <v>521</v>
      </c>
      <c r="H145" s="2" t="s">
        <v>522</v>
      </c>
    </row>
    <row r="146" customFormat="false" ht="14.25" hidden="false" customHeight="false" outlineLevel="0" collapsed="false">
      <c r="B146" s="6" t="s">
        <v>523</v>
      </c>
      <c r="C146" s="2" t="s">
        <v>520</v>
      </c>
      <c r="D146" s="2" t="s">
        <v>521</v>
      </c>
      <c r="E146" s="2" t="s">
        <v>502</v>
      </c>
      <c r="F146" s="6" t="n">
        <v>2001</v>
      </c>
      <c r="G146" s="2" t="s">
        <v>521</v>
      </c>
      <c r="H146" s="2" t="s">
        <v>522</v>
      </c>
    </row>
    <row r="147" customFormat="false" ht="14.25" hidden="false" customHeight="false" outlineLevel="0" collapsed="false">
      <c r="B147" s="6" t="s">
        <v>524</v>
      </c>
      <c r="C147" s="2" t="s">
        <v>525</v>
      </c>
      <c r="D147" s="2" t="s">
        <v>521</v>
      </c>
      <c r="E147" s="2" t="s">
        <v>502</v>
      </c>
      <c r="F147" s="6" t="n">
        <v>2003</v>
      </c>
      <c r="G147" s="2" t="s">
        <v>526</v>
      </c>
      <c r="H147" s="2"/>
    </row>
    <row r="148" customFormat="false" ht="14.25" hidden="false" customHeight="false" outlineLevel="0" collapsed="false">
      <c r="B148" s="6" t="s">
        <v>527</v>
      </c>
      <c r="C148" s="2" t="s">
        <v>528</v>
      </c>
      <c r="D148" s="2" t="s">
        <v>529</v>
      </c>
      <c r="E148" s="2" t="s">
        <v>502</v>
      </c>
      <c r="F148" s="6" t="n">
        <v>2004</v>
      </c>
      <c r="G148" s="2" t="s">
        <v>530</v>
      </c>
      <c r="H148" s="2" t="s">
        <v>50</v>
      </c>
    </row>
    <row r="149" customFormat="false" ht="14.25" hidden="false" customHeight="false" outlineLevel="0" collapsed="false">
      <c r="B149" s="6" t="s">
        <v>531</v>
      </c>
      <c r="C149" s="2" t="s">
        <v>532</v>
      </c>
      <c r="D149" s="2" t="s">
        <v>501</v>
      </c>
      <c r="E149" s="2" t="s">
        <v>502</v>
      </c>
      <c r="F149" s="6" t="n">
        <v>2001</v>
      </c>
      <c r="G149" s="2" t="s">
        <v>533</v>
      </c>
      <c r="H149" s="2" t="s">
        <v>534</v>
      </c>
    </row>
    <row r="150" customFormat="false" ht="14.25" hidden="false" customHeight="false" outlineLevel="0" collapsed="false">
      <c r="B150" s="6" t="s">
        <v>535</v>
      </c>
      <c r="C150" s="2" t="s">
        <v>536</v>
      </c>
      <c r="D150" s="2"/>
      <c r="E150" s="2" t="s">
        <v>502</v>
      </c>
      <c r="F150" s="6" t="n">
        <v>1997</v>
      </c>
      <c r="G150" s="2" t="s">
        <v>537</v>
      </c>
      <c r="H150" s="2" t="s">
        <v>538</v>
      </c>
    </row>
    <row r="151" customFormat="false" ht="14.25" hidden="false" customHeight="false" outlineLevel="0" collapsed="false">
      <c r="B151" s="6" t="s">
        <v>539</v>
      </c>
      <c r="C151" s="2" t="s">
        <v>540</v>
      </c>
      <c r="D151" s="2"/>
      <c r="E151" s="2" t="s">
        <v>502</v>
      </c>
      <c r="F151" s="6" t="n">
        <v>2004</v>
      </c>
      <c r="G151" s="2"/>
      <c r="H151" s="2" t="s">
        <v>541</v>
      </c>
    </row>
    <row r="152" customFormat="false" ht="14.25" hidden="false" customHeight="false" outlineLevel="0" collapsed="false">
      <c r="B152" s="15" t="s">
        <v>542</v>
      </c>
      <c r="C152" s="16" t="s">
        <v>543</v>
      </c>
      <c r="D152" s="16"/>
      <c r="E152" s="16" t="s">
        <v>502</v>
      </c>
      <c r="F152" s="15" t="n">
        <v>2001</v>
      </c>
      <c r="G152" s="16" t="s">
        <v>544</v>
      </c>
      <c r="H152" s="16" t="s">
        <v>544</v>
      </c>
    </row>
    <row r="153" customFormat="false" ht="14.25" hidden="false" customHeight="false" outlineLevel="0" collapsed="false">
      <c r="B153" s="15" t="s">
        <v>545</v>
      </c>
      <c r="C153" s="16" t="s">
        <v>546</v>
      </c>
      <c r="D153" s="16"/>
      <c r="E153" s="16" t="s">
        <v>502</v>
      </c>
      <c r="F153" s="15"/>
      <c r="G153" s="16"/>
      <c r="H153" s="16"/>
    </row>
    <row r="154" customFormat="false" ht="14.25" hidden="false" customHeight="false" outlineLevel="0" collapsed="false">
      <c r="A154" s="1" t="s">
        <v>547</v>
      </c>
      <c r="B154" s="6" t="s">
        <v>548</v>
      </c>
      <c r="C154" s="2" t="s">
        <v>549</v>
      </c>
      <c r="D154" s="2" t="s">
        <v>501</v>
      </c>
      <c r="E154" s="2" t="s">
        <v>502</v>
      </c>
      <c r="F154" s="6" t="n">
        <v>2001</v>
      </c>
      <c r="G154" s="2" t="s">
        <v>533</v>
      </c>
      <c r="H154" s="2" t="s">
        <v>534</v>
      </c>
    </row>
    <row r="155" customFormat="false" ht="14.25" hidden="false" customHeight="false" outlineLevel="0" collapsed="false">
      <c r="A155" s="10"/>
      <c r="B155" s="6" t="s">
        <v>550</v>
      </c>
      <c r="C155" s="2" t="s">
        <v>551</v>
      </c>
      <c r="D155" s="2" t="s">
        <v>552</v>
      </c>
      <c r="E155" s="2" t="s">
        <v>502</v>
      </c>
      <c r="F155" s="6" t="n">
        <v>2005</v>
      </c>
      <c r="G155" s="2"/>
      <c r="H155" s="2" t="s">
        <v>452</v>
      </c>
    </row>
    <row r="156" customFormat="false" ht="14.25" hidden="false" customHeight="false" outlineLevel="0" collapsed="false">
      <c r="B156" s="6" t="s">
        <v>553</v>
      </c>
      <c r="C156" s="2" t="s">
        <v>554</v>
      </c>
      <c r="D156" s="2"/>
      <c r="E156" s="2" t="s">
        <v>502</v>
      </c>
      <c r="F156" s="6" t="n">
        <v>2004</v>
      </c>
      <c r="G156" s="2" t="s">
        <v>555</v>
      </c>
      <c r="H156" s="2" t="s">
        <v>556</v>
      </c>
    </row>
    <row r="157" customFormat="false" ht="14.25" hidden="false" customHeight="false" outlineLevel="0" collapsed="false">
      <c r="B157" s="6" t="s">
        <v>557</v>
      </c>
      <c r="C157" s="2" t="s">
        <v>558</v>
      </c>
      <c r="D157" s="2" t="s">
        <v>552</v>
      </c>
      <c r="E157" s="2" t="s">
        <v>502</v>
      </c>
      <c r="F157" s="6" t="n">
        <v>2005</v>
      </c>
      <c r="G157" s="2" t="s">
        <v>559</v>
      </c>
      <c r="H157" s="2" t="s">
        <v>50</v>
      </c>
    </row>
    <row r="158" customFormat="false" ht="14.25" hidden="false" customHeight="false" outlineLevel="0" collapsed="false">
      <c r="B158" s="6" t="s">
        <v>560</v>
      </c>
      <c r="C158" s="2" t="s">
        <v>561</v>
      </c>
      <c r="D158" s="2" t="s">
        <v>562</v>
      </c>
      <c r="E158" s="2" t="s">
        <v>502</v>
      </c>
      <c r="F158" s="6" t="n">
        <v>2004</v>
      </c>
      <c r="G158" s="2" t="s">
        <v>518</v>
      </c>
      <c r="H158" s="2" t="s">
        <v>433</v>
      </c>
    </row>
    <row r="159" customFormat="false" ht="14.25" hidden="false" customHeight="false" outlineLevel="0" collapsed="false">
      <c r="B159" s="6" t="s">
        <v>563</v>
      </c>
      <c r="C159" s="2" t="s">
        <v>564</v>
      </c>
      <c r="D159" s="2" t="s">
        <v>565</v>
      </c>
      <c r="E159" s="2" t="s">
        <v>502</v>
      </c>
      <c r="F159" s="6" t="n">
        <v>2004</v>
      </c>
      <c r="G159" s="2" t="s">
        <v>533</v>
      </c>
      <c r="H159" s="2" t="s">
        <v>433</v>
      </c>
    </row>
    <row r="160" customFormat="false" ht="14.25" hidden="false" customHeight="false" outlineLevel="0" collapsed="false">
      <c r="B160" s="6" t="s">
        <v>566</v>
      </c>
      <c r="C160" s="2" t="s">
        <v>567</v>
      </c>
      <c r="D160" s="2" t="s">
        <v>565</v>
      </c>
      <c r="E160" s="2" t="s">
        <v>502</v>
      </c>
      <c r="F160" s="6" t="n">
        <v>2005</v>
      </c>
      <c r="G160" s="2" t="s">
        <v>533</v>
      </c>
      <c r="H160" s="2" t="s">
        <v>433</v>
      </c>
    </row>
    <row r="161" customFormat="false" ht="14.25" hidden="false" customHeight="false" outlineLevel="0" collapsed="false">
      <c r="B161" s="6" t="s">
        <v>568</v>
      </c>
      <c r="C161" s="2" t="s">
        <v>569</v>
      </c>
      <c r="D161" s="2" t="s">
        <v>565</v>
      </c>
      <c r="E161" s="2" t="s">
        <v>502</v>
      </c>
      <c r="F161" s="6" t="n">
        <v>2004</v>
      </c>
      <c r="G161" s="2" t="s">
        <v>570</v>
      </c>
      <c r="H161" s="2" t="s">
        <v>571</v>
      </c>
    </row>
    <row r="162" customFormat="false" ht="14.25" hidden="false" customHeight="false" outlineLevel="0" collapsed="false">
      <c r="B162" s="6" t="s">
        <v>572</v>
      </c>
      <c r="C162" s="2" t="s">
        <v>573</v>
      </c>
      <c r="D162" s="2"/>
      <c r="E162" s="2" t="s">
        <v>502</v>
      </c>
      <c r="F162" s="6" t="n">
        <v>2003</v>
      </c>
      <c r="G162" s="2" t="s">
        <v>574</v>
      </c>
      <c r="H162" s="2" t="s">
        <v>13</v>
      </c>
    </row>
    <row r="163" customFormat="false" ht="14.25" hidden="false" customHeight="false" outlineLevel="0" collapsed="false">
      <c r="B163" s="6" t="s">
        <v>575</v>
      </c>
      <c r="C163" s="2" t="s">
        <v>576</v>
      </c>
      <c r="D163" s="2"/>
      <c r="E163" s="2" t="s">
        <v>502</v>
      </c>
      <c r="F163" s="6" t="n">
        <v>2001</v>
      </c>
      <c r="G163" s="2" t="s">
        <v>577</v>
      </c>
      <c r="H163" s="2" t="s">
        <v>514</v>
      </c>
    </row>
    <row r="164" customFormat="false" ht="14.25" hidden="false" customHeight="false" outlineLevel="0" collapsed="false">
      <c r="B164" s="6" t="s">
        <v>578</v>
      </c>
      <c r="C164" s="2" t="s">
        <v>579</v>
      </c>
      <c r="D164" s="2" t="s">
        <v>580</v>
      </c>
      <c r="E164" s="2" t="s">
        <v>502</v>
      </c>
      <c r="F164" s="6" t="n">
        <v>2006</v>
      </c>
      <c r="G164" s="2" t="s">
        <v>518</v>
      </c>
      <c r="H164" s="2" t="s">
        <v>433</v>
      </c>
    </row>
    <row r="165" customFormat="false" ht="14.25" hidden="false" customHeight="false" outlineLevel="0" collapsed="false">
      <c r="B165" s="6" t="s">
        <v>581</v>
      </c>
      <c r="C165" s="2" t="s">
        <v>579</v>
      </c>
      <c r="D165" s="2" t="s">
        <v>580</v>
      </c>
      <c r="E165" s="2" t="s">
        <v>502</v>
      </c>
      <c r="F165" s="6" t="n">
        <v>2006</v>
      </c>
      <c r="G165" s="2" t="s">
        <v>518</v>
      </c>
      <c r="H165" s="2" t="s">
        <v>433</v>
      </c>
    </row>
    <row r="166" customFormat="false" ht="14.25" hidden="false" customHeight="false" outlineLevel="0" collapsed="false">
      <c r="B166" s="6" t="s">
        <v>582</v>
      </c>
      <c r="C166" s="2" t="s">
        <v>583</v>
      </c>
      <c r="D166" s="2" t="s">
        <v>584</v>
      </c>
      <c r="E166" s="2" t="s">
        <v>502</v>
      </c>
      <c r="F166" s="6" t="n">
        <v>2005</v>
      </c>
      <c r="G166" s="2" t="s">
        <v>585</v>
      </c>
      <c r="H166" s="2" t="s">
        <v>586</v>
      </c>
    </row>
    <row r="167" customFormat="false" ht="14.25" hidden="false" customHeight="false" outlineLevel="0" collapsed="false">
      <c r="B167" s="6" t="s">
        <v>587</v>
      </c>
      <c r="C167" s="2" t="s">
        <v>588</v>
      </c>
      <c r="D167" s="2" t="s">
        <v>501</v>
      </c>
      <c r="E167" s="2" t="s">
        <v>502</v>
      </c>
      <c r="F167" s="6" t="n">
        <v>2001</v>
      </c>
      <c r="G167" s="2"/>
      <c r="H167" s="2" t="s">
        <v>452</v>
      </c>
    </row>
    <row r="168" customFormat="false" ht="14.25" hidden="false" customHeight="false" outlineLevel="0" collapsed="false">
      <c r="B168" s="6" t="s">
        <v>589</v>
      </c>
      <c r="C168" s="2" t="s">
        <v>590</v>
      </c>
      <c r="D168" s="2"/>
      <c r="E168" s="2" t="s">
        <v>502</v>
      </c>
      <c r="F168" s="6" t="n">
        <v>2005</v>
      </c>
      <c r="G168" s="2" t="s">
        <v>591</v>
      </c>
      <c r="H168" s="2" t="s">
        <v>514</v>
      </c>
    </row>
    <row r="169" customFormat="false" ht="14.25" hidden="false" customHeight="false" outlineLevel="0" collapsed="false">
      <c r="B169" s="6" t="s">
        <v>592</v>
      </c>
      <c r="C169" s="2" t="s">
        <v>593</v>
      </c>
      <c r="D169" s="2"/>
      <c r="E169" s="2" t="s">
        <v>502</v>
      </c>
      <c r="F169" s="6" t="n">
        <v>2004</v>
      </c>
      <c r="G169" s="2" t="s">
        <v>594</v>
      </c>
      <c r="H169" s="2" t="s">
        <v>595</v>
      </c>
    </row>
    <row r="170" customFormat="false" ht="14.25" hidden="false" customHeight="false" outlineLevel="0" collapsed="false">
      <c r="B170" s="6" t="s">
        <v>596</v>
      </c>
      <c r="C170" s="2" t="s">
        <v>597</v>
      </c>
      <c r="D170" s="2"/>
      <c r="E170" s="2" t="s">
        <v>502</v>
      </c>
      <c r="F170" s="6" t="n">
        <v>2006</v>
      </c>
      <c r="G170" s="2" t="s">
        <v>598</v>
      </c>
      <c r="H170" s="2" t="s">
        <v>50</v>
      </c>
    </row>
    <row r="171" customFormat="false" ht="14.25" hidden="false" customHeight="false" outlineLevel="0" collapsed="false">
      <c r="B171" s="6" t="s">
        <v>599</v>
      </c>
      <c r="C171" s="2" t="s">
        <v>600</v>
      </c>
      <c r="D171" s="2" t="s">
        <v>565</v>
      </c>
      <c r="E171" s="2" t="s">
        <v>502</v>
      </c>
      <c r="F171" s="6" t="n">
        <v>2004</v>
      </c>
      <c r="G171" s="2" t="s">
        <v>601</v>
      </c>
      <c r="H171" s="2" t="s">
        <v>50</v>
      </c>
    </row>
    <row r="172" customFormat="false" ht="14.25" hidden="false" customHeight="false" outlineLevel="0" collapsed="false">
      <c r="B172" s="6" t="s">
        <v>602</v>
      </c>
      <c r="C172" s="2" t="s">
        <v>603</v>
      </c>
      <c r="D172" s="2" t="s">
        <v>565</v>
      </c>
      <c r="E172" s="2" t="s">
        <v>502</v>
      </c>
      <c r="F172" s="6" t="n">
        <v>2007</v>
      </c>
      <c r="G172" s="2" t="s">
        <v>533</v>
      </c>
      <c r="H172" s="2" t="s">
        <v>433</v>
      </c>
    </row>
    <row r="173" customFormat="false" ht="14.25" hidden="false" customHeight="false" outlineLevel="0" collapsed="false">
      <c r="B173" s="6" t="s">
        <v>604</v>
      </c>
      <c r="C173" s="2" t="s">
        <v>605</v>
      </c>
      <c r="D173" s="2" t="s">
        <v>606</v>
      </c>
      <c r="E173" s="2" t="s">
        <v>502</v>
      </c>
      <c r="F173" s="6" t="n">
        <v>2007</v>
      </c>
      <c r="G173" s="2" t="s">
        <v>607</v>
      </c>
      <c r="H173" s="2" t="s">
        <v>595</v>
      </c>
    </row>
    <row r="174" customFormat="false" ht="14.25" hidden="false" customHeight="false" outlineLevel="0" collapsed="false">
      <c r="B174" s="6" t="s">
        <v>608</v>
      </c>
      <c r="C174" s="2" t="s">
        <v>609</v>
      </c>
      <c r="D174" s="2" t="s">
        <v>610</v>
      </c>
      <c r="E174" s="2" t="s">
        <v>502</v>
      </c>
      <c r="F174" s="6" t="n">
        <v>2007</v>
      </c>
      <c r="G174" s="2" t="s">
        <v>611</v>
      </c>
      <c r="H174" s="2" t="s">
        <v>433</v>
      </c>
    </row>
    <row r="175" customFormat="false" ht="14.25" hidden="false" customHeight="false" outlineLevel="0" collapsed="false">
      <c r="B175" s="6" t="s">
        <v>612</v>
      </c>
      <c r="C175" s="2" t="s">
        <v>613</v>
      </c>
      <c r="D175" s="2" t="s">
        <v>614</v>
      </c>
      <c r="E175" s="2" t="s">
        <v>502</v>
      </c>
      <c r="F175" s="6" t="n">
        <v>2002</v>
      </c>
      <c r="G175" s="2"/>
      <c r="H175" s="2" t="s">
        <v>615</v>
      </c>
    </row>
    <row r="176" customFormat="false" ht="14.25" hidden="false" customHeight="false" outlineLevel="0" collapsed="false">
      <c r="B176" s="6" t="s">
        <v>616</v>
      </c>
      <c r="C176" s="2" t="s">
        <v>617</v>
      </c>
      <c r="D176" s="2"/>
      <c r="E176" s="2" t="s">
        <v>502</v>
      </c>
      <c r="F176" s="6" t="n">
        <v>1997</v>
      </c>
      <c r="G176" s="2" t="s">
        <v>537</v>
      </c>
      <c r="H176" s="2" t="s">
        <v>538</v>
      </c>
    </row>
    <row r="177" customFormat="false" ht="14.25" hidden="false" customHeight="false" outlineLevel="0" collapsed="false">
      <c r="B177" s="6" t="s">
        <v>618</v>
      </c>
      <c r="C177" s="2" t="s">
        <v>619</v>
      </c>
      <c r="D177" s="2" t="s">
        <v>620</v>
      </c>
      <c r="E177" s="2" t="s">
        <v>502</v>
      </c>
      <c r="F177" s="6" t="n">
        <v>2004</v>
      </c>
      <c r="G177" s="2" t="s">
        <v>621</v>
      </c>
      <c r="H177" s="2" t="s">
        <v>244</v>
      </c>
    </row>
    <row r="178" customFormat="false" ht="14.25" hidden="false" customHeight="false" outlineLevel="0" collapsed="false">
      <c r="B178" s="6" t="s">
        <v>622</v>
      </c>
      <c r="C178" s="2" t="s">
        <v>623</v>
      </c>
      <c r="D178" s="2"/>
      <c r="E178" s="2" t="s">
        <v>502</v>
      </c>
      <c r="F178" s="6" t="n">
        <v>1997</v>
      </c>
      <c r="G178" s="2" t="s">
        <v>624</v>
      </c>
      <c r="H178" s="2" t="s">
        <v>625</v>
      </c>
    </row>
    <row r="179" customFormat="false" ht="14.25" hidden="false" customHeight="false" outlineLevel="0" collapsed="false">
      <c r="B179" s="6" t="s">
        <v>626</v>
      </c>
      <c r="C179" s="2" t="s">
        <v>627</v>
      </c>
      <c r="D179" s="2" t="s">
        <v>628</v>
      </c>
      <c r="E179" s="2" t="s">
        <v>502</v>
      </c>
      <c r="F179" s="6" t="n">
        <v>2004</v>
      </c>
      <c r="G179" s="2"/>
      <c r="H179" s="2" t="s">
        <v>629</v>
      </c>
    </row>
    <row r="180" customFormat="false" ht="14.25" hidden="false" customHeight="false" outlineLevel="0" collapsed="false">
      <c r="B180" s="6" t="s">
        <v>630</v>
      </c>
      <c r="C180" s="2" t="s">
        <v>631</v>
      </c>
      <c r="D180" s="2"/>
      <c r="E180" s="2" t="s">
        <v>502</v>
      </c>
      <c r="F180" s="6" t="n">
        <v>2003</v>
      </c>
      <c r="G180" s="2" t="s">
        <v>632</v>
      </c>
      <c r="H180" s="2" t="s">
        <v>104</v>
      </c>
    </row>
    <row r="181" customFormat="false" ht="14.25" hidden="false" customHeight="false" outlineLevel="0" collapsed="false">
      <c r="B181" s="7" t="s">
        <v>633</v>
      </c>
      <c r="C181" s="1" t="s">
        <v>634</v>
      </c>
      <c r="D181" s="1" t="s">
        <v>635</v>
      </c>
      <c r="E181" s="1" t="s">
        <v>502</v>
      </c>
      <c r="F181" s="7" t="n">
        <v>2008</v>
      </c>
      <c r="G181" s="1" t="s">
        <v>636</v>
      </c>
      <c r="H181" s="1" t="s">
        <v>50</v>
      </c>
    </row>
    <row r="182" customFormat="false" ht="14.25" hidden="false" customHeight="false" outlineLevel="0" collapsed="false">
      <c r="B182" s="7" t="s">
        <v>637</v>
      </c>
      <c r="C182" s="1" t="s">
        <v>638</v>
      </c>
      <c r="D182" s="1" t="s">
        <v>639</v>
      </c>
      <c r="E182" s="1" t="s">
        <v>502</v>
      </c>
      <c r="F182" s="7" t="n">
        <v>2009</v>
      </c>
      <c r="H182" s="1" t="s">
        <v>452</v>
      </c>
    </row>
    <row r="183" customFormat="false" ht="14.25" hidden="false" customHeight="false" outlineLevel="0" collapsed="false">
      <c r="B183" s="7" t="s">
        <v>640</v>
      </c>
      <c r="C183" s="1" t="s">
        <v>641</v>
      </c>
      <c r="D183" s="1" t="s">
        <v>642</v>
      </c>
      <c r="E183" s="1" t="s">
        <v>502</v>
      </c>
      <c r="F183" s="7" t="n">
        <v>2004</v>
      </c>
      <c r="H183" s="1" t="s">
        <v>452</v>
      </c>
    </row>
    <row r="184" customFormat="false" ht="14.25" hidden="false" customHeight="false" outlineLevel="0" collapsed="false">
      <c r="B184" s="7" t="s">
        <v>643</v>
      </c>
      <c r="C184" s="1" t="s">
        <v>644</v>
      </c>
      <c r="E184" s="1" t="s">
        <v>645</v>
      </c>
      <c r="F184" s="7" t="n">
        <v>2001</v>
      </c>
      <c r="G184" s="1" t="s">
        <v>646</v>
      </c>
      <c r="H184" s="1" t="s">
        <v>13</v>
      </c>
    </row>
    <row r="185" customFormat="false" ht="14.25" hidden="false" customHeight="false" outlineLevel="0" collapsed="false">
      <c r="B185" s="7" t="s">
        <v>647</v>
      </c>
      <c r="C185" s="1" t="s">
        <v>648</v>
      </c>
      <c r="D185" s="1" t="s">
        <v>649</v>
      </c>
      <c r="E185" s="1" t="s">
        <v>502</v>
      </c>
      <c r="F185" s="7" t="n">
        <v>2004</v>
      </c>
      <c r="G185" s="1" t="s">
        <v>650</v>
      </c>
      <c r="H185" s="1" t="s">
        <v>556</v>
      </c>
    </row>
    <row r="186" customFormat="false" ht="14.25" hidden="false" customHeight="false" outlineLevel="0" collapsed="false">
      <c r="B186" s="7" t="s">
        <v>651</v>
      </c>
      <c r="C186" s="1" t="s">
        <v>652</v>
      </c>
      <c r="D186" s="1" t="s">
        <v>521</v>
      </c>
      <c r="E186" s="1" t="s">
        <v>521</v>
      </c>
      <c r="F186" s="7" t="n">
        <v>2008</v>
      </c>
    </row>
    <row r="187" customFormat="false" ht="14.25" hidden="false" customHeight="false" outlineLevel="0" collapsed="false">
      <c r="A187" s="17"/>
      <c r="B187" s="18" t="s">
        <v>653</v>
      </c>
      <c r="C187" s="1" t="s">
        <v>654</v>
      </c>
      <c r="D187" s="1" t="s">
        <v>655</v>
      </c>
      <c r="E187" s="1" t="s">
        <v>502</v>
      </c>
      <c r="F187" s="7" t="n">
        <v>2018</v>
      </c>
      <c r="G187" s="1" t="s">
        <v>656</v>
      </c>
      <c r="H187" s="1" t="s">
        <v>657</v>
      </c>
    </row>
    <row r="188" customFormat="false" ht="14.25" hidden="false" customHeight="false" outlineLevel="0" collapsed="false">
      <c r="B188" s="7" t="s">
        <v>658</v>
      </c>
      <c r="C188" s="1" t="s">
        <v>659</v>
      </c>
      <c r="E188" s="1" t="s">
        <v>660</v>
      </c>
      <c r="F188" s="7" t="n">
        <v>2005</v>
      </c>
      <c r="G188" s="1" t="s">
        <v>661</v>
      </c>
      <c r="H188" s="1" t="s">
        <v>82</v>
      </c>
    </row>
    <row r="189" customFormat="false" ht="14.25" hidden="false" customHeight="false" outlineLevel="0" collapsed="false">
      <c r="B189" s="6" t="s">
        <v>662</v>
      </c>
      <c r="C189" s="2" t="s">
        <v>663</v>
      </c>
      <c r="D189" s="2" t="s">
        <v>664</v>
      </c>
      <c r="E189" s="2" t="s">
        <v>660</v>
      </c>
      <c r="F189" s="6" t="n">
        <v>2004</v>
      </c>
      <c r="G189" s="2" t="s">
        <v>665</v>
      </c>
      <c r="H189" s="2" t="s">
        <v>666</v>
      </c>
    </row>
    <row r="190" customFormat="false" ht="14.25" hidden="false" customHeight="false" outlineLevel="0" collapsed="false">
      <c r="B190" s="6" t="s">
        <v>667</v>
      </c>
      <c r="C190" s="2" t="s">
        <v>668</v>
      </c>
      <c r="D190" s="2"/>
      <c r="E190" s="2" t="s">
        <v>669</v>
      </c>
      <c r="F190" s="6" t="n">
        <v>2004</v>
      </c>
      <c r="G190" s="2" t="s">
        <v>670</v>
      </c>
      <c r="H190" s="2" t="s">
        <v>50</v>
      </c>
    </row>
    <row r="191" customFormat="false" ht="14.25" hidden="false" customHeight="false" outlineLevel="0" collapsed="false">
      <c r="B191" s="7" t="s">
        <v>671</v>
      </c>
      <c r="C191" s="1" t="s">
        <v>668</v>
      </c>
      <c r="E191" s="1" t="s">
        <v>669</v>
      </c>
      <c r="F191" s="7" t="n">
        <v>2006</v>
      </c>
      <c r="G191" s="1" t="s">
        <v>670</v>
      </c>
      <c r="H191" s="1" t="s">
        <v>50</v>
      </c>
    </row>
    <row r="192" customFormat="false" ht="14.25" hidden="false" customHeight="false" outlineLevel="0" collapsed="false">
      <c r="B192" s="7" t="s">
        <v>672</v>
      </c>
      <c r="C192" s="1" t="s">
        <v>673</v>
      </c>
      <c r="D192" s="2" t="s">
        <v>674</v>
      </c>
      <c r="E192" s="1" t="s">
        <v>669</v>
      </c>
      <c r="F192" s="7" t="n">
        <v>2002</v>
      </c>
      <c r="G192" s="1" t="s">
        <v>675</v>
      </c>
      <c r="H192" s="1" t="s">
        <v>64</v>
      </c>
    </row>
    <row r="193" customFormat="false" ht="14.25" hidden="false" customHeight="false" outlineLevel="0" collapsed="false">
      <c r="B193" s="6" t="s">
        <v>676</v>
      </c>
      <c r="C193" s="2" t="s">
        <v>677</v>
      </c>
      <c r="D193" s="2" t="s">
        <v>678</v>
      </c>
      <c r="E193" s="2" t="s">
        <v>669</v>
      </c>
      <c r="F193" s="6" t="n">
        <v>1998</v>
      </c>
      <c r="G193" s="2"/>
      <c r="H193" s="2" t="s">
        <v>679</v>
      </c>
    </row>
    <row r="194" customFormat="false" ht="14.25" hidden="false" customHeight="false" outlineLevel="0" collapsed="false">
      <c r="B194" s="6" t="s">
        <v>680</v>
      </c>
      <c r="C194" s="2" t="s">
        <v>681</v>
      </c>
      <c r="D194" s="2" t="s">
        <v>682</v>
      </c>
      <c r="E194" s="2" t="s">
        <v>669</v>
      </c>
      <c r="F194" s="6" t="n">
        <v>2000</v>
      </c>
      <c r="G194" s="2"/>
      <c r="H194" s="2" t="s">
        <v>679</v>
      </c>
    </row>
    <row r="195" customFormat="false" ht="14.25" hidden="false" customHeight="false" outlineLevel="0" collapsed="false">
      <c r="B195" s="6" t="s">
        <v>683</v>
      </c>
      <c r="C195" s="2" t="s">
        <v>684</v>
      </c>
      <c r="D195" s="2" t="s">
        <v>685</v>
      </c>
      <c r="E195" s="2" t="s">
        <v>669</v>
      </c>
      <c r="F195" s="6" t="n">
        <v>2003</v>
      </c>
      <c r="G195" s="2" t="s">
        <v>686</v>
      </c>
      <c r="H195" s="2" t="s">
        <v>50</v>
      </c>
    </row>
    <row r="196" customFormat="false" ht="14.25" hidden="false" customHeight="false" outlineLevel="0" collapsed="false">
      <c r="B196" s="6" t="s">
        <v>687</v>
      </c>
      <c r="C196" s="2" t="s">
        <v>688</v>
      </c>
      <c r="D196" s="2" t="s">
        <v>685</v>
      </c>
      <c r="E196" s="2" t="s">
        <v>669</v>
      </c>
      <c r="F196" s="6" t="n">
        <v>2005</v>
      </c>
      <c r="G196" s="2" t="s">
        <v>689</v>
      </c>
      <c r="H196" s="2" t="s">
        <v>50</v>
      </c>
    </row>
    <row r="197" customFormat="false" ht="14.25" hidden="false" customHeight="false" outlineLevel="0" collapsed="false">
      <c r="B197" s="6" t="s">
        <v>690</v>
      </c>
      <c r="C197" s="2" t="s">
        <v>691</v>
      </c>
      <c r="D197" s="2" t="s">
        <v>692</v>
      </c>
      <c r="E197" s="2" t="s">
        <v>669</v>
      </c>
      <c r="F197" s="6" t="n">
        <v>2000</v>
      </c>
      <c r="G197" s="2"/>
      <c r="H197" s="2" t="s">
        <v>693</v>
      </c>
    </row>
    <row r="198" customFormat="false" ht="14.25" hidden="false" customHeight="false" outlineLevel="0" collapsed="false">
      <c r="B198" s="7" t="s">
        <v>694</v>
      </c>
      <c r="C198" s="1" t="s">
        <v>695</v>
      </c>
      <c r="D198" s="1" t="s">
        <v>696</v>
      </c>
      <c r="E198" s="1" t="s">
        <v>669</v>
      </c>
      <c r="F198" s="7" t="n">
        <v>2008</v>
      </c>
      <c r="G198" s="1" t="s">
        <v>670</v>
      </c>
      <c r="H198" s="1" t="s">
        <v>50</v>
      </c>
    </row>
    <row r="199" customFormat="false" ht="14.25" hidden="false" customHeight="false" outlineLevel="0" collapsed="false">
      <c r="B199" s="7" t="s">
        <v>697</v>
      </c>
      <c r="C199" s="1" t="s">
        <v>698</v>
      </c>
      <c r="D199" s="2" t="s">
        <v>685</v>
      </c>
      <c r="E199" s="1" t="s">
        <v>669</v>
      </c>
      <c r="F199" s="7" t="n">
        <v>2017</v>
      </c>
      <c r="G199" s="1" t="s">
        <v>699</v>
      </c>
      <c r="H199" s="1" t="s">
        <v>50</v>
      </c>
    </row>
    <row r="200" customFormat="false" ht="14.25" hidden="false" customHeight="false" outlineLevel="0" collapsed="false">
      <c r="B200" s="7" t="s">
        <v>700</v>
      </c>
      <c r="C200" s="1" t="s">
        <v>701</v>
      </c>
      <c r="E200" s="1" t="s">
        <v>702</v>
      </c>
      <c r="F200" s="7" t="n">
        <v>1997</v>
      </c>
      <c r="G200" s="1" t="s">
        <v>703</v>
      </c>
      <c r="H200" s="1" t="s">
        <v>704</v>
      </c>
    </row>
    <row r="201" customFormat="false" ht="14.25" hidden="false" customHeight="false" outlineLevel="0" collapsed="false">
      <c r="B201" s="6" t="s">
        <v>705</v>
      </c>
      <c r="C201" s="2" t="s">
        <v>706</v>
      </c>
      <c r="D201" s="2" t="s">
        <v>707</v>
      </c>
      <c r="E201" s="2" t="s">
        <v>702</v>
      </c>
      <c r="F201" s="6" t="n">
        <v>2000</v>
      </c>
      <c r="G201" s="2" t="s">
        <v>708</v>
      </c>
      <c r="H201" s="2" t="s">
        <v>709</v>
      </c>
    </row>
    <row r="202" customFormat="false" ht="14.25" hidden="false" customHeight="false" outlineLevel="0" collapsed="false">
      <c r="B202" s="6" t="s">
        <v>710</v>
      </c>
      <c r="C202" s="2" t="s">
        <v>711</v>
      </c>
      <c r="D202" s="2"/>
      <c r="E202" s="2" t="s">
        <v>702</v>
      </c>
      <c r="F202" s="6" t="n">
        <v>2001</v>
      </c>
      <c r="G202" s="2" t="s">
        <v>712</v>
      </c>
      <c r="H202" s="2" t="s">
        <v>713</v>
      </c>
    </row>
    <row r="203" customFormat="false" ht="14.25" hidden="false" customHeight="false" outlineLevel="0" collapsed="false">
      <c r="B203" s="6" t="s">
        <v>714</v>
      </c>
      <c r="C203" s="2" t="s">
        <v>715</v>
      </c>
      <c r="D203" s="2" t="s">
        <v>707</v>
      </c>
      <c r="E203" s="2" t="s">
        <v>702</v>
      </c>
      <c r="F203" s="6" t="n">
        <v>2001</v>
      </c>
      <c r="G203" s="2" t="s">
        <v>716</v>
      </c>
      <c r="H203" s="2" t="s">
        <v>303</v>
      </c>
    </row>
    <row r="204" customFormat="false" ht="14.25" hidden="false" customHeight="false" outlineLevel="0" collapsed="false">
      <c r="B204" s="6" t="s">
        <v>717</v>
      </c>
      <c r="C204" s="2" t="s">
        <v>718</v>
      </c>
      <c r="D204" s="2"/>
      <c r="E204" s="2" t="s">
        <v>702</v>
      </c>
      <c r="F204" s="6" t="n">
        <v>2003</v>
      </c>
      <c r="G204" s="2" t="s">
        <v>719</v>
      </c>
      <c r="H204" s="2" t="s">
        <v>104</v>
      </c>
    </row>
    <row r="205" customFormat="false" ht="14.25" hidden="false" customHeight="false" outlineLevel="0" collapsed="false">
      <c r="B205" s="6" t="s">
        <v>720</v>
      </c>
      <c r="C205" s="2" t="s">
        <v>721</v>
      </c>
      <c r="D205" s="2"/>
      <c r="E205" s="2" t="s">
        <v>702</v>
      </c>
      <c r="F205" s="6" t="n">
        <v>2003</v>
      </c>
      <c r="G205" s="2" t="s">
        <v>722</v>
      </c>
      <c r="H205" s="2" t="s">
        <v>104</v>
      </c>
    </row>
    <row r="206" customFormat="false" ht="14.25" hidden="false" customHeight="false" outlineLevel="0" collapsed="false">
      <c r="B206" s="6" t="s">
        <v>723</v>
      </c>
      <c r="C206" s="2" t="s">
        <v>724</v>
      </c>
      <c r="D206" s="2"/>
      <c r="E206" s="2" t="s">
        <v>702</v>
      </c>
      <c r="F206" s="6" t="n">
        <v>2004</v>
      </c>
      <c r="G206" s="2" t="s">
        <v>725</v>
      </c>
      <c r="H206" s="2" t="s">
        <v>157</v>
      </c>
    </row>
    <row r="207" customFormat="false" ht="14.25" hidden="false" customHeight="false" outlineLevel="0" collapsed="false">
      <c r="B207" s="6" t="s">
        <v>726</v>
      </c>
      <c r="C207" s="2" t="s">
        <v>727</v>
      </c>
      <c r="D207" s="2" t="s">
        <v>728</v>
      </c>
      <c r="E207" s="2" t="s">
        <v>702</v>
      </c>
      <c r="F207" s="6" t="n">
        <v>2005</v>
      </c>
      <c r="G207" s="2" t="s">
        <v>729</v>
      </c>
      <c r="H207" s="2" t="s">
        <v>13</v>
      </c>
    </row>
    <row r="208" customFormat="false" ht="14.25" hidden="false" customHeight="false" outlineLevel="0" collapsed="false">
      <c r="B208" s="6" t="s">
        <v>730</v>
      </c>
      <c r="C208" s="2" t="s">
        <v>731</v>
      </c>
      <c r="D208" s="2"/>
      <c r="E208" s="2" t="s">
        <v>702</v>
      </c>
      <c r="F208" s="6" t="n">
        <v>2006</v>
      </c>
      <c r="G208" s="2" t="s">
        <v>732</v>
      </c>
      <c r="H208" s="2" t="s">
        <v>733</v>
      </c>
    </row>
    <row r="209" customFormat="false" ht="14.25" hidden="false" customHeight="false" outlineLevel="0" collapsed="false">
      <c r="B209" s="6" t="s">
        <v>734</v>
      </c>
      <c r="C209" s="2" t="s">
        <v>735</v>
      </c>
      <c r="D209" s="2"/>
      <c r="E209" s="2" t="s">
        <v>702</v>
      </c>
      <c r="F209" s="6" t="n">
        <v>2006</v>
      </c>
      <c r="G209" s="2" t="s">
        <v>736</v>
      </c>
      <c r="H209" s="2" t="s">
        <v>737</v>
      </c>
    </row>
    <row r="210" customFormat="false" ht="14.25" hidden="false" customHeight="false" outlineLevel="0" collapsed="false">
      <c r="B210" s="6" t="s">
        <v>738</v>
      </c>
      <c r="C210" s="2" t="s">
        <v>739</v>
      </c>
      <c r="D210" s="2" t="s">
        <v>740</v>
      </c>
      <c r="E210" s="2" t="s">
        <v>741</v>
      </c>
      <c r="F210" s="6" t="n">
        <v>2002</v>
      </c>
      <c r="G210" s="2" t="s">
        <v>742</v>
      </c>
      <c r="H210" s="2" t="s">
        <v>743</v>
      </c>
    </row>
    <row r="211" customFormat="false" ht="14.25" hidden="false" customHeight="false" outlineLevel="0" collapsed="false">
      <c r="B211" s="6" t="s">
        <v>744</v>
      </c>
      <c r="C211" s="2" t="s">
        <v>745</v>
      </c>
      <c r="D211" s="2"/>
      <c r="E211" s="2" t="s">
        <v>741</v>
      </c>
      <c r="F211" s="6" t="n">
        <v>2001</v>
      </c>
      <c r="G211" s="2" t="s">
        <v>746</v>
      </c>
      <c r="H211" s="2" t="s">
        <v>118</v>
      </c>
    </row>
    <row r="212" customFormat="false" ht="14.25" hidden="false" customHeight="false" outlineLevel="0" collapsed="false">
      <c r="B212" s="6" t="s">
        <v>747</v>
      </c>
      <c r="C212" s="2" t="s">
        <v>748</v>
      </c>
      <c r="D212" s="2"/>
      <c r="E212" s="1" t="s">
        <v>749</v>
      </c>
      <c r="F212" s="6" t="n">
        <v>1999</v>
      </c>
      <c r="G212" s="2"/>
      <c r="H212" s="2" t="s">
        <v>750</v>
      </c>
    </row>
    <row r="213" customFormat="false" ht="14.25" hidden="false" customHeight="false" outlineLevel="0" collapsed="false">
      <c r="A213" s="1" t="s">
        <v>751</v>
      </c>
      <c r="B213" s="7" t="s">
        <v>752</v>
      </c>
      <c r="C213" s="1" t="s">
        <v>753</v>
      </c>
      <c r="D213" s="1" t="s">
        <v>754</v>
      </c>
      <c r="E213" s="1" t="s">
        <v>749</v>
      </c>
      <c r="F213" s="7" t="n">
        <v>1994</v>
      </c>
      <c r="G213" s="1" t="s">
        <v>755</v>
      </c>
      <c r="H213" s="1" t="s">
        <v>255</v>
      </c>
    </row>
    <row r="214" customFormat="false" ht="14.25" hidden="false" customHeight="false" outlineLevel="0" collapsed="false">
      <c r="B214" s="7" t="s">
        <v>756</v>
      </c>
      <c r="C214" s="1" t="s">
        <v>757</v>
      </c>
      <c r="D214" s="1" t="s">
        <v>758</v>
      </c>
      <c r="E214" s="1" t="s">
        <v>759</v>
      </c>
      <c r="F214" s="7" t="n">
        <v>2003</v>
      </c>
      <c r="G214" s="1" t="s">
        <v>760</v>
      </c>
      <c r="H214" s="1" t="s">
        <v>760</v>
      </c>
    </row>
    <row r="215" customFormat="false" ht="14.25" hidden="false" customHeight="false" outlineLevel="0" collapsed="false">
      <c r="B215" s="7" t="s">
        <v>761</v>
      </c>
      <c r="C215" s="1" t="s">
        <v>762</v>
      </c>
      <c r="D215" s="1" t="s">
        <v>763</v>
      </c>
      <c r="E215" s="1" t="s">
        <v>759</v>
      </c>
      <c r="F215" s="7" t="n">
        <v>2015</v>
      </c>
      <c r="G215" s="1" t="s">
        <v>764</v>
      </c>
      <c r="H215" s="1" t="s">
        <v>220</v>
      </c>
    </row>
    <row r="216" customFormat="false" ht="14.25" hidden="false" customHeight="false" outlineLevel="0" collapsed="false">
      <c r="A216" s="17"/>
      <c r="B216" s="18" t="s">
        <v>765</v>
      </c>
      <c r="C216" s="1" t="s">
        <v>766</v>
      </c>
      <c r="D216" s="1" t="s">
        <v>767</v>
      </c>
      <c r="E216" s="1" t="s">
        <v>749</v>
      </c>
      <c r="F216" s="7" t="n">
        <v>1999</v>
      </c>
      <c r="G216" s="1" t="s">
        <v>768</v>
      </c>
      <c r="H216" s="1" t="s">
        <v>303</v>
      </c>
    </row>
    <row r="217" customFormat="false" ht="14.25" hidden="false" customHeight="false" outlineLevel="0" collapsed="false">
      <c r="B217" s="7" t="s">
        <v>769</v>
      </c>
      <c r="C217" s="1" t="s">
        <v>770</v>
      </c>
      <c r="D217" s="1" t="s">
        <v>771</v>
      </c>
      <c r="E217" s="1" t="s">
        <v>749</v>
      </c>
      <c r="F217" s="7" t="n">
        <v>1997</v>
      </c>
      <c r="G217" s="1" t="s">
        <v>772</v>
      </c>
      <c r="H217" s="1" t="s">
        <v>433</v>
      </c>
    </row>
    <row r="218" customFormat="false" ht="14.25" hidden="false" customHeight="false" outlineLevel="0" collapsed="false">
      <c r="B218" s="6" t="s">
        <v>773</v>
      </c>
      <c r="C218" s="2" t="s">
        <v>774</v>
      </c>
      <c r="D218" s="2" t="s">
        <v>771</v>
      </c>
      <c r="E218" s="2" t="s">
        <v>749</v>
      </c>
      <c r="F218" s="6" t="n">
        <v>1997</v>
      </c>
      <c r="G218" s="2" t="s">
        <v>775</v>
      </c>
      <c r="H218" s="2" t="s">
        <v>303</v>
      </c>
    </row>
    <row r="219" customFormat="false" ht="14.25" hidden="false" customHeight="false" outlineLevel="0" collapsed="false">
      <c r="B219" s="6" t="s">
        <v>776</v>
      </c>
      <c r="C219" s="2" t="s">
        <v>777</v>
      </c>
      <c r="D219" s="2" t="s">
        <v>771</v>
      </c>
      <c r="E219" s="2" t="s">
        <v>749</v>
      </c>
      <c r="F219" s="6" t="n">
        <v>1997</v>
      </c>
      <c r="G219" s="2" t="s">
        <v>778</v>
      </c>
      <c r="H219" s="2" t="s">
        <v>303</v>
      </c>
    </row>
    <row r="220" customFormat="false" ht="14.25" hidden="false" customHeight="false" outlineLevel="0" collapsed="false">
      <c r="B220" s="6" t="s">
        <v>779</v>
      </c>
      <c r="C220" s="2" t="s">
        <v>780</v>
      </c>
      <c r="D220" s="2" t="s">
        <v>781</v>
      </c>
      <c r="E220" s="2" t="s">
        <v>749</v>
      </c>
      <c r="F220" s="6" t="n">
        <v>2000</v>
      </c>
      <c r="G220" s="2"/>
      <c r="H220" s="2" t="s">
        <v>782</v>
      </c>
    </row>
    <row r="221" customFormat="false" ht="14.25" hidden="false" customHeight="false" outlineLevel="0" collapsed="false">
      <c r="B221" s="6" t="s">
        <v>783</v>
      </c>
      <c r="C221" s="2" t="s">
        <v>784</v>
      </c>
      <c r="D221" s="2" t="s">
        <v>781</v>
      </c>
      <c r="E221" s="2" t="s">
        <v>749</v>
      </c>
      <c r="F221" s="6" t="n">
        <v>2000</v>
      </c>
      <c r="G221" s="2"/>
      <c r="H221" s="2" t="s">
        <v>782</v>
      </c>
    </row>
    <row r="222" customFormat="false" ht="14.25" hidden="false" customHeight="false" outlineLevel="0" collapsed="false">
      <c r="B222" s="6" t="s">
        <v>785</v>
      </c>
      <c r="C222" s="2" t="s">
        <v>786</v>
      </c>
      <c r="D222" s="2"/>
      <c r="E222" s="2" t="s">
        <v>749</v>
      </c>
      <c r="F222" s="6" t="n">
        <v>2000</v>
      </c>
      <c r="G222" s="2"/>
      <c r="H222" s="2" t="s">
        <v>782</v>
      </c>
    </row>
    <row r="223" customFormat="false" ht="14.25" hidden="false" customHeight="false" outlineLevel="0" collapsed="false">
      <c r="B223" s="6" t="s">
        <v>787</v>
      </c>
      <c r="C223" s="2" t="s">
        <v>788</v>
      </c>
      <c r="D223" s="2" t="s">
        <v>789</v>
      </c>
      <c r="E223" s="2" t="s">
        <v>749</v>
      </c>
      <c r="F223" s="6" t="n">
        <v>1998</v>
      </c>
      <c r="G223" s="2"/>
      <c r="H223" s="2" t="s">
        <v>782</v>
      </c>
    </row>
    <row r="224" customFormat="false" ht="14.25" hidden="false" customHeight="false" outlineLevel="0" collapsed="false">
      <c r="B224" s="7" t="s">
        <v>790</v>
      </c>
      <c r="C224" s="1" t="s">
        <v>791</v>
      </c>
      <c r="D224" s="1" t="s">
        <v>792</v>
      </c>
      <c r="E224" s="1" t="s">
        <v>749</v>
      </c>
      <c r="F224" s="7" t="n">
        <v>1998</v>
      </c>
      <c r="G224" s="1" t="s">
        <v>793</v>
      </c>
      <c r="H224" s="1" t="s">
        <v>794</v>
      </c>
    </row>
    <row r="225" customFormat="false" ht="14.25" hidden="false" customHeight="false" outlineLevel="0" collapsed="false">
      <c r="B225" s="7" t="s">
        <v>795</v>
      </c>
      <c r="C225" s="1" t="s">
        <v>796</v>
      </c>
      <c r="D225" s="1" t="s">
        <v>400</v>
      </c>
      <c r="E225" s="1" t="s">
        <v>749</v>
      </c>
      <c r="F225" s="7" t="n">
        <v>2002</v>
      </c>
      <c r="G225" s="1" t="s">
        <v>797</v>
      </c>
      <c r="H225" s="1" t="s">
        <v>798</v>
      </c>
    </row>
    <row r="226" customFormat="false" ht="14.25" hidden="false" customHeight="false" outlineLevel="0" collapsed="false">
      <c r="B226" s="6" t="s">
        <v>799</v>
      </c>
      <c r="C226" s="2" t="s">
        <v>800</v>
      </c>
      <c r="D226" s="2" t="s">
        <v>801</v>
      </c>
      <c r="E226" s="2" t="s">
        <v>749</v>
      </c>
      <c r="F226" s="6" t="n">
        <v>2001</v>
      </c>
      <c r="G226" s="2" t="s">
        <v>802</v>
      </c>
      <c r="H226" s="2" t="s">
        <v>255</v>
      </c>
    </row>
    <row r="227" customFormat="false" ht="14.25" hidden="false" customHeight="false" outlineLevel="0" collapsed="false">
      <c r="B227" s="6" t="s">
        <v>803</v>
      </c>
      <c r="C227" s="2" t="s">
        <v>804</v>
      </c>
      <c r="D227" s="2" t="s">
        <v>400</v>
      </c>
      <c r="E227" s="2" t="s">
        <v>749</v>
      </c>
      <c r="F227" s="6" t="n">
        <v>2001</v>
      </c>
      <c r="G227" s="2" t="s">
        <v>805</v>
      </c>
      <c r="H227" s="2" t="s">
        <v>244</v>
      </c>
    </row>
    <row r="228" customFormat="false" ht="14.25" hidden="false" customHeight="false" outlineLevel="0" collapsed="false">
      <c r="B228" s="6" t="s">
        <v>806</v>
      </c>
      <c r="C228" s="2" t="s">
        <v>807</v>
      </c>
      <c r="D228" s="2" t="s">
        <v>801</v>
      </c>
      <c r="E228" s="2" t="s">
        <v>749</v>
      </c>
      <c r="F228" s="6" t="n">
        <v>2002</v>
      </c>
      <c r="G228" s="2" t="s">
        <v>808</v>
      </c>
      <c r="H228" s="2" t="s">
        <v>595</v>
      </c>
    </row>
    <row r="229" customFormat="false" ht="14.25" hidden="false" customHeight="false" outlineLevel="0" collapsed="false">
      <c r="B229" s="6" t="s">
        <v>809</v>
      </c>
      <c r="C229" s="2" t="s">
        <v>810</v>
      </c>
      <c r="D229" s="2" t="s">
        <v>811</v>
      </c>
      <c r="E229" s="2" t="s">
        <v>749</v>
      </c>
      <c r="F229" s="6" t="n">
        <v>1999</v>
      </c>
      <c r="G229" s="2" t="s">
        <v>812</v>
      </c>
      <c r="H229" s="2" t="s">
        <v>452</v>
      </c>
    </row>
    <row r="230" customFormat="false" ht="14.25" hidden="false" customHeight="false" outlineLevel="0" collapsed="false">
      <c r="B230" s="6" t="s">
        <v>813</v>
      </c>
      <c r="C230" s="2" t="s">
        <v>814</v>
      </c>
      <c r="D230" s="2" t="s">
        <v>815</v>
      </c>
      <c r="E230" s="2" t="s">
        <v>749</v>
      </c>
      <c r="F230" s="6" t="n">
        <v>2003</v>
      </c>
      <c r="G230" s="2" t="s">
        <v>816</v>
      </c>
      <c r="H230" s="2" t="s">
        <v>50</v>
      </c>
    </row>
    <row r="231" customFormat="false" ht="14.25" hidden="false" customHeight="false" outlineLevel="0" collapsed="false">
      <c r="B231" s="6" t="s">
        <v>817</v>
      </c>
      <c r="C231" s="2" t="s">
        <v>818</v>
      </c>
      <c r="D231" s="2" t="s">
        <v>819</v>
      </c>
      <c r="E231" s="2" t="s">
        <v>749</v>
      </c>
      <c r="F231" s="6" t="n">
        <v>2002</v>
      </c>
      <c r="G231" s="2" t="s">
        <v>820</v>
      </c>
      <c r="H231" s="2" t="s">
        <v>50</v>
      </c>
    </row>
    <row r="232" customFormat="false" ht="14.25" hidden="false" customHeight="false" outlineLevel="0" collapsed="false">
      <c r="B232" s="6" t="s">
        <v>821</v>
      </c>
      <c r="C232" s="2" t="s">
        <v>822</v>
      </c>
      <c r="D232" s="2" t="s">
        <v>823</v>
      </c>
      <c r="E232" s="2" t="s">
        <v>749</v>
      </c>
      <c r="F232" s="6" t="n">
        <v>2005</v>
      </c>
      <c r="G232" s="2" t="s">
        <v>824</v>
      </c>
      <c r="H232" s="2" t="s">
        <v>13</v>
      </c>
    </row>
    <row r="233" customFormat="false" ht="14.25" hidden="false" customHeight="false" outlineLevel="0" collapsed="false">
      <c r="B233" s="6" t="s">
        <v>825</v>
      </c>
      <c r="C233" s="2" t="s">
        <v>826</v>
      </c>
      <c r="D233" s="2" t="s">
        <v>815</v>
      </c>
      <c r="E233" s="2" t="s">
        <v>749</v>
      </c>
      <c r="F233" s="6" t="n">
        <v>2002</v>
      </c>
      <c r="G233" s="2" t="s">
        <v>827</v>
      </c>
      <c r="H233" s="2" t="s">
        <v>704</v>
      </c>
    </row>
    <row r="234" customFormat="false" ht="14.25" hidden="false" customHeight="false" outlineLevel="0" collapsed="false">
      <c r="B234" s="6" t="s">
        <v>828</v>
      </c>
      <c r="C234" s="2" t="s">
        <v>829</v>
      </c>
      <c r="D234" s="2" t="s">
        <v>830</v>
      </c>
      <c r="E234" s="2" t="s">
        <v>749</v>
      </c>
      <c r="F234" s="6" t="n">
        <v>2005</v>
      </c>
      <c r="G234" s="2" t="s">
        <v>831</v>
      </c>
      <c r="H234" s="2" t="s">
        <v>534</v>
      </c>
    </row>
    <row r="235" customFormat="false" ht="14.25" hidden="false" customHeight="false" outlineLevel="0" collapsed="false">
      <c r="B235" s="6" t="s">
        <v>832</v>
      </c>
      <c r="C235" s="2" t="s">
        <v>833</v>
      </c>
      <c r="D235" s="2" t="s">
        <v>834</v>
      </c>
      <c r="E235" s="2" t="s">
        <v>749</v>
      </c>
      <c r="F235" s="6" t="n">
        <v>2002</v>
      </c>
      <c r="G235" s="2" t="s">
        <v>797</v>
      </c>
      <c r="H235" s="2" t="s">
        <v>835</v>
      </c>
    </row>
    <row r="236" customFormat="false" ht="14.25" hidden="false" customHeight="false" outlineLevel="0" collapsed="false">
      <c r="B236" s="6" t="s">
        <v>836</v>
      </c>
      <c r="C236" s="2" t="s">
        <v>837</v>
      </c>
      <c r="D236" s="2" t="s">
        <v>838</v>
      </c>
      <c r="E236" s="2" t="s">
        <v>749</v>
      </c>
      <c r="F236" s="6" t="n">
        <v>2002</v>
      </c>
      <c r="G236" s="2" t="s">
        <v>839</v>
      </c>
      <c r="H236" s="2" t="s">
        <v>104</v>
      </c>
    </row>
    <row r="237" customFormat="false" ht="14.25" hidden="false" customHeight="false" outlineLevel="0" collapsed="false">
      <c r="B237" s="6" t="s">
        <v>840</v>
      </c>
      <c r="C237" s="2" t="s">
        <v>841</v>
      </c>
      <c r="D237" s="2" t="s">
        <v>842</v>
      </c>
      <c r="E237" s="2" t="s">
        <v>749</v>
      </c>
      <c r="F237" s="6" t="n">
        <v>1997</v>
      </c>
      <c r="G237" s="2" t="s">
        <v>843</v>
      </c>
      <c r="H237" s="2" t="s">
        <v>844</v>
      </c>
    </row>
    <row r="238" customFormat="false" ht="14.25" hidden="false" customHeight="false" outlineLevel="0" collapsed="false">
      <c r="B238" s="7" t="s">
        <v>845</v>
      </c>
      <c r="C238" s="1" t="s">
        <v>846</v>
      </c>
      <c r="D238" s="1" t="s">
        <v>847</v>
      </c>
      <c r="E238" s="1" t="s">
        <v>749</v>
      </c>
      <c r="F238" s="7" t="n">
        <v>2005</v>
      </c>
      <c r="G238" s="1" t="s">
        <v>848</v>
      </c>
      <c r="H238" s="1" t="s">
        <v>50</v>
      </c>
    </row>
    <row r="239" customFormat="false" ht="14.25" hidden="false" customHeight="false" outlineLevel="0" collapsed="false">
      <c r="B239" s="7" t="s">
        <v>849</v>
      </c>
      <c r="C239" s="1" t="s">
        <v>850</v>
      </c>
      <c r="D239" s="1" t="s">
        <v>851</v>
      </c>
      <c r="E239" s="1" t="s">
        <v>749</v>
      </c>
      <c r="F239" s="7" t="n">
        <v>2005</v>
      </c>
      <c r="G239" s="1" t="s">
        <v>852</v>
      </c>
      <c r="H239" s="1" t="s">
        <v>50</v>
      </c>
    </row>
    <row r="240" customFormat="false" ht="14.25" hidden="false" customHeight="false" outlineLevel="0" collapsed="false">
      <c r="B240" s="7" t="s">
        <v>853</v>
      </c>
      <c r="C240" s="1" t="s">
        <v>854</v>
      </c>
      <c r="D240" s="1" t="s">
        <v>830</v>
      </c>
      <c r="E240" s="1" t="s">
        <v>749</v>
      </c>
      <c r="F240" s="7" t="n">
        <v>2005</v>
      </c>
      <c r="G240" s="1" t="s">
        <v>855</v>
      </c>
      <c r="H240" s="1" t="s">
        <v>82</v>
      </c>
    </row>
    <row r="241" customFormat="false" ht="14.25" hidden="false" customHeight="false" outlineLevel="0" collapsed="false">
      <c r="B241" s="6" t="s">
        <v>856</v>
      </c>
      <c r="C241" s="2" t="s">
        <v>837</v>
      </c>
      <c r="D241" s="2" t="s">
        <v>838</v>
      </c>
      <c r="E241" s="2" t="s">
        <v>749</v>
      </c>
      <c r="F241" s="6" t="n">
        <v>2002</v>
      </c>
      <c r="G241" s="2" t="s">
        <v>839</v>
      </c>
      <c r="H241" s="2" t="s">
        <v>104</v>
      </c>
    </row>
    <row r="242" customFormat="false" ht="14.25" hidden="false" customHeight="false" outlineLevel="0" collapsed="false">
      <c r="B242" s="6" t="s">
        <v>857</v>
      </c>
      <c r="C242" s="2" t="s">
        <v>858</v>
      </c>
      <c r="D242" s="2" t="s">
        <v>838</v>
      </c>
      <c r="E242" s="2" t="s">
        <v>749</v>
      </c>
      <c r="F242" s="6" t="n">
        <v>2003</v>
      </c>
      <c r="G242" s="2" t="s">
        <v>859</v>
      </c>
      <c r="H242" s="2" t="s">
        <v>244</v>
      </c>
    </row>
    <row r="243" customFormat="false" ht="14.25" hidden="false" customHeight="false" outlineLevel="0" collapsed="false">
      <c r="B243" s="7" t="s">
        <v>860</v>
      </c>
      <c r="C243" s="1" t="s">
        <v>861</v>
      </c>
      <c r="D243" s="1" t="s">
        <v>830</v>
      </c>
      <c r="E243" s="1" t="s">
        <v>749</v>
      </c>
      <c r="F243" s="7" t="n">
        <v>2005</v>
      </c>
      <c r="G243" s="1" t="s">
        <v>862</v>
      </c>
      <c r="H243" s="1" t="s">
        <v>50</v>
      </c>
    </row>
    <row r="244" customFormat="false" ht="14.25" hidden="false" customHeight="false" outlineLevel="0" collapsed="false">
      <c r="B244" s="7" t="s">
        <v>863</v>
      </c>
      <c r="C244" s="1" t="s">
        <v>864</v>
      </c>
      <c r="D244" s="1" t="s">
        <v>865</v>
      </c>
      <c r="F244" s="7" t="n">
        <v>2007</v>
      </c>
      <c r="G244" s="1" t="s">
        <v>866</v>
      </c>
      <c r="H244" s="1" t="s">
        <v>534</v>
      </c>
    </row>
    <row r="245" customFormat="false" ht="14.25" hidden="false" customHeight="false" outlineLevel="0" collapsed="false">
      <c r="B245" s="7" t="s">
        <v>867</v>
      </c>
      <c r="C245" s="2" t="s">
        <v>868</v>
      </c>
      <c r="D245" s="2" t="s">
        <v>851</v>
      </c>
      <c r="E245" s="2" t="s">
        <v>749</v>
      </c>
      <c r="F245" s="7" t="n">
        <v>2005</v>
      </c>
      <c r="G245" s="1" t="s">
        <v>869</v>
      </c>
      <c r="H245" s="1" t="s">
        <v>17</v>
      </c>
    </row>
    <row r="246" customFormat="false" ht="14.25" hidden="false" customHeight="false" outlineLevel="0" collapsed="false">
      <c r="B246" s="7" t="s">
        <v>870</v>
      </c>
      <c r="C246" s="2" t="s">
        <v>871</v>
      </c>
      <c r="D246" s="2" t="s">
        <v>811</v>
      </c>
      <c r="E246" s="2" t="s">
        <v>749</v>
      </c>
      <c r="F246" s="7" t="n">
        <v>1999</v>
      </c>
      <c r="G246" s="1" t="s">
        <v>872</v>
      </c>
      <c r="H246" s="1" t="s">
        <v>244</v>
      </c>
    </row>
    <row r="247" customFormat="false" ht="14.25" hidden="false" customHeight="false" outlineLevel="0" collapsed="false">
      <c r="B247" s="7" t="s">
        <v>873</v>
      </c>
      <c r="C247" s="1" t="s">
        <v>874</v>
      </c>
      <c r="D247" s="1" t="s">
        <v>875</v>
      </c>
      <c r="E247" s="1" t="s">
        <v>749</v>
      </c>
      <c r="F247" s="7" t="n">
        <v>2008</v>
      </c>
      <c r="G247" s="1" t="s">
        <v>876</v>
      </c>
      <c r="H247" s="1" t="s">
        <v>534</v>
      </c>
    </row>
    <row r="248" customFormat="false" ht="14.25" hidden="false" customHeight="false" outlineLevel="0" collapsed="false">
      <c r="B248" s="7" t="s">
        <v>877</v>
      </c>
      <c r="C248" s="1" t="s">
        <v>878</v>
      </c>
      <c r="D248" s="1" t="s">
        <v>879</v>
      </c>
      <c r="E248" s="1" t="s">
        <v>749</v>
      </c>
      <c r="F248" s="7" t="n">
        <v>2008</v>
      </c>
      <c r="G248" s="1" t="s">
        <v>880</v>
      </c>
      <c r="H248" s="1" t="s">
        <v>50</v>
      </c>
    </row>
    <row r="249" customFormat="false" ht="14.25" hidden="false" customHeight="false" outlineLevel="0" collapsed="false">
      <c r="B249" s="6" t="s">
        <v>881</v>
      </c>
      <c r="C249" s="2" t="s">
        <v>882</v>
      </c>
      <c r="D249" s="2" t="s">
        <v>815</v>
      </c>
      <c r="E249" s="2" t="s">
        <v>749</v>
      </c>
      <c r="F249" s="6" t="n">
        <v>2003</v>
      </c>
      <c r="G249" s="2" t="s">
        <v>883</v>
      </c>
      <c r="H249" s="2" t="s">
        <v>433</v>
      </c>
    </row>
    <row r="250" customFormat="false" ht="14.25" hidden="false" customHeight="false" outlineLevel="0" collapsed="false">
      <c r="B250" s="7" t="s">
        <v>884</v>
      </c>
      <c r="C250" s="1" t="s">
        <v>885</v>
      </c>
      <c r="D250" s="1" t="s">
        <v>886</v>
      </c>
      <c r="E250" s="1" t="s">
        <v>759</v>
      </c>
      <c r="F250" s="7" t="n">
        <v>2006</v>
      </c>
      <c r="G250" s="1" t="s">
        <v>887</v>
      </c>
      <c r="H250" s="1" t="s">
        <v>888</v>
      </c>
    </row>
    <row r="251" customFormat="false" ht="14.25" hidden="false" customHeight="false" outlineLevel="0" collapsed="false">
      <c r="B251" s="7" t="s">
        <v>889</v>
      </c>
      <c r="C251" s="1" t="s">
        <v>890</v>
      </c>
      <c r="D251" s="1" t="s">
        <v>886</v>
      </c>
      <c r="E251" s="1" t="s">
        <v>759</v>
      </c>
      <c r="F251" s="7" t="n">
        <v>2006</v>
      </c>
      <c r="G251" s="1" t="s">
        <v>891</v>
      </c>
      <c r="H251" s="1" t="s">
        <v>244</v>
      </c>
    </row>
    <row r="252" customFormat="false" ht="14.25" hidden="false" customHeight="false" outlineLevel="0" collapsed="false">
      <c r="B252" s="7" t="s">
        <v>892</v>
      </c>
      <c r="C252" s="1" t="s">
        <v>893</v>
      </c>
      <c r="D252" s="1" t="s">
        <v>886</v>
      </c>
      <c r="E252" s="1" t="s">
        <v>759</v>
      </c>
      <c r="F252" s="7" t="n">
        <v>2002</v>
      </c>
      <c r="G252" s="1" t="s">
        <v>887</v>
      </c>
      <c r="H252" s="1" t="s">
        <v>888</v>
      </c>
    </row>
    <row r="253" customFormat="false" ht="14.25" hidden="false" customHeight="false" outlineLevel="0" collapsed="false">
      <c r="B253" s="7" t="s">
        <v>894</v>
      </c>
      <c r="C253" s="1" t="s">
        <v>895</v>
      </c>
      <c r="D253" s="1" t="s">
        <v>886</v>
      </c>
      <c r="E253" s="1" t="s">
        <v>759</v>
      </c>
      <c r="F253" s="7" t="n">
        <v>2007</v>
      </c>
      <c r="G253" s="1" t="s">
        <v>896</v>
      </c>
      <c r="H253" s="1" t="s">
        <v>50</v>
      </c>
    </row>
    <row r="254" customFormat="false" ht="14.25" hidden="false" customHeight="false" outlineLevel="0" collapsed="false">
      <c r="B254" s="6" t="s">
        <v>897</v>
      </c>
      <c r="C254" s="2" t="s">
        <v>898</v>
      </c>
      <c r="D254" s="2" t="s">
        <v>899</v>
      </c>
      <c r="E254" s="2" t="s">
        <v>749</v>
      </c>
      <c r="F254" s="6" t="n">
        <v>2001</v>
      </c>
      <c r="G254" s="2" t="s">
        <v>900</v>
      </c>
      <c r="H254" s="2" t="s">
        <v>901</v>
      </c>
    </row>
    <row r="255" customFormat="false" ht="14.25" hidden="false" customHeight="false" outlineLevel="0" collapsed="false">
      <c r="B255" s="7" t="s">
        <v>902</v>
      </c>
      <c r="C255" s="1" t="s">
        <v>903</v>
      </c>
      <c r="D255" s="1" t="s">
        <v>904</v>
      </c>
      <c r="E255" s="1" t="s">
        <v>749</v>
      </c>
      <c r="F255" s="7" t="n">
        <v>1997</v>
      </c>
      <c r="G255" s="1" t="s">
        <v>905</v>
      </c>
      <c r="H255" s="1" t="s">
        <v>704</v>
      </c>
    </row>
    <row r="256" customFormat="false" ht="14.25" hidden="false" customHeight="false" outlineLevel="0" collapsed="false">
      <c r="B256" s="7" t="s">
        <v>906</v>
      </c>
      <c r="C256" s="1" t="s">
        <v>907</v>
      </c>
      <c r="D256" s="1" t="s">
        <v>908</v>
      </c>
      <c r="E256" s="1" t="s">
        <v>749</v>
      </c>
      <c r="F256" s="7" t="n">
        <v>2005</v>
      </c>
      <c r="G256" s="1" t="s">
        <v>909</v>
      </c>
      <c r="H256" s="1" t="s">
        <v>82</v>
      </c>
    </row>
    <row r="257" customFormat="false" ht="14.25" hidden="false" customHeight="false" outlineLevel="0" collapsed="false">
      <c r="B257" s="6" t="s">
        <v>910</v>
      </c>
      <c r="C257" s="2" t="s">
        <v>911</v>
      </c>
      <c r="D257" s="2" t="s">
        <v>912</v>
      </c>
      <c r="E257" s="2" t="s">
        <v>749</v>
      </c>
      <c r="F257" s="6" t="n">
        <v>1999</v>
      </c>
      <c r="G257" s="2" t="s">
        <v>913</v>
      </c>
      <c r="H257" s="2" t="s">
        <v>303</v>
      </c>
    </row>
    <row r="258" customFormat="false" ht="14.25" hidden="false" customHeight="false" outlineLevel="0" collapsed="false">
      <c r="B258" s="7" t="s">
        <v>914</v>
      </c>
      <c r="C258" s="1" t="s">
        <v>915</v>
      </c>
      <c r="D258" s="1" t="s">
        <v>908</v>
      </c>
      <c r="E258" s="1" t="s">
        <v>749</v>
      </c>
      <c r="F258" s="7" t="n">
        <v>2005</v>
      </c>
      <c r="G258" s="1" t="s">
        <v>916</v>
      </c>
      <c r="H258" s="1" t="s">
        <v>50</v>
      </c>
    </row>
    <row r="259" customFormat="false" ht="14.25" hidden="false" customHeight="false" outlineLevel="0" collapsed="false">
      <c r="B259" s="7" t="s">
        <v>917</v>
      </c>
      <c r="C259" s="1" t="s">
        <v>918</v>
      </c>
      <c r="D259" s="1" t="s">
        <v>908</v>
      </c>
      <c r="E259" s="1" t="s">
        <v>749</v>
      </c>
      <c r="F259" s="7" t="n">
        <v>2005</v>
      </c>
      <c r="G259" s="1" t="s">
        <v>909</v>
      </c>
      <c r="H259" s="1" t="s">
        <v>82</v>
      </c>
    </row>
    <row r="260" customFormat="false" ht="14.25" hidden="false" customHeight="false" outlineLevel="0" collapsed="false">
      <c r="B260" s="7" t="s">
        <v>919</v>
      </c>
      <c r="C260" s="1" t="s">
        <v>920</v>
      </c>
      <c r="D260" s="1" t="s">
        <v>908</v>
      </c>
      <c r="E260" s="1" t="s">
        <v>749</v>
      </c>
      <c r="F260" s="7" t="n">
        <v>2006</v>
      </c>
      <c r="G260" s="1" t="s">
        <v>916</v>
      </c>
      <c r="H260" s="1" t="s">
        <v>50</v>
      </c>
    </row>
    <row r="261" customFormat="false" ht="14.25" hidden="false" customHeight="false" outlineLevel="0" collapsed="false">
      <c r="B261" s="7" t="s">
        <v>921</v>
      </c>
      <c r="C261" s="1" t="s">
        <v>922</v>
      </c>
      <c r="D261" s="1" t="s">
        <v>908</v>
      </c>
      <c r="E261" s="1" t="s">
        <v>749</v>
      </c>
      <c r="F261" s="7" t="n">
        <v>2006</v>
      </c>
      <c r="G261" s="1" t="s">
        <v>923</v>
      </c>
      <c r="H261" s="1" t="s">
        <v>50</v>
      </c>
    </row>
    <row r="262" customFormat="false" ht="14.25" hidden="false" customHeight="false" outlineLevel="0" collapsed="false">
      <c r="B262" s="7" t="s">
        <v>924</v>
      </c>
      <c r="C262" s="1" t="s">
        <v>925</v>
      </c>
      <c r="D262" s="1" t="s">
        <v>926</v>
      </c>
      <c r="E262" s="1" t="s">
        <v>749</v>
      </c>
      <c r="F262" s="7" t="n">
        <v>2016</v>
      </c>
      <c r="G262" s="1" t="s">
        <v>927</v>
      </c>
      <c r="H262" s="1" t="s">
        <v>928</v>
      </c>
    </row>
    <row r="263" customFormat="false" ht="14.25" hidden="false" customHeight="false" outlineLevel="0" collapsed="false">
      <c r="B263" s="7" t="s">
        <v>929</v>
      </c>
      <c r="C263" s="1" t="s">
        <v>930</v>
      </c>
      <c r="F263" s="7" t="n">
        <v>2010</v>
      </c>
      <c r="G263" s="1" t="s">
        <v>931</v>
      </c>
      <c r="H263" s="1" t="s">
        <v>50</v>
      </c>
    </row>
    <row r="264" customFormat="false" ht="14.25" hidden="false" customHeight="false" outlineLevel="0" collapsed="false">
      <c r="B264" s="6" t="s">
        <v>932</v>
      </c>
      <c r="C264" s="2" t="s">
        <v>933</v>
      </c>
      <c r="D264" s="2" t="s">
        <v>934</v>
      </c>
      <c r="E264" s="2" t="s">
        <v>749</v>
      </c>
      <c r="F264" s="6" t="n">
        <v>2001</v>
      </c>
      <c r="G264" s="2" t="s">
        <v>935</v>
      </c>
      <c r="H264" s="2" t="s">
        <v>244</v>
      </c>
    </row>
    <row r="265" customFormat="false" ht="14.25" hidden="false" customHeight="false" outlineLevel="0" collapsed="false">
      <c r="B265" s="6" t="s">
        <v>936</v>
      </c>
      <c r="C265" s="2" t="s">
        <v>937</v>
      </c>
      <c r="D265" s="2" t="s">
        <v>934</v>
      </c>
      <c r="E265" s="2" t="s">
        <v>749</v>
      </c>
      <c r="F265" s="6" t="n">
        <v>2001</v>
      </c>
      <c r="G265" s="2" t="s">
        <v>938</v>
      </c>
      <c r="H265" s="2" t="s">
        <v>939</v>
      </c>
    </row>
    <row r="266" customFormat="false" ht="14.25" hidden="false" customHeight="false" outlineLevel="0" collapsed="false">
      <c r="B266" s="6" t="s">
        <v>940</v>
      </c>
      <c r="C266" s="2" t="s">
        <v>941</v>
      </c>
      <c r="D266" s="2" t="s">
        <v>934</v>
      </c>
      <c r="E266" s="2" t="s">
        <v>749</v>
      </c>
      <c r="F266" s="6" t="n">
        <v>2000</v>
      </c>
      <c r="G266" s="2" t="s">
        <v>942</v>
      </c>
      <c r="H266" s="2" t="s">
        <v>943</v>
      </c>
    </row>
    <row r="267" customFormat="false" ht="14.25" hidden="false" customHeight="false" outlineLevel="0" collapsed="false">
      <c r="B267" s="6" t="s">
        <v>944</v>
      </c>
      <c r="C267" s="2" t="s">
        <v>945</v>
      </c>
      <c r="D267" s="2" t="s">
        <v>946</v>
      </c>
      <c r="E267" s="2" t="s">
        <v>749</v>
      </c>
      <c r="F267" s="6" t="n">
        <v>2003</v>
      </c>
      <c r="G267" s="2" t="s">
        <v>947</v>
      </c>
      <c r="H267" s="2" t="s">
        <v>50</v>
      </c>
    </row>
    <row r="268" customFormat="false" ht="14.25" hidden="false" customHeight="false" outlineLevel="0" collapsed="false">
      <c r="B268" s="7" t="s">
        <v>948</v>
      </c>
      <c r="C268" s="1" t="s">
        <v>949</v>
      </c>
      <c r="D268" s="1" t="s">
        <v>946</v>
      </c>
      <c r="E268" s="1" t="s">
        <v>749</v>
      </c>
      <c r="F268" s="7" t="n">
        <v>2004</v>
      </c>
      <c r="G268" s="1" t="s">
        <v>950</v>
      </c>
      <c r="H268" s="1" t="s">
        <v>704</v>
      </c>
    </row>
    <row r="269" customFormat="false" ht="14.25" hidden="false" customHeight="false" outlineLevel="0" collapsed="false">
      <c r="B269" s="7" t="s">
        <v>951</v>
      </c>
      <c r="C269" s="1" t="s">
        <v>952</v>
      </c>
      <c r="D269" s="1" t="s">
        <v>953</v>
      </c>
      <c r="E269" s="1" t="s">
        <v>749</v>
      </c>
      <c r="F269" s="7" t="n">
        <v>2005</v>
      </c>
      <c r="G269" s="1" t="s">
        <v>954</v>
      </c>
      <c r="H269" s="1" t="s">
        <v>955</v>
      </c>
    </row>
    <row r="270" customFormat="false" ht="14.25" hidden="false" customHeight="false" outlineLevel="0" collapsed="false">
      <c r="B270" s="7" t="s">
        <v>956</v>
      </c>
      <c r="C270" s="1" t="s">
        <v>957</v>
      </c>
      <c r="D270" s="1" t="s">
        <v>958</v>
      </c>
      <c r="E270" s="1" t="s">
        <v>759</v>
      </c>
      <c r="F270" s="7" t="n">
        <v>2001</v>
      </c>
      <c r="G270" s="1" t="s">
        <v>959</v>
      </c>
      <c r="H270" s="1" t="s">
        <v>464</v>
      </c>
    </row>
    <row r="271" customFormat="false" ht="14.25" hidden="false" customHeight="false" outlineLevel="0" collapsed="false">
      <c r="B271" s="7" t="s">
        <v>960</v>
      </c>
      <c r="C271" s="1" t="s">
        <v>961</v>
      </c>
      <c r="D271" s="1" t="s">
        <v>962</v>
      </c>
      <c r="E271" s="1" t="s">
        <v>376</v>
      </c>
      <c r="F271" s="7" t="n">
        <v>2007</v>
      </c>
      <c r="G271" s="1" t="s">
        <v>963</v>
      </c>
      <c r="H271" s="1" t="s">
        <v>964</v>
      </c>
    </row>
    <row r="272" customFormat="false" ht="14.25" hidden="false" customHeight="false" outlineLevel="0" collapsed="false">
      <c r="B272" s="7" t="s">
        <v>965</v>
      </c>
      <c r="C272" s="1" t="s">
        <v>966</v>
      </c>
      <c r="E272" s="1" t="s">
        <v>967</v>
      </c>
      <c r="F272" s="7" t="n">
        <v>2000</v>
      </c>
      <c r="G272" s="1" t="s">
        <v>968</v>
      </c>
      <c r="H272" s="1" t="s">
        <v>82</v>
      </c>
    </row>
    <row r="273" customFormat="false" ht="14.25" hidden="false" customHeight="false" outlineLevel="0" collapsed="false">
      <c r="B273" s="7" t="s">
        <v>969</v>
      </c>
      <c r="C273" s="1" t="s">
        <v>970</v>
      </c>
      <c r="E273" s="1" t="s">
        <v>967</v>
      </c>
      <c r="F273" s="7" t="n">
        <v>1998</v>
      </c>
      <c r="G273" s="1" t="s">
        <v>971</v>
      </c>
      <c r="H273" s="1" t="s">
        <v>244</v>
      </c>
    </row>
    <row r="274" customFormat="false" ht="14.25" hidden="false" customHeight="false" outlineLevel="0" collapsed="false">
      <c r="B274" s="6" t="s">
        <v>972</v>
      </c>
      <c r="C274" s="2" t="s">
        <v>973</v>
      </c>
      <c r="D274" s="2"/>
      <c r="E274" s="2" t="s">
        <v>967</v>
      </c>
      <c r="F274" s="6" t="n">
        <v>2000</v>
      </c>
      <c r="G274" s="2" t="s">
        <v>974</v>
      </c>
      <c r="H274" s="2" t="s">
        <v>244</v>
      </c>
    </row>
    <row r="275" customFormat="false" ht="14.25" hidden="false" customHeight="false" outlineLevel="0" collapsed="false">
      <c r="B275" s="6" t="s">
        <v>975</v>
      </c>
      <c r="C275" s="2" t="s">
        <v>976</v>
      </c>
      <c r="D275" s="2"/>
      <c r="E275" s="2" t="s">
        <v>967</v>
      </c>
      <c r="F275" s="6" t="n">
        <v>1997</v>
      </c>
      <c r="G275" s="2"/>
      <c r="H275" s="2" t="s">
        <v>220</v>
      </c>
    </row>
    <row r="276" customFormat="false" ht="14.25" hidden="false" customHeight="false" outlineLevel="0" collapsed="false">
      <c r="B276" s="6" t="s">
        <v>977</v>
      </c>
      <c r="C276" s="2" t="s">
        <v>966</v>
      </c>
      <c r="D276" s="2"/>
      <c r="E276" s="2" t="s">
        <v>967</v>
      </c>
      <c r="F276" s="6" t="n">
        <v>2000</v>
      </c>
      <c r="G276" s="2" t="s">
        <v>978</v>
      </c>
      <c r="H276" s="2" t="s">
        <v>82</v>
      </c>
    </row>
    <row r="277" customFormat="false" ht="14.25" hidden="false" customHeight="false" outlineLevel="0" collapsed="false">
      <c r="B277" s="6" t="s">
        <v>979</v>
      </c>
      <c r="C277" s="2" t="s">
        <v>980</v>
      </c>
      <c r="D277" s="2"/>
      <c r="E277" s="2" t="s">
        <v>967</v>
      </c>
      <c r="F277" s="6" t="n">
        <v>2000</v>
      </c>
      <c r="G277" s="2" t="s">
        <v>981</v>
      </c>
      <c r="H277" s="2" t="s">
        <v>104</v>
      </c>
    </row>
    <row r="278" customFormat="false" ht="14.25" hidden="false" customHeight="false" outlineLevel="0" collapsed="false">
      <c r="B278" s="6" t="s">
        <v>982</v>
      </c>
      <c r="C278" s="2" t="s">
        <v>983</v>
      </c>
      <c r="D278" s="2"/>
      <c r="E278" s="2" t="s">
        <v>967</v>
      </c>
      <c r="F278" s="6" t="n">
        <v>1999</v>
      </c>
      <c r="G278" s="2" t="s">
        <v>974</v>
      </c>
      <c r="H278" s="2" t="s">
        <v>244</v>
      </c>
    </row>
    <row r="279" customFormat="false" ht="14.25" hidden="false" customHeight="false" outlineLevel="0" collapsed="false">
      <c r="B279" s="6" t="s">
        <v>984</v>
      </c>
      <c r="C279" s="2" t="s">
        <v>985</v>
      </c>
      <c r="D279" s="2"/>
      <c r="E279" s="2" t="s">
        <v>967</v>
      </c>
      <c r="F279" s="6" t="n">
        <v>2002</v>
      </c>
      <c r="G279" s="2" t="s">
        <v>978</v>
      </c>
      <c r="H279" s="2" t="s">
        <v>82</v>
      </c>
    </row>
    <row r="280" customFormat="false" ht="14.25" hidden="false" customHeight="false" outlineLevel="0" collapsed="false">
      <c r="B280" s="6" t="s">
        <v>986</v>
      </c>
      <c r="C280" s="2" t="s">
        <v>987</v>
      </c>
      <c r="D280" s="2"/>
      <c r="E280" s="2" t="s">
        <v>967</v>
      </c>
      <c r="F280" s="6" t="n">
        <v>1998</v>
      </c>
      <c r="G280" s="2" t="s">
        <v>974</v>
      </c>
      <c r="H280" s="2" t="s">
        <v>244</v>
      </c>
    </row>
    <row r="281" customFormat="false" ht="14.25" hidden="false" customHeight="false" outlineLevel="0" collapsed="false">
      <c r="B281" s="6" t="s">
        <v>988</v>
      </c>
      <c r="C281" s="2" t="s">
        <v>989</v>
      </c>
      <c r="D281" s="2"/>
      <c r="E281" s="2" t="s">
        <v>967</v>
      </c>
      <c r="F281" s="6" t="n">
        <v>2000</v>
      </c>
      <c r="G281" s="2" t="s">
        <v>990</v>
      </c>
      <c r="H281" s="2" t="s">
        <v>104</v>
      </c>
    </row>
    <row r="282" customFormat="false" ht="14.25" hidden="false" customHeight="false" outlineLevel="0" collapsed="false">
      <c r="B282" s="6" t="s">
        <v>991</v>
      </c>
      <c r="C282" s="2" t="s">
        <v>992</v>
      </c>
      <c r="D282" s="2"/>
      <c r="E282" s="2" t="s">
        <v>967</v>
      </c>
      <c r="F282" s="6" t="n">
        <v>2000</v>
      </c>
      <c r="G282" s="2" t="s">
        <v>993</v>
      </c>
      <c r="H282" s="2" t="s">
        <v>104</v>
      </c>
    </row>
    <row r="283" customFormat="false" ht="14.25" hidden="false" customHeight="false" outlineLevel="0" collapsed="false">
      <c r="B283" s="6" t="s">
        <v>994</v>
      </c>
      <c r="C283" s="2" t="s">
        <v>995</v>
      </c>
      <c r="D283" s="2"/>
      <c r="E283" s="2" t="s">
        <v>967</v>
      </c>
      <c r="F283" s="6" t="n">
        <v>2003</v>
      </c>
      <c r="G283" s="2" t="s">
        <v>996</v>
      </c>
      <c r="H283" s="2" t="s">
        <v>118</v>
      </c>
    </row>
    <row r="284" customFormat="false" ht="14.25" hidden="false" customHeight="false" outlineLevel="0" collapsed="false">
      <c r="B284" s="6" t="s">
        <v>997</v>
      </c>
      <c r="C284" s="2" t="s">
        <v>998</v>
      </c>
      <c r="D284" s="2"/>
      <c r="E284" s="2" t="s">
        <v>967</v>
      </c>
      <c r="F284" s="6" t="n">
        <v>2004</v>
      </c>
      <c r="G284" s="2" t="s">
        <v>999</v>
      </c>
      <c r="H284" s="2" t="s">
        <v>147</v>
      </c>
    </row>
    <row r="285" customFormat="false" ht="14.25" hidden="false" customHeight="false" outlineLevel="0" collapsed="false">
      <c r="B285" s="6" t="s">
        <v>1000</v>
      </c>
      <c r="C285" s="2" t="s">
        <v>1001</v>
      </c>
      <c r="D285" s="2"/>
      <c r="E285" s="2" t="s">
        <v>967</v>
      </c>
      <c r="F285" s="6" t="n">
        <v>2004</v>
      </c>
      <c r="G285" s="2" t="s">
        <v>1002</v>
      </c>
      <c r="H285" s="2" t="s">
        <v>82</v>
      </c>
    </row>
    <row r="286" customFormat="false" ht="14.25" hidden="false" customHeight="false" outlineLevel="0" collapsed="false">
      <c r="B286" s="6" t="s">
        <v>1003</v>
      </c>
      <c r="C286" s="2" t="s">
        <v>1004</v>
      </c>
      <c r="D286" s="2"/>
      <c r="E286" s="2" t="s">
        <v>967</v>
      </c>
      <c r="F286" s="6" t="n">
        <v>2004</v>
      </c>
      <c r="G286" s="2" t="s">
        <v>978</v>
      </c>
      <c r="H286" s="2" t="s">
        <v>82</v>
      </c>
    </row>
    <row r="287" customFormat="false" ht="14.25" hidden="false" customHeight="false" outlineLevel="0" collapsed="false">
      <c r="B287" s="6" t="s">
        <v>1005</v>
      </c>
      <c r="C287" s="2" t="s">
        <v>1006</v>
      </c>
      <c r="D287" s="2"/>
      <c r="E287" s="2" t="s">
        <v>967</v>
      </c>
      <c r="F287" s="6" t="n">
        <v>2004</v>
      </c>
      <c r="G287" s="2" t="s">
        <v>1007</v>
      </c>
      <c r="H287" s="2" t="s">
        <v>1008</v>
      </c>
    </row>
    <row r="288" customFormat="false" ht="14.25" hidden="false" customHeight="false" outlineLevel="0" collapsed="false">
      <c r="B288" s="6" t="s">
        <v>1009</v>
      </c>
      <c r="C288" s="2" t="s">
        <v>1010</v>
      </c>
      <c r="D288" s="2"/>
      <c r="E288" s="2" t="s">
        <v>967</v>
      </c>
      <c r="F288" s="6" t="n">
        <v>2005</v>
      </c>
      <c r="G288" s="2" t="s">
        <v>1011</v>
      </c>
      <c r="H288" s="2" t="s">
        <v>556</v>
      </c>
    </row>
    <row r="289" customFormat="false" ht="14.25" hidden="false" customHeight="false" outlineLevel="0" collapsed="false">
      <c r="B289" s="6" t="s">
        <v>1012</v>
      </c>
      <c r="C289" s="2" t="s">
        <v>1013</v>
      </c>
      <c r="D289" s="2" t="s">
        <v>1014</v>
      </c>
      <c r="E289" s="2" t="s">
        <v>967</v>
      </c>
      <c r="F289" s="6" t="n">
        <v>2000</v>
      </c>
      <c r="G289" s="2" t="s">
        <v>1015</v>
      </c>
      <c r="H289" s="2" t="s">
        <v>704</v>
      </c>
    </row>
    <row r="290" customFormat="false" ht="14.25" hidden="false" customHeight="false" outlineLevel="0" collapsed="false">
      <c r="B290" s="6" t="s">
        <v>1016</v>
      </c>
      <c r="C290" s="2" t="s">
        <v>1017</v>
      </c>
      <c r="D290" s="2"/>
      <c r="E290" s="2" t="s">
        <v>967</v>
      </c>
      <c r="F290" s="6" t="n">
        <v>2005</v>
      </c>
      <c r="G290" s="2" t="s">
        <v>1018</v>
      </c>
      <c r="H290" s="2" t="s">
        <v>534</v>
      </c>
    </row>
    <row r="291" customFormat="false" ht="14.25" hidden="false" customHeight="false" outlineLevel="0" collapsed="false">
      <c r="B291" s="6" t="s">
        <v>1019</v>
      </c>
      <c r="C291" s="2" t="s">
        <v>1020</v>
      </c>
      <c r="D291" s="2"/>
      <c r="E291" s="2" t="s">
        <v>967</v>
      </c>
      <c r="F291" s="6" t="n">
        <v>2005</v>
      </c>
      <c r="G291" s="2" t="s">
        <v>978</v>
      </c>
      <c r="H291" s="2" t="s">
        <v>82</v>
      </c>
    </row>
    <row r="292" customFormat="false" ht="14.25" hidden="false" customHeight="false" outlineLevel="0" collapsed="false">
      <c r="B292" s="7" t="s">
        <v>1021</v>
      </c>
      <c r="C292" s="1" t="s">
        <v>1017</v>
      </c>
      <c r="E292" s="1" t="s">
        <v>967</v>
      </c>
      <c r="F292" s="7" t="n">
        <v>2005</v>
      </c>
      <c r="G292" s="1" t="s">
        <v>1018</v>
      </c>
      <c r="H292" s="1" t="s">
        <v>534</v>
      </c>
    </row>
    <row r="293" customFormat="false" ht="14.25" hidden="false" customHeight="false" outlineLevel="0" collapsed="false">
      <c r="B293" s="7" t="s">
        <v>1022</v>
      </c>
      <c r="C293" s="1" t="s">
        <v>1023</v>
      </c>
      <c r="E293" s="1" t="s">
        <v>967</v>
      </c>
      <c r="F293" s="7" t="n">
        <v>2005</v>
      </c>
      <c r="G293" s="1" t="s">
        <v>1024</v>
      </c>
      <c r="H293" s="1" t="s">
        <v>82</v>
      </c>
    </row>
    <row r="294" customFormat="false" ht="14.25" hidden="false" customHeight="false" outlineLevel="0" collapsed="false">
      <c r="B294" s="6" t="s">
        <v>1025</v>
      </c>
      <c r="C294" s="2" t="s">
        <v>1004</v>
      </c>
      <c r="D294" s="2"/>
      <c r="E294" s="2" t="s">
        <v>967</v>
      </c>
      <c r="F294" s="6" t="n">
        <v>2004</v>
      </c>
      <c r="G294" s="2" t="s">
        <v>978</v>
      </c>
      <c r="H294" s="2" t="s">
        <v>82</v>
      </c>
    </row>
    <row r="295" customFormat="false" ht="14.25" hidden="false" customHeight="false" outlineLevel="0" collapsed="false">
      <c r="B295" s="7" t="s">
        <v>1026</v>
      </c>
      <c r="C295" s="1" t="s">
        <v>1027</v>
      </c>
      <c r="E295" s="1" t="s">
        <v>967</v>
      </c>
      <c r="F295" s="7" t="n">
        <v>2006</v>
      </c>
      <c r="G295" s="1" t="s">
        <v>1028</v>
      </c>
      <c r="H295" s="1" t="s">
        <v>50</v>
      </c>
    </row>
    <row r="296" customFormat="false" ht="14.25" hidden="false" customHeight="false" outlineLevel="0" collapsed="false">
      <c r="B296" s="6" t="s">
        <v>1029</v>
      </c>
      <c r="C296" s="2" t="s">
        <v>1017</v>
      </c>
      <c r="D296" s="2"/>
      <c r="E296" s="2" t="s">
        <v>967</v>
      </c>
      <c r="F296" s="6" t="n">
        <v>2005</v>
      </c>
      <c r="G296" s="2" t="s">
        <v>1018</v>
      </c>
      <c r="H296" s="2" t="s">
        <v>534</v>
      </c>
    </row>
    <row r="297" customFormat="false" ht="14.25" hidden="false" customHeight="false" outlineLevel="0" collapsed="false">
      <c r="B297" s="6" t="s">
        <v>1030</v>
      </c>
      <c r="C297" s="2" t="s">
        <v>1031</v>
      </c>
      <c r="D297" s="2"/>
      <c r="E297" s="2" t="s">
        <v>967</v>
      </c>
      <c r="F297" s="6" t="n">
        <v>2000</v>
      </c>
      <c r="G297" s="2" t="s">
        <v>1032</v>
      </c>
      <c r="H297" s="2" t="s">
        <v>303</v>
      </c>
    </row>
    <row r="298" customFormat="false" ht="14.25" hidden="false" customHeight="false" outlineLevel="0" collapsed="false">
      <c r="B298" s="6" t="s">
        <v>1033</v>
      </c>
      <c r="C298" s="2" t="s">
        <v>1034</v>
      </c>
      <c r="D298" s="2"/>
      <c r="E298" s="2" t="s">
        <v>967</v>
      </c>
      <c r="F298" s="6" t="n">
        <v>2004</v>
      </c>
      <c r="G298" s="2" t="s">
        <v>1035</v>
      </c>
      <c r="H298" s="2" t="s">
        <v>50</v>
      </c>
    </row>
    <row r="299" customFormat="false" ht="14.25" hidden="false" customHeight="false" outlineLevel="0" collapsed="false">
      <c r="B299" s="6" t="s">
        <v>1036</v>
      </c>
      <c r="C299" s="2" t="s">
        <v>1037</v>
      </c>
      <c r="D299" s="2"/>
      <c r="E299" s="2" t="s">
        <v>967</v>
      </c>
      <c r="F299" s="6" t="n">
        <v>1998</v>
      </c>
      <c r="G299" s="2" t="s">
        <v>974</v>
      </c>
      <c r="H299" s="2" t="s">
        <v>244</v>
      </c>
    </row>
    <row r="300" customFormat="false" ht="14.25" hidden="false" customHeight="false" outlineLevel="0" collapsed="false">
      <c r="B300" s="7" t="s">
        <v>1038</v>
      </c>
      <c r="C300" s="1" t="s">
        <v>1039</v>
      </c>
      <c r="E300" s="2" t="s">
        <v>967</v>
      </c>
      <c r="F300" s="7" t="n">
        <v>2002</v>
      </c>
      <c r="G300" s="1" t="s">
        <v>1040</v>
      </c>
      <c r="H300" s="1" t="s">
        <v>1041</v>
      </c>
    </row>
    <row r="301" customFormat="false" ht="14.25" hidden="false" customHeight="false" outlineLevel="0" collapsed="false">
      <c r="B301" s="7" t="s">
        <v>1042</v>
      </c>
      <c r="C301" s="1" t="s">
        <v>1043</v>
      </c>
      <c r="E301" s="2" t="s">
        <v>967</v>
      </c>
      <c r="F301" s="7" t="n">
        <v>2005</v>
      </c>
      <c r="G301" s="1" t="s">
        <v>993</v>
      </c>
      <c r="H301" s="1" t="s">
        <v>82</v>
      </c>
    </row>
    <row r="302" customFormat="false" ht="14.25" hidden="false" customHeight="false" outlineLevel="0" collapsed="false">
      <c r="B302" s="7" t="s">
        <v>1044</v>
      </c>
      <c r="C302" s="1" t="s">
        <v>1045</v>
      </c>
      <c r="E302" s="2" t="s">
        <v>967</v>
      </c>
      <c r="F302" s="1" t="n">
        <v>2001</v>
      </c>
      <c r="G302" s="1" t="s">
        <v>1046</v>
      </c>
      <c r="H302" s="1" t="s">
        <v>244</v>
      </c>
    </row>
    <row r="303" customFormat="false" ht="14.25" hidden="false" customHeight="false" outlineLevel="0" collapsed="false">
      <c r="B303" s="7" t="s">
        <v>1047</v>
      </c>
      <c r="C303" s="1" t="s">
        <v>1004</v>
      </c>
      <c r="E303" s="2" t="s">
        <v>967</v>
      </c>
      <c r="F303" s="1" t="n">
        <v>2010</v>
      </c>
      <c r="G303" s="1" t="s">
        <v>1048</v>
      </c>
      <c r="H303" s="1" t="s">
        <v>82</v>
      </c>
    </row>
    <row r="304" customFormat="false" ht="14.25" hidden="false" customHeight="false" outlineLevel="0" collapsed="false">
      <c r="B304" s="7" t="s">
        <v>1049</v>
      </c>
      <c r="C304" s="1" t="s">
        <v>1050</v>
      </c>
      <c r="E304" s="2" t="s">
        <v>967</v>
      </c>
      <c r="F304" s="1" t="n">
        <v>2015</v>
      </c>
      <c r="G304" s="1" t="s">
        <v>1051</v>
      </c>
      <c r="H304" s="1" t="s">
        <v>1052</v>
      </c>
    </row>
    <row r="305" customFormat="false" ht="14.25" hidden="false" customHeight="false" outlineLevel="0" collapsed="false">
      <c r="B305" s="7" t="s">
        <v>1053</v>
      </c>
      <c r="C305" s="1" t="s">
        <v>1054</v>
      </c>
      <c r="E305" s="2" t="s">
        <v>967</v>
      </c>
      <c r="F305" s="1" t="n">
        <v>2015</v>
      </c>
      <c r="G305" s="1" t="s">
        <v>1055</v>
      </c>
      <c r="H305" s="1" t="s">
        <v>50</v>
      </c>
    </row>
    <row r="306" customFormat="false" ht="14.25" hidden="false" customHeight="false" outlineLevel="0" collapsed="false">
      <c r="B306" s="7" t="s">
        <v>1056</v>
      </c>
      <c r="C306" s="1" t="s">
        <v>1057</v>
      </c>
      <c r="E306" s="2" t="s">
        <v>967</v>
      </c>
      <c r="F306" s="1" t="n">
        <v>2015</v>
      </c>
      <c r="G306" s="1" t="s">
        <v>1058</v>
      </c>
      <c r="H306" s="1" t="s">
        <v>1059</v>
      </c>
    </row>
    <row r="307" customFormat="false" ht="14.25" hidden="false" customHeight="false" outlineLevel="0" collapsed="false">
      <c r="B307" s="7" t="s">
        <v>1060</v>
      </c>
      <c r="C307" s="1" t="s">
        <v>1061</v>
      </c>
      <c r="E307" s="2" t="s">
        <v>967</v>
      </c>
      <c r="F307" s="1" t="n">
        <v>2016</v>
      </c>
      <c r="G307" s="1" t="s">
        <v>650</v>
      </c>
      <c r="H307" s="1" t="s">
        <v>489</v>
      </c>
    </row>
    <row r="308" customFormat="false" ht="14.25" hidden="false" customHeight="false" outlineLevel="0" collapsed="false">
      <c r="B308" s="7" t="s">
        <v>1062</v>
      </c>
      <c r="C308" s="1" t="s">
        <v>1063</v>
      </c>
      <c r="E308" s="2" t="s">
        <v>967</v>
      </c>
      <c r="F308" s="7" t="n">
        <v>2016</v>
      </c>
      <c r="G308" s="1" t="s">
        <v>143</v>
      </c>
      <c r="H308" s="1" t="s">
        <v>50</v>
      </c>
    </row>
    <row r="309" customFormat="false" ht="14.25" hidden="false" customHeight="false" outlineLevel="0" collapsed="false">
      <c r="B309" s="7" t="s">
        <v>1064</v>
      </c>
      <c r="C309" s="1" t="s">
        <v>1065</v>
      </c>
      <c r="E309" s="2" t="s">
        <v>967</v>
      </c>
      <c r="F309" s="7" t="n">
        <v>2015</v>
      </c>
      <c r="G309" s="1" t="s">
        <v>1066</v>
      </c>
      <c r="H309" s="1" t="s">
        <v>50</v>
      </c>
    </row>
    <row r="310" customFormat="false" ht="14.25" hidden="false" customHeight="false" outlineLevel="0" collapsed="false">
      <c r="B310" s="7" t="s">
        <v>1067</v>
      </c>
      <c r="C310" s="1" t="s">
        <v>1068</v>
      </c>
      <c r="E310" s="1" t="s">
        <v>1069</v>
      </c>
      <c r="F310" s="7" t="n">
        <v>1997</v>
      </c>
      <c r="G310" s="1" t="s">
        <v>1070</v>
      </c>
      <c r="H310" s="1" t="s">
        <v>104</v>
      </c>
    </row>
    <row r="311" customFormat="false" ht="14.25" hidden="false" customHeight="false" outlineLevel="0" collapsed="false">
      <c r="B311" s="7" t="s">
        <v>1071</v>
      </c>
      <c r="C311" s="1" t="s">
        <v>1072</v>
      </c>
      <c r="E311" s="1" t="s">
        <v>1073</v>
      </c>
      <c r="F311" s="7" t="n">
        <v>2005</v>
      </c>
      <c r="G311" s="1" t="s">
        <v>1074</v>
      </c>
      <c r="H311" s="1" t="s">
        <v>50</v>
      </c>
    </row>
    <row r="312" customFormat="false" ht="14.25" hidden="false" customHeight="false" outlineLevel="0" collapsed="false">
      <c r="B312" s="7" t="s">
        <v>1075</v>
      </c>
      <c r="C312" s="1" t="s">
        <v>1072</v>
      </c>
      <c r="E312" s="1" t="s">
        <v>1073</v>
      </c>
      <c r="F312" s="7" t="n">
        <v>2005</v>
      </c>
      <c r="G312" s="1" t="s">
        <v>1074</v>
      </c>
      <c r="H312" s="1" t="s">
        <v>50</v>
      </c>
    </row>
    <row r="313" customFormat="false" ht="14.25" hidden="false" customHeight="false" outlineLevel="0" collapsed="false">
      <c r="B313" s="7" t="s">
        <v>1076</v>
      </c>
      <c r="C313" s="1" t="s">
        <v>1077</v>
      </c>
      <c r="E313" s="1" t="s">
        <v>1073</v>
      </c>
      <c r="F313" s="7" t="n">
        <v>2006</v>
      </c>
      <c r="G313" s="1" t="s">
        <v>1078</v>
      </c>
      <c r="H313" s="1" t="s">
        <v>50</v>
      </c>
    </row>
    <row r="314" customFormat="false" ht="14.25" hidden="false" customHeight="false" outlineLevel="0" collapsed="false">
      <c r="B314" s="7" t="s">
        <v>1079</v>
      </c>
      <c r="C314" s="1" t="s">
        <v>1080</v>
      </c>
      <c r="E314" s="1" t="s">
        <v>1073</v>
      </c>
      <c r="F314" s="7" t="n">
        <v>2008</v>
      </c>
      <c r="G314" s="1" t="s">
        <v>1081</v>
      </c>
      <c r="H314" s="1" t="s">
        <v>244</v>
      </c>
    </row>
    <row r="315" customFormat="false" ht="14.25" hidden="false" customHeight="false" outlineLevel="0" collapsed="false">
      <c r="B315" s="7" t="s">
        <v>1082</v>
      </c>
      <c r="C315" s="1" t="s">
        <v>1083</v>
      </c>
      <c r="D315" s="1" t="s">
        <v>1084</v>
      </c>
      <c r="E315" s="1" t="s">
        <v>1085</v>
      </c>
      <c r="F315" s="7" t="n">
        <v>2015</v>
      </c>
      <c r="G315" s="1" t="s">
        <v>1086</v>
      </c>
      <c r="H315" s="1" t="s">
        <v>188</v>
      </c>
    </row>
    <row r="316" customFormat="false" ht="14.25" hidden="false" customHeight="false" outlineLevel="0" collapsed="false">
      <c r="B316" s="7" t="s">
        <v>1087</v>
      </c>
      <c r="C316" s="1" t="s">
        <v>1088</v>
      </c>
      <c r="D316" s="1" t="s">
        <v>1084</v>
      </c>
      <c r="E316" s="1" t="s">
        <v>1085</v>
      </c>
      <c r="F316" s="7" t="n">
        <v>2014</v>
      </c>
      <c r="G316" s="1" t="s">
        <v>1086</v>
      </c>
      <c r="H316" s="1" t="s">
        <v>188</v>
      </c>
    </row>
    <row r="317" customFormat="false" ht="14.25" hidden="false" customHeight="false" outlineLevel="0" collapsed="false">
      <c r="B317" s="7" t="s">
        <v>1089</v>
      </c>
      <c r="C317" s="1" t="s">
        <v>1090</v>
      </c>
      <c r="F317" s="1" t="n">
        <v>2012</v>
      </c>
      <c r="H317" s="1" t="s">
        <v>1091</v>
      </c>
    </row>
    <row r="318" customFormat="false" ht="14.25" hidden="false" customHeight="false" outlineLevel="0" collapsed="false">
      <c r="B318" s="7" t="s">
        <v>1092</v>
      </c>
      <c r="C318" s="1" t="s">
        <v>1093</v>
      </c>
      <c r="F318" s="1" t="n">
        <v>2012</v>
      </c>
    </row>
    <row r="319" customFormat="false" ht="14.25" hidden="false" customHeight="false" outlineLevel="0" collapsed="false">
      <c r="B319" s="7" t="s">
        <v>1094</v>
      </c>
      <c r="C319" s="1" t="s">
        <v>1095</v>
      </c>
      <c r="F319" s="1" t="n">
        <v>2012</v>
      </c>
      <c r="H319" s="1" t="s">
        <v>1091</v>
      </c>
    </row>
    <row r="320" customFormat="false" ht="14.25" hidden="false" customHeight="false" outlineLevel="0" collapsed="false">
      <c r="B320" s="7" t="s">
        <v>1096</v>
      </c>
      <c r="C320" s="1" t="s">
        <v>1097</v>
      </c>
      <c r="F320" s="1" t="n">
        <v>2013</v>
      </c>
      <c r="H320" s="1" t="s">
        <v>1091</v>
      </c>
    </row>
    <row r="321" customFormat="false" ht="14.25" hidden="false" customHeight="false" outlineLevel="0" collapsed="false">
      <c r="B321" s="7" t="s">
        <v>1098</v>
      </c>
      <c r="C321" s="1" t="s">
        <v>1099</v>
      </c>
      <c r="E321" s="1" t="s">
        <v>1073</v>
      </c>
      <c r="F321" s="1" t="n">
        <v>2015</v>
      </c>
      <c r="G321" s="1" t="s">
        <v>650</v>
      </c>
      <c r="H321" s="1" t="s">
        <v>489</v>
      </c>
    </row>
    <row r="322" customFormat="false" ht="14.25" hidden="false" customHeight="false" outlineLevel="0" collapsed="false">
      <c r="B322" s="7" t="s">
        <v>1100</v>
      </c>
      <c r="C322" s="1" t="s">
        <v>1101</v>
      </c>
      <c r="E322" s="2" t="s">
        <v>1102</v>
      </c>
      <c r="F322" s="1" t="n">
        <v>2016</v>
      </c>
      <c r="G322" s="1" t="s">
        <v>1086</v>
      </c>
      <c r="H322" s="1" t="s">
        <v>50</v>
      </c>
    </row>
    <row r="323" customFormat="false" ht="14.25" hidden="false" customHeight="false" outlineLevel="0" collapsed="false">
      <c r="B323" s="7" t="s">
        <v>1103</v>
      </c>
      <c r="C323" s="1" t="s">
        <v>1104</v>
      </c>
      <c r="E323" s="1" t="s">
        <v>1105</v>
      </c>
      <c r="F323" s="7" t="n">
        <v>2016</v>
      </c>
      <c r="G323" s="1" t="s">
        <v>1106</v>
      </c>
      <c r="H323" s="1" t="s">
        <v>1107</v>
      </c>
    </row>
    <row r="324" customFormat="false" ht="14.25" hidden="false" customHeight="false" outlineLevel="0" collapsed="false">
      <c r="B324" s="6" t="s">
        <v>1108</v>
      </c>
      <c r="C324" s="2" t="s">
        <v>1109</v>
      </c>
      <c r="D324" s="2" t="s">
        <v>1110</v>
      </c>
      <c r="E324" s="2" t="s">
        <v>1111</v>
      </c>
      <c r="F324" s="6" t="n">
        <v>2002</v>
      </c>
      <c r="G324" s="2" t="s">
        <v>1112</v>
      </c>
      <c r="H324" s="2" t="s">
        <v>433</v>
      </c>
    </row>
    <row r="325" customFormat="false" ht="14.25" hidden="false" customHeight="false" outlineLevel="0" collapsed="false">
      <c r="B325" s="6" t="s">
        <v>1113</v>
      </c>
      <c r="C325" s="2" t="s">
        <v>1114</v>
      </c>
      <c r="D325" s="2" t="s">
        <v>1110</v>
      </c>
      <c r="E325" s="2" t="s">
        <v>1111</v>
      </c>
      <c r="F325" s="6" t="n">
        <v>2000</v>
      </c>
      <c r="G325" s="2" t="s">
        <v>1115</v>
      </c>
      <c r="H325" s="2" t="s">
        <v>118</v>
      </c>
    </row>
    <row r="326" customFormat="false" ht="14.25" hidden="false" customHeight="false" outlineLevel="0" collapsed="false">
      <c r="B326" s="6" t="s">
        <v>1116</v>
      </c>
      <c r="C326" s="2" t="s">
        <v>1117</v>
      </c>
      <c r="D326" s="2" t="s">
        <v>1110</v>
      </c>
      <c r="E326" s="2" t="s">
        <v>1111</v>
      </c>
      <c r="F326" s="6" t="n">
        <v>2001</v>
      </c>
      <c r="G326" s="2" t="s">
        <v>1118</v>
      </c>
      <c r="H326" s="2" t="s">
        <v>118</v>
      </c>
    </row>
    <row r="327" customFormat="false" ht="14.25" hidden="false" customHeight="false" outlineLevel="0" collapsed="false">
      <c r="B327" s="6" t="s">
        <v>1119</v>
      </c>
      <c r="C327" s="2" t="s">
        <v>1120</v>
      </c>
      <c r="D327" s="2" t="s">
        <v>1110</v>
      </c>
      <c r="E327" s="2" t="s">
        <v>1111</v>
      </c>
      <c r="F327" s="6" t="n">
        <v>1999</v>
      </c>
      <c r="G327" s="2" t="s">
        <v>1121</v>
      </c>
      <c r="H327" s="2" t="s">
        <v>704</v>
      </c>
    </row>
    <row r="328" customFormat="false" ht="14.25" hidden="false" customHeight="false" outlineLevel="0" collapsed="false">
      <c r="B328" s="6" t="s">
        <v>1122</v>
      </c>
      <c r="C328" s="2" t="s">
        <v>1123</v>
      </c>
      <c r="D328" s="2" t="s">
        <v>1110</v>
      </c>
      <c r="E328" s="2" t="s">
        <v>1111</v>
      </c>
      <c r="F328" s="6" t="n">
        <v>1999</v>
      </c>
      <c r="G328" s="2" t="s">
        <v>1124</v>
      </c>
      <c r="H328" s="2" t="s">
        <v>556</v>
      </c>
    </row>
    <row r="329" customFormat="false" ht="14.25" hidden="false" customHeight="false" outlineLevel="0" collapsed="false">
      <c r="B329" s="7" t="s">
        <v>1125</v>
      </c>
      <c r="C329" s="1" t="s">
        <v>1126</v>
      </c>
      <c r="D329" s="1" t="s">
        <v>1127</v>
      </c>
      <c r="E329" s="1" t="s">
        <v>1111</v>
      </c>
      <c r="F329" s="7" t="n">
        <v>2004</v>
      </c>
      <c r="G329" s="1" t="s">
        <v>1128</v>
      </c>
      <c r="H329" s="1" t="s">
        <v>50</v>
      </c>
    </row>
    <row r="330" customFormat="false" ht="14.25" hidden="false" customHeight="false" outlineLevel="0" collapsed="false">
      <c r="B330" s="6" t="s">
        <v>1129</v>
      </c>
      <c r="C330" s="2" t="s">
        <v>1130</v>
      </c>
      <c r="D330" s="2" t="s">
        <v>1110</v>
      </c>
      <c r="E330" s="2" t="s">
        <v>1111</v>
      </c>
      <c r="F330" s="6" t="n">
        <v>1999</v>
      </c>
      <c r="G330" s="2" t="s">
        <v>1131</v>
      </c>
      <c r="H330" s="2" t="s">
        <v>704</v>
      </c>
    </row>
    <row r="331" customFormat="false" ht="14.25" hidden="false" customHeight="false" outlineLevel="0" collapsed="false">
      <c r="B331" s="6" t="s">
        <v>1132</v>
      </c>
      <c r="C331" s="2" t="s">
        <v>1133</v>
      </c>
      <c r="D331" s="2" t="s">
        <v>1110</v>
      </c>
      <c r="E331" s="2" t="s">
        <v>1111</v>
      </c>
      <c r="F331" s="6" t="n">
        <v>2009</v>
      </c>
      <c r="G331" s="2" t="s">
        <v>1134</v>
      </c>
      <c r="H331" s="2" t="s">
        <v>82</v>
      </c>
    </row>
    <row r="332" customFormat="false" ht="14.25" hidden="false" customHeight="false" outlineLevel="0" collapsed="false">
      <c r="B332" s="7" t="s">
        <v>1135</v>
      </c>
      <c r="C332" s="1" t="s">
        <v>1136</v>
      </c>
      <c r="D332" s="1" t="s">
        <v>1137</v>
      </c>
      <c r="E332" s="1" t="s">
        <v>1138</v>
      </c>
      <c r="F332" s="1" t="n">
        <v>2004</v>
      </c>
      <c r="G332" s="1" t="s">
        <v>1139</v>
      </c>
      <c r="H332" s="1" t="s">
        <v>50</v>
      </c>
    </row>
    <row r="333" customFormat="false" ht="14.25" hidden="false" customHeight="false" outlineLevel="0" collapsed="false">
      <c r="B333" s="6" t="s">
        <v>1140</v>
      </c>
      <c r="C333" s="2" t="s">
        <v>1141</v>
      </c>
      <c r="D333" s="2"/>
      <c r="E333" s="2" t="s">
        <v>1142</v>
      </c>
      <c r="F333" s="6" t="n">
        <v>2001</v>
      </c>
      <c r="G333" s="2" t="s">
        <v>1143</v>
      </c>
      <c r="H333" s="2" t="s">
        <v>255</v>
      </c>
    </row>
    <row r="334" customFormat="false" ht="14.25" hidden="false" customHeight="false" outlineLevel="0" collapsed="false">
      <c r="B334" s="7" t="s">
        <v>1144</v>
      </c>
      <c r="C334" s="1" t="s">
        <v>1145</v>
      </c>
      <c r="E334" s="1" t="s">
        <v>1142</v>
      </c>
      <c r="F334" s="7" t="n">
        <v>1998</v>
      </c>
      <c r="G334" s="1" t="s">
        <v>1146</v>
      </c>
      <c r="H334" s="1" t="s">
        <v>1147</v>
      </c>
    </row>
    <row r="335" customFormat="false" ht="14.25" hidden="false" customHeight="false" outlineLevel="0" collapsed="false">
      <c r="B335" s="7" t="s">
        <v>1148</v>
      </c>
      <c r="C335" s="1" t="s">
        <v>1149</v>
      </c>
      <c r="E335" s="1" t="s">
        <v>1142</v>
      </c>
      <c r="F335" s="7" t="n">
        <v>1999</v>
      </c>
      <c r="G335" s="1" t="s">
        <v>1150</v>
      </c>
      <c r="H335" s="1" t="s">
        <v>1151</v>
      </c>
    </row>
    <row r="336" customFormat="false" ht="14.25" hidden="false" customHeight="false" outlineLevel="0" collapsed="false">
      <c r="B336" s="7" t="s">
        <v>1152</v>
      </c>
      <c r="C336" s="1" t="s">
        <v>1153</v>
      </c>
      <c r="E336" s="1" t="s">
        <v>1142</v>
      </c>
      <c r="F336" s="7" t="n">
        <v>2001</v>
      </c>
      <c r="G336" s="1" t="s">
        <v>1154</v>
      </c>
      <c r="H336" s="1" t="s">
        <v>82</v>
      </c>
    </row>
    <row r="337" customFormat="false" ht="14.25" hidden="false" customHeight="false" outlineLevel="0" collapsed="false">
      <c r="B337" s="7" t="s">
        <v>1155</v>
      </c>
      <c r="C337" s="1" t="s">
        <v>1156</v>
      </c>
      <c r="E337" s="1" t="s">
        <v>1142</v>
      </c>
      <c r="F337" s="7" t="n">
        <v>1998</v>
      </c>
      <c r="G337" s="1" t="s">
        <v>1157</v>
      </c>
      <c r="H337" s="1" t="s">
        <v>1147</v>
      </c>
    </row>
    <row r="338" customFormat="false" ht="14.25" hidden="false" customHeight="false" outlineLevel="0" collapsed="false">
      <c r="B338" s="6" t="s">
        <v>1158</v>
      </c>
      <c r="C338" s="2" t="s">
        <v>1159</v>
      </c>
      <c r="D338" s="2"/>
      <c r="E338" s="2" t="s">
        <v>1142</v>
      </c>
      <c r="F338" s="6" t="n">
        <v>2002</v>
      </c>
      <c r="G338" s="2" t="s">
        <v>1160</v>
      </c>
      <c r="H338" s="2" t="s">
        <v>82</v>
      </c>
    </row>
    <row r="339" customFormat="false" ht="14.25" hidden="false" customHeight="false" outlineLevel="0" collapsed="false">
      <c r="B339" s="6" t="s">
        <v>1161</v>
      </c>
      <c r="C339" s="2" t="s">
        <v>1162</v>
      </c>
      <c r="D339" s="2" t="s">
        <v>1163</v>
      </c>
      <c r="E339" s="2" t="s">
        <v>1142</v>
      </c>
      <c r="F339" s="6" t="n">
        <v>1999</v>
      </c>
      <c r="G339" s="2" t="s">
        <v>1164</v>
      </c>
      <c r="H339" s="2" t="s">
        <v>118</v>
      </c>
    </row>
    <row r="340" customFormat="false" ht="14.25" hidden="false" customHeight="false" outlineLevel="0" collapsed="false">
      <c r="B340" s="6" t="s">
        <v>1165</v>
      </c>
      <c r="C340" s="2" t="s">
        <v>1166</v>
      </c>
      <c r="D340" s="2" t="s">
        <v>1163</v>
      </c>
      <c r="E340" s="2" t="s">
        <v>1142</v>
      </c>
      <c r="F340" s="6" t="n">
        <v>1999</v>
      </c>
      <c r="G340" s="2" t="s">
        <v>1167</v>
      </c>
      <c r="H340" s="2" t="s">
        <v>118</v>
      </c>
    </row>
    <row r="341" customFormat="false" ht="14.25" hidden="false" customHeight="false" outlineLevel="0" collapsed="false">
      <c r="B341" s="6" t="s">
        <v>1168</v>
      </c>
      <c r="C341" s="2" t="s">
        <v>1169</v>
      </c>
      <c r="D341" s="2" t="s">
        <v>1170</v>
      </c>
      <c r="E341" s="2" t="s">
        <v>1142</v>
      </c>
      <c r="F341" s="6" t="n">
        <v>2000</v>
      </c>
      <c r="G341" s="2" t="s">
        <v>1171</v>
      </c>
      <c r="H341" s="2" t="s">
        <v>1172</v>
      </c>
    </row>
    <row r="342" customFormat="false" ht="14.25" hidden="false" customHeight="false" outlineLevel="0" collapsed="false">
      <c r="B342" s="7" t="s">
        <v>1173</v>
      </c>
      <c r="C342" s="1" t="s">
        <v>1174</v>
      </c>
      <c r="D342" s="1" t="s">
        <v>1175</v>
      </c>
      <c r="E342" s="1" t="s">
        <v>1142</v>
      </c>
      <c r="F342" s="7" t="n">
        <v>1998</v>
      </c>
      <c r="G342" s="1" t="s">
        <v>239</v>
      </c>
      <c r="H342" s="2" t="s">
        <v>118</v>
      </c>
    </row>
    <row r="343" customFormat="false" ht="14.25" hidden="false" customHeight="false" outlineLevel="0" collapsed="false">
      <c r="B343" s="7" t="s">
        <v>1176</v>
      </c>
      <c r="C343" s="1" t="s">
        <v>1177</v>
      </c>
      <c r="E343" s="1" t="s">
        <v>1142</v>
      </c>
      <c r="F343" s="7" t="n">
        <v>2000</v>
      </c>
      <c r="G343" s="1" t="s">
        <v>1178</v>
      </c>
      <c r="H343" s="1" t="s">
        <v>64</v>
      </c>
    </row>
    <row r="344" customFormat="false" ht="14.25" hidden="false" customHeight="false" outlineLevel="0" collapsed="false">
      <c r="B344" s="7" t="s">
        <v>1179</v>
      </c>
      <c r="C344" s="1" t="s">
        <v>1180</v>
      </c>
      <c r="E344" s="1" t="s">
        <v>1142</v>
      </c>
      <c r="F344" s="7" t="n">
        <v>1999</v>
      </c>
      <c r="G344" s="1" t="s">
        <v>1181</v>
      </c>
      <c r="H344" s="1" t="s">
        <v>64</v>
      </c>
    </row>
    <row r="345" customFormat="false" ht="14.25" hidden="false" customHeight="false" outlineLevel="0" collapsed="false">
      <c r="B345" s="7" t="s">
        <v>1182</v>
      </c>
      <c r="C345" s="1" t="s">
        <v>1183</v>
      </c>
      <c r="D345" s="1" t="s">
        <v>1184</v>
      </c>
      <c r="E345" s="1" t="s">
        <v>1142</v>
      </c>
      <c r="F345" s="7" t="n">
        <v>1998</v>
      </c>
      <c r="G345" s="1" t="s">
        <v>1181</v>
      </c>
      <c r="H345" s="1" t="s">
        <v>104</v>
      </c>
    </row>
    <row r="346" customFormat="false" ht="14.25" hidden="false" customHeight="false" outlineLevel="0" collapsed="false">
      <c r="B346" s="6" t="s">
        <v>1185</v>
      </c>
      <c r="C346" s="2" t="s">
        <v>1186</v>
      </c>
      <c r="D346" s="2" t="s">
        <v>1163</v>
      </c>
      <c r="E346" s="2" t="s">
        <v>1142</v>
      </c>
      <c r="F346" s="6" t="n">
        <v>2002</v>
      </c>
      <c r="G346" s="2" t="s">
        <v>1187</v>
      </c>
      <c r="H346" s="2" t="s">
        <v>704</v>
      </c>
    </row>
    <row r="347" customFormat="false" ht="14.25" hidden="false" customHeight="false" outlineLevel="0" collapsed="false">
      <c r="B347" s="6" t="s">
        <v>1188</v>
      </c>
      <c r="C347" s="2" t="s">
        <v>1189</v>
      </c>
      <c r="D347" s="2"/>
      <c r="E347" s="2" t="s">
        <v>1142</v>
      </c>
      <c r="F347" s="6" t="n">
        <v>2002</v>
      </c>
      <c r="G347" s="2" t="s">
        <v>1190</v>
      </c>
      <c r="H347" s="2" t="s">
        <v>255</v>
      </c>
    </row>
    <row r="348" customFormat="false" ht="14.25" hidden="false" customHeight="false" outlineLevel="0" collapsed="false">
      <c r="B348" s="6" t="s">
        <v>1191</v>
      </c>
      <c r="C348" s="2" t="s">
        <v>1192</v>
      </c>
      <c r="D348" s="2" t="s">
        <v>1184</v>
      </c>
      <c r="E348" s="2" t="s">
        <v>1142</v>
      </c>
      <c r="F348" s="6" t="n">
        <v>2001</v>
      </c>
      <c r="G348" s="2"/>
      <c r="H348" s="2"/>
    </row>
    <row r="349" customFormat="false" ht="14.25" hidden="false" customHeight="false" outlineLevel="0" collapsed="false">
      <c r="B349" s="6" t="s">
        <v>1193</v>
      </c>
      <c r="C349" s="2" t="s">
        <v>1194</v>
      </c>
      <c r="D349" s="2" t="s">
        <v>1195</v>
      </c>
      <c r="E349" s="2" t="s">
        <v>1142</v>
      </c>
      <c r="F349" s="6" t="n">
        <v>1999</v>
      </c>
      <c r="G349" s="2" t="s">
        <v>1196</v>
      </c>
      <c r="H349" s="2" t="s">
        <v>244</v>
      </c>
    </row>
    <row r="350" customFormat="false" ht="14.25" hidden="false" customHeight="false" outlineLevel="0" collapsed="false">
      <c r="B350" s="6" t="s">
        <v>1197</v>
      </c>
      <c r="C350" s="2" t="s">
        <v>1198</v>
      </c>
      <c r="D350" s="2"/>
      <c r="E350" s="2" t="s">
        <v>1142</v>
      </c>
      <c r="F350" s="6" t="n">
        <v>2003</v>
      </c>
      <c r="G350" s="2" t="s">
        <v>1199</v>
      </c>
      <c r="H350" s="2" t="s">
        <v>82</v>
      </c>
    </row>
    <row r="351" customFormat="false" ht="14.25" hidden="false" customHeight="false" outlineLevel="0" collapsed="false">
      <c r="B351" s="6" t="s">
        <v>1200</v>
      </c>
      <c r="C351" s="2" t="s">
        <v>1201</v>
      </c>
      <c r="D351" s="2" t="s">
        <v>1202</v>
      </c>
      <c r="E351" s="2" t="s">
        <v>1142</v>
      </c>
      <c r="F351" s="6" t="n">
        <v>2000</v>
      </c>
      <c r="G351" s="2" t="s">
        <v>1203</v>
      </c>
      <c r="H351" s="1" t="s">
        <v>1172</v>
      </c>
    </row>
    <row r="352" customFormat="false" ht="14.25" hidden="false" customHeight="false" outlineLevel="0" collapsed="false">
      <c r="B352" s="6" t="s">
        <v>1204</v>
      </c>
      <c r="C352" s="2" t="s">
        <v>1205</v>
      </c>
      <c r="D352" s="2" t="s">
        <v>1163</v>
      </c>
      <c r="E352" s="2" t="s">
        <v>1142</v>
      </c>
      <c r="F352" s="6" t="n">
        <v>2002</v>
      </c>
      <c r="G352" s="2" t="s">
        <v>1206</v>
      </c>
      <c r="H352" s="2" t="s">
        <v>467</v>
      </c>
    </row>
    <row r="353" customFormat="false" ht="14.25" hidden="false" customHeight="false" outlineLevel="0" collapsed="false">
      <c r="B353" s="6" t="s">
        <v>1207</v>
      </c>
      <c r="C353" s="2" t="s">
        <v>1208</v>
      </c>
      <c r="D353" s="2"/>
      <c r="E353" s="2" t="s">
        <v>1142</v>
      </c>
      <c r="F353" s="6" t="n">
        <v>2001</v>
      </c>
      <c r="G353" s="2" t="s">
        <v>1209</v>
      </c>
      <c r="H353" s="2" t="s">
        <v>1210</v>
      </c>
    </row>
    <row r="354" customFormat="false" ht="14.25" hidden="false" customHeight="false" outlineLevel="0" collapsed="false">
      <c r="B354" s="6" t="s">
        <v>1211</v>
      </c>
      <c r="C354" s="2" t="s">
        <v>1212</v>
      </c>
      <c r="D354" s="2" t="s">
        <v>1213</v>
      </c>
      <c r="E354" s="2" t="s">
        <v>1142</v>
      </c>
      <c r="F354" s="6" t="n">
        <v>2000</v>
      </c>
      <c r="G354" s="2" t="s">
        <v>1214</v>
      </c>
      <c r="H354" s="2" t="s">
        <v>1215</v>
      </c>
    </row>
    <row r="355" customFormat="false" ht="14.25" hidden="false" customHeight="false" outlineLevel="0" collapsed="false">
      <c r="B355" s="6" t="s">
        <v>1216</v>
      </c>
      <c r="C355" s="2" t="s">
        <v>1217</v>
      </c>
      <c r="D355" s="2"/>
      <c r="E355" s="2" t="s">
        <v>1142</v>
      </c>
      <c r="F355" s="6" t="n">
        <v>2001</v>
      </c>
      <c r="G355" s="2" t="s">
        <v>1218</v>
      </c>
      <c r="H355" s="2" t="s">
        <v>1219</v>
      </c>
    </row>
    <row r="356" customFormat="false" ht="14.25" hidden="false" customHeight="false" outlineLevel="0" collapsed="false">
      <c r="B356" s="6" t="s">
        <v>1220</v>
      </c>
      <c r="C356" s="2" t="s">
        <v>1221</v>
      </c>
      <c r="D356" s="2" t="s">
        <v>170</v>
      </c>
      <c r="E356" s="2" t="s">
        <v>1142</v>
      </c>
      <c r="F356" s="6" t="n">
        <v>2003</v>
      </c>
      <c r="G356" s="2" t="s">
        <v>1222</v>
      </c>
      <c r="H356" s="2" t="s">
        <v>82</v>
      </c>
    </row>
    <row r="357" customFormat="false" ht="14.25" hidden="false" customHeight="false" outlineLevel="0" collapsed="false">
      <c r="B357" s="6" t="s">
        <v>1223</v>
      </c>
      <c r="C357" s="2" t="s">
        <v>1224</v>
      </c>
      <c r="D357" s="2" t="s">
        <v>1225</v>
      </c>
      <c r="E357" s="2" t="s">
        <v>1142</v>
      </c>
      <c r="F357" s="6" t="n">
        <v>2003</v>
      </c>
      <c r="G357" s="2" t="s">
        <v>1226</v>
      </c>
      <c r="H357" s="2" t="s">
        <v>82</v>
      </c>
    </row>
    <row r="358" customFormat="false" ht="14.25" hidden="false" customHeight="false" outlineLevel="0" collapsed="false">
      <c r="B358" s="7" t="s">
        <v>1227</v>
      </c>
      <c r="C358" s="1" t="s">
        <v>1228</v>
      </c>
      <c r="E358" s="1" t="s">
        <v>1142</v>
      </c>
      <c r="F358" s="7" t="n">
        <v>2003</v>
      </c>
      <c r="G358" s="1" t="s">
        <v>1229</v>
      </c>
      <c r="H358" s="1" t="s">
        <v>1230</v>
      </c>
    </row>
    <row r="359" customFormat="false" ht="14.25" hidden="false" customHeight="false" outlineLevel="0" collapsed="false">
      <c r="B359" s="6" t="s">
        <v>1231</v>
      </c>
      <c r="C359" s="2" t="s">
        <v>1232</v>
      </c>
      <c r="D359" s="2" t="s">
        <v>1233</v>
      </c>
      <c r="E359" s="2" t="s">
        <v>1142</v>
      </c>
      <c r="F359" s="6" t="n">
        <v>2002</v>
      </c>
      <c r="G359" s="2" t="s">
        <v>1234</v>
      </c>
      <c r="H359" s="2" t="s">
        <v>82</v>
      </c>
    </row>
    <row r="360" customFormat="false" ht="14.25" hidden="false" customHeight="false" outlineLevel="0" collapsed="false">
      <c r="B360" s="6" t="s">
        <v>1235</v>
      </c>
      <c r="C360" s="2" t="s">
        <v>1236</v>
      </c>
      <c r="D360" s="2"/>
      <c r="E360" s="2" t="s">
        <v>1142</v>
      </c>
      <c r="F360" s="6" t="n">
        <v>2001</v>
      </c>
      <c r="G360" s="2" t="s">
        <v>1237</v>
      </c>
      <c r="H360" s="2" t="s">
        <v>17</v>
      </c>
    </row>
    <row r="361" customFormat="false" ht="14.25" hidden="false" customHeight="false" outlineLevel="0" collapsed="false">
      <c r="B361" s="6" t="s">
        <v>1238</v>
      </c>
      <c r="C361" s="2" t="s">
        <v>1239</v>
      </c>
      <c r="D361" s="2"/>
      <c r="E361" s="2" t="s">
        <v>1142</v>
      </c>
      <c r="F361" s="6" t="n">
        <v>2004</v>
      </c>
      <c r="G361" s="2" t="s">
        <v>1240</v>
      </c>
      <c r="H361" s="2" t="s">
        <v>64</v>
      </c>
    </row>
    <row r="362" customFormat="false" ht="14.25" hidden="false" customHeight="false" outlineLevel="0" collapsed="false">
      <c r="B362" s="6" t="s">
        <v>1241</v>
      </c>
      <c r="C362" s="2" t="s">
        <v>1242</v>
      </c>
      <c r="D362" s="2"/>
      <c r="E362" s="2" t="s">
        <v>1142</v>
      </c>
      <c r="F362" s="6" t="n">
        <v>2003</v>
      </c>
      <c r="G362" s="2" t="s">
        <v>1243</v>
      </c>
      <c r="H362" s="2" t="s">
        <v>50</v>
      </c>
    </row>
    <row r="363" customFormat="false" ht="14.25" hidden="false" customHeight="false" outlineLevel="0" collapsed="false">
      <c r="B363" s="6" t="s">
        <v>1244</v>
      </c>
      <c r="C363" s="2" t="s">
        <v>1245</v>
      </c>
      <c r="D363" s="2"/>
      <c r="E363" s="2" t="s">
        <v>1142</v>
      </c>
      <c r="F363" s="6" t="n">
        <v>1997</v>
      </c>
      <c r="G363" s="2"/>
      <c r="H363" s="2" t="s">
        <v>1246</v>
      </c>
    </row>
    <row r="364" customFormat="false" ht="14.25" hidden="false" customHeight="false" outlineLevel="0" collapsed="false">
      <c r="B364" s="6" t="s">
        <v>1247</v>
      </c>
      <c r="C364" s="2" t="s">
        <v>1248</v>
      </c>
      <c r="D364" s="2"/>
      <c r="E364" s="2" t="s">
        <v>1142</v>
      </c>
      <c r="F364" s="6" t="n">
        <v>2004</v>
      </c>
      <c r="G364" s="2" t="s">
        <v>198</v>
      </c>
      <c r="H364" s="2" t="s">
        <v>50</v>
      </c>
    </row>
    <row r="365" customFormat="false" ht="14.25" hidden="false" customHeight="false" outlineLevel="0" collapsed="false">
      <c r="B365" s="6" t="s">
        <v>1249</v>
      </c>
      <c r="C365" s="2" t="s">
        <v>1250</v>
      </c>
      <c r="D365" s="2" t="s">
        <v>170</v>
      </c>
      <c r="E365" s="2" t="s">
        <v>1142</v>
      </c>
      <c r="F365" s="6" t="n">
        <v>2004</v>
      </c>
      <c r="G365" s="2" t="s">
        <v>1251</v>
      </c>
      <c r="H365" s="2" t="s">
        <v>118</v>
      </c>
    </row>
    <row r="366" customFormat="false" ht="14.25" hidden="false" customHeight="false" outlineLevel="0" collapsed="false">
      <c r="B366" s="6" t="s">
        <v>1252</v>
      </c>
      <c r="C366" s="2" t="s">
        <v>1253</v>
      </c>
      <c r="D366" s="2"/>
      <c r="E366" s="2" t="s">
        <v>1142</v>
      </c>
      <c r="F366" s="6" t="n">
        <v>2004</v>
      </c>
      <c r="G366" s="2" t="s">
        <v>1254</v>
      </c>
      <c r="H366" s="2" t="s">
        <v>50</v>
      </c>
    </row>
    <row r="367" customFormat="false" ht="14.25" hidden="false" customHeight="false" outlineLevel="0" collapsed="false">
      <c r="B367" s="6" t="s">
        <v>1255</v>
      </c>
      <c r="C367" s="2" t="s">
        <v>1256</v>
      </c>
      <c r="D367" s="2"/>
      <c r="E367" s="2" t="s">
        <v>1142</v>
      </c>
      <c r="F367" s="6" t="n">
        <v>2005</v>
      </c>
      <c r="G367" s="2" t="s">
        <v>1046</v>
      </c>
      <c r="H367" s="2" t="s">
        <v>82</v>
      </c>
    </row>
    <row r="368" customFormat="false" ht="14.25" hidden="false" customHeight="false" outlineLevel="0" collapsed="false">
      <c r="B368" s="6" t="s">
        <v>1257</v>
      </c>
      <c r="C368" s="2" t="s">
        <v>1258</v>
      </c>
      <c r="D368" s="2" t="s">
        <v>170</v>
      </c>
      <c r="E368" s="2" t="s">
        <v>1142</v>
      </c>
      <c r="F368" s="6" t="n">
        <v>2004</v>
      </c>
      <c r="G368" s="2" t="s">
        <v>1259</v>
      </c>
      <c r="H368" s="2" t="s">
        <v>82</v>
      </c>
    </row>
    <row r="369" customFormat="false" ht="14.25" hidden="false" customHeight="false" outlineLevel="0" collapsed="false">
      <c r="B369" s="6" t="s">
        <v>1260</v>
      </c>
      <c r="C369" s="2" t="s">
        <v>1261</v>
      </c>
      <c r="D369" s="2" t="s">
        <v>1262</v>
      </c>
      <c r="E369" s="2" t="s">
        <v>1142</v>
      </c>
      <c r="F369" s="6" t="n">
        <v>2004</v>
      </c>
      <c r="G369" s="2" t="s">
        <v>1263</v>
      </c>
      <c r="H369" s="2" t="s">
        <v>50</v>
      </c>
    </row>
    <row r="370" customFormat="false" ht="14.25" hidden="false" customHeight="false" outlineLevel="0" collapsed="false">
      <c r="B370" s="7" t="s">
        <v>1264</v>
      </c>
      <c r="C370" s="1" t="s">
        <v>1265</v>
      </c>
      <c r="D370" s="1" t="s">
        <v>1266</v>
      </c>
      <c r="E370" s="1" t="s">
        <v>1142</v>
      </c>
      <c r="F370" s="7" t="n">
        <v>2005</v>
      </c>
      <c r="G370" s="1" t="s">
        <v>1267</v>
      </c>
      <c r="H370" s="1" t="s">
        <v>82</v>
      </c>
    </row>
    <row r="371" customFormat="false" ht="14.25" hidden="false" customHeight="false" outlineLevel="0" collapsed="false">
      <c r="B371" s="6" t="s">
        <v>1268</v>
      </c>
      <c r="C371" s="2" t="s">
        <v>1269</v>
      </c>
      <c r="D371" s="2" t="s">
        <v>1270</v>
      </c>
      <c r="E371" s="2" t="s">
        <v>1142</v>
      </c>
      <c r="F371" s="6" t="n">
        <v>1997</v>
      </c>
      <c r="G371" s="2" t="s">
        <v>1271</v>
      </c>
      <c r="H371" s="2" t="s">
        <v>255</v>
      </c>
    </row>
    <row r="372" customFormat="false" ht="14.25" hidden="false" customHeight="false" outlineLevel="0" collapsed="false">
      <c r="B372" s="7" t="s">
        <v>1272</v>
      </c>
      <c r="C372" s="1" t="s">
        <v>1273</v>
      </c>
      <c r="D372" s="1" t="s">
        <v>1266</v>
      </c>
      <c r="E372" s="1" t="s">
        <v>1142</v>
      </c>
      <c r="F372" s="7" t="n">
        <v>2005</v>
      </c>
      <c r="G372" s="1" t="s">
        <v>1274</v>
      </c>
      <c r="H372" s="1" t="s">
        <v>64</v>
      </c>
    </row>
    <row r="373" customFormat="false" ht="14.25" hidden="false" customHeight="false" outlineLevel="0" collapsed="false">
      <c r="B373" s="6" t="s">
        <v>1275</v>
      </c>
      <c r="C373" s="2" t="s">
        <v>1276</v>
      </c>
      <c r="D373" s="2"/>
      <c r="E373" s="2" t="s">
        <v>1142</v>
      </c>
      <c r="F373" s="6" t="n">
        <v>1999</v>
      </c>
      <c r="G373" s="2"/>
      <c r="H373" s="2" t="s">
        <v>1277</v>
      </c>
    </row>
    <row r="374" customFormat="false" ht="14.25" hidden="false" customHeight="false" outlineLevel="0" collapsed="false">
      <c r="B374" s="7" t="s">
        <v>1278</v>
      </c>
      <c r="C374" s="1" t="s">
        <v>1279</v>
      </c>
      <c r="D374" s="1" t="s">
        <v>170</v>
      </c>
      <c r="E374" s="1" t="s">
        <v>1142</v>
      </c>
      <c r="F374" s="7" t="n">
        <v>2005</v>
      </c>
      <c r="G374" s="1" t="s">
        <v>1280</v>
      </c>
      <c r="H374" s="1" t="s">
        <v>50</v>
      </c>
    </row>
    <row r="375" customFormat="false" ht="14.25" hidden="false" customHeight="false" outlineLevel="0" collapsed="false">
      <c r="B375" s="7" t="s">
        <v>1281</v>
      </c>
      <c r="C375" s="1" t="s">
        <v>1282</v>
      </c>
      <c r="E375" s="1" t="s">
        <v>1142</v>
      </c>
      <c r="F375" s="7" t="n">
        <v>2004</v>
      </c>
      <c r="G375" s="1" t="s">
        <v>1283</v>
      </c>
      <c r="H375" s="1" t="s">
        <v>82</v>
      </c>
    </row>
    <row r="376" customFormat="false" ht="14.25" hidden="false" customHeight="false" outlineLevel="0" collapsed="false">
      <c r="B376" s="7" t="s">
        <v>1284</v>
      </c>
      <c r="C376" s="1" t="s">
        <v>1285</v>
      </c>
      <c r="E376" s="1" t="s">
        <v>1142</v>
      </c>
      <c r="F376" s="7" t="n">
        <v>2006</v>
      </c>
      <c r="G376" s="1" t="s">
        <v>1286</v>
      </c>
      <c r="H376" s="1" t="s">
        <v>835</v>
      </c>
    </row>
    <row r="377" customFormat="false" ht="14.25" hidden="false" customHeight="false" outlineLevel="0" collapsed="false">
      <c r="B377" s="7" t="s">
        <v>1287</v>
      </c>
      <c r="C377" s="1" t="s">
        <v>1288</v>
      </c>
      <c r="E377" s="1" t="s">
        <v>1142</v>
      </c>
      <c r="F377" s="7" t="n">
        <v>2006</v>
      </c>
      <c r="G377" s="1" t="s">
        <v>1289</v>
      </c>
      <c r="H377" s="1" t="s">
        <v>50</v>
      </c>
    </row>
    <row r="378" customFormat="false" ht="14.25" hidden="false" customHeight="false" outlineLevel="0" collapsed="false">
      <c r="B378" s="6" t="s">
        <v>1290</v>
      </c>
      <c r="C378" s="2" t="s">
        <v>1291</v>
      </c>
      <c r="D378" s="2"/>
      <c r="E378" s="2" t="s">
        <v>1142</v>
      </c>
      <c r="F378" s="6" t="n">
        <v>1998</v>
      </c>
      <c r="G378" s="2" t="s">
        <v>1292</v>
      </c>
      <c r="H378" s="2" t="s">
        <v>1293</v>
      </c>
    </row>
    <row r="379" customFormat="false" ht="14.25" hidden="false" customHeight="false" outlineLevel="0" collapsed="false">
      <c r="B379" s="7" t="s">
        <v>1294</v>
      </c>
      <c r="C379" s="1" t="s">
        <v>1295</v>
      </c>
      <c r="E379" s="1" t="s">
        <v>1142</v>
      </c>
      <c r="F379" s="7" t="n">
        <v>2006</v>
      </c>
      <c r="G379" s="1" t="s">
        <v>1296</v>
      </c>
      <c r="H379" s="1" t="s">
        <v>50</v>
      </c>
    </row>
    <row r="380" customFormat="false" ht="14.25" hidden="false" customHeight="false" outlineLevel="0" collapsed="false">
      <c r="B380" s="7" t="s">
        <v>1297</v>
      </c>
      <c r="C380" s="1" t="s">
        <v>1298</v>
      </c>
      <c r="E380" s="1" t="s">
        <v>1142</v>
      </c>
      <c r="F380" s="7" t="n">
        <v>2005</v>
      </c>
      <c r="G380" s="1" t="s">
        <v>1299</v>
      </c>
      <c r="H380" s="1" t="s">
        <v>955</v>
      </c>
    </row>
    <row r="381" customFormat="false" ht="14.25" hidden="false" customHeight="false" outlineLevel="0" collapsed="false">
      <c r="B381" s="7" t="s">
        <v>1300</v>
      </c>
      <c r="C381" s="1" t="s">
        <v>1301</v>
      </c>
      <c r="E381" s="1" t="s">
        <v>1142</v>
      </c>
      <c r="F381" s="7" t="n">
        <v>2006</v>
      </c>
      <c r="G381" s="1" t="s">
        <v>1302</v>
      </c>
      <c r="H381" s="1" t="s">
        <v>50</v>
      </c>
    </row>
    <row r="382" customFormat="false" ht="14.25" hidden="false" customHeight="false" outlineLevel="0" collapsed="false">
      <c r="B382" s="7" t="s">
        <v>1303</v>
      </c>
      <c r="C382" s="1" t="s">
        <v>1304</v>
      </c>
      <c r="D382" s="1" t="s">
        <v>1305</v>
      </c>
      <c r="E382" s="1" t="s">
        <v>1142</v>
      </c>
      <c r="F382" s="7" t="n">
        <v>2001</v>
      </c>
      <c r="G382" s="1" t="s">
        <v>1306</v>
      </c>
      <c r="H382" s="1" t="s">
        <v>118</v>
      </c>
    </row>
    <row r="383" customFormat="false" ht="14.25" hidden="false" customHeight="false" outlineLevel="0" collapsed="false">
      <c r="B383" s="7" t="s">
        <v>1307</v>
      </c>
      <c r="C383" s="1" t="s">
        <v>1308</v>
      </c>
      <c r="E383" s="1" t="s">
        <v>1142</v>
      </c>
      <c r="F383" s="7" t="n">
        <v>2001</v>
      </c>
      <c r="G383" s="1" t="s">
        <v>1309</v>
      </c>
      <c r="H383" s="1" t="s">
        <v>1310</v>
      </c>
    </row>
    <row r="384" customFormat="false" ht="14.25" hidden="false" customHeight="false" outlineLevel="0" collapsed="false">
      <c r="B384" s="7" t="s">
        <v>1311</v>
      </c>
      <c r="C384" s="1" t="s">
        <v>1312</v>
      </c>
      <c r="D384" s="1" t="s">
        <v>1170</v>
      </c>
      <c r="E384" s="1" t="s">
        <v>1142</v>
      </c>
      <c r="F384" s="7" t="n">
        <v>2001</v>
      </c>
      <c r="G384" s="1" t="s">
        <v>1313</v>
      </c>
      <c r="H384" s="1" t="s">
        <v>704</v>
      </c>
    </row>
    <row r="385" customFormat="false" ht="14.25" hidden="false" customHeight="false" outlineLevel="0" collapsed="false">
      <c r="B385" s="7" t="s">
        <v>1314</v>
      </c>
      <c r="C385" s="1" t="s">
        <v>1315</v>
      </c>
      <c r="D385" s="1" t="s">
        <v>1175</v>
      </c>
      <c r="E385" s="1" t="s">
        <v>1142</v>
      </c>
      <c r="F385" s="7" t="n">
        <v>2003</v>
      </c>
      <c r="G385" s="1" t="s">
        <v>1316</v>
      </c>
      <c r="H385" s="1" t="s">
        <v>25</v>
      </c>
    </row>
    <row r="386" customFormat="false" ht="14.25" hidden="false" customHeight="false" outlineLevel="0" collapsed="false">
      <c r="B386" s="7" t="s">
        <v>1317</v>
      </c>
      <c r="C386" s="1" t="s">
        <v>1318</v>
      </c>
      <c r="D386" s="1" t="s">
        <v>1319</v>
      </c>
      <c r="E386" s="1" t="s">
        <v>1142</v>
      </c>
      <c r="F386" s="7" t="n">
        <v>2003</v>
      </c>
      <c r="G386" s="1" t="s">
        <v>1320</v>
      </c>
      <c r="H386" s="1" t="s">
        <v>1321</v>
      </c>
    </row>
    <row r="387" customFormat="false" ht="14.25" hidden="false" customHeight="false" outlineLevel="0" collapsed="false">
      <c r="B387" s="7" t="s">
        <v>1322</v>
      </c>
      <c r="C387" s="1" t="s">
        <v>1323</v>
      </c>
      <c r="D387" s="1" t="s">
        <v>1319</v>
      </c>
      <c r="E387" s="1" t="s">
        <v>1142</v>
      </c>
      <c r="F387" s="7" t="n">
        <v>2004</v>
      </c>
      <c r="G387" s="1" t="s">
        <v>1324</v>
      </c>
      <c r="H387" s="1" t="s">
        <v>1321</v>
      </c>
    </row>
    <row r="388" customFormat="false" ht="14.25" hidden="false" customHeight="false" outlineLevel="0" collapsed="false">
      <c r="B388" s="7" t="s">
        <v>1325</v>
      </c>
      <c r="C388" s="1" t="s">
        <v>1326</v>
      </c>
      <c r="D388" s="1" t="s">
        <v>1327</v>
      </c>
      <c r="E388" s="1" t="s">
        <v>1142</v>
      </c>
      <c r="F388" s="7" t="n">
        <v>2003</v>
      </c>
      <c r="G388" s="1" t="s">
        <v>1328</v>
      </c>
      <c r="H388" s="1" t="s">
        <v>1329</v>
      </c>
    </row>
    <row r="389" customFormat="false" ht="14.25" hidden="false" customHeight="false" outlineLevel="0" collapsed="false">
      <c r="B389" s="7" t="s">
        <v>1330</v>
      </c>
      <c r="C389" s="1" t="s">
        <v>1331</v>
      </c>
      <c r="D389" s="1" t="s">
        <v>1332</v>
      </c>
      <c r="E389" s="1" t="s">
        <v>1333</v>
      </c>
      <c r="F389" s="7" t="n">
        <v>2012</v>
      </c>
      <c r="G389" s="1" t="s">
        <v>1334</v>
      </c>
      <c r="H389" s="1" t="s">
        <v>82</v>
      </c>
    </row>
    <row r="390" customFormat="false" ht="14.25" hidden="false" customHeight="false" outlineLevel="0" collapsed="false">
      <c r="B390" s="7" t="s">
        <v>1335</v>
      </c>
      <c r="C390" s="1" t="s">
        <v>1336</v>
      </c>
      <c r="D390" s="1" t="s">
        <v>1337</v>
      </c>
      <c r="E390" s="1" t="s">
        <v>1333</v>
      </c>
      <c r="F390" s="7" t="n">
        <v>2007</v>
      </c>
      <c r="G390" s="1" t="s">
        <v>1338</v>
      </c>
      <c r="H390" s="1" t="s">
        <v>50</v>
      </c>
    </row>
    <row r="391" customFormat="false" ht="14.25" hidden="false" customHeight="false" outlineLevel="0" collapsed="false">
      <c r="B391" s="7" t="s">
        <v>1339</v>
      </c>
      <c r="C391" s="1" t="s">
        <v>1340</v>
      </c>
      <c r="D391" s="1" t="s">
        <v>1341</v>
      </c>
      <c r="E391" s="1" t="s">
        <v>1142</v>
      </c>
      <c r="F391" s="7" t="n">
        <v>2017</v>
      </c>
      <c r="G391" s="1" t="s">
        <v>1342</v>
      </c>
      <c r="H391" s="1" t="s">
        <v>1329</v>
      </c>
    </row>
    <row r="392" customFormat="false" ht="14.25" hidden="false" customHeight="false" outlineLevel="0" collapsed="false">
      <c r="B392" s="7" t="s">
        <v>1343</v>
      </c>
      <c r="C392" s="1" t="s">
        <v>1344</v>
      </c>
      <c r="E392" s="1" t="s">
        <v>1142</v>
      </c>
      <c r="F392" s="7" t="n">
        <v>2016</v>
      </c>
      <c r="G392" s="1" t="s">
        <v>1345</v>
      </c>
      <c r="H392" s="1" t="s">
        <v>1346</v>
      </c>
    </row>
    <row r="393" customFormat="false" ht="14.25" hidden="false" customHeight="false" outlineLevel="0" collapsed="false">
      <c r="B393" s="7" t="s">
        <v>1347</v>
      </c>
      <c r="C393" s="1" t="s">
        <v>1348</v>
      </c>
      <c r="E393" s="1" t="s">
        <v>1142</v>
      </c>
      <c r="F393" s="7" t="n">
        <v>2017</v>
      </c>
      <c r="G393" s="1" t="s">
        <v>1349</v>
      </c>
      <c r="H393" s="1" t="s">
        <v>50</v>
      </c>
    </row>
    <row r="394" customFormat="false" ht="14.25" hidden="false" customHeight="false" outlineLevel="0" collapsed="false">
      <c r="B394" s="7" t="s">
        <v>1350</v>
      </c>
      <c r="C394" s="1" t="s">
        <v>1351</v>
      </c>
      <c r="E394" s="1" t="s">
        <v>1142</v>
      </c>
      <c r="F394" s="7" t="n">
        <v>2016</v>
      </c>
      <c r="G394" s="1" t="s">
        <v>1229</v>
      </c>
      <c r="H394" s="1" t="s">
        <v>50</v>
      </c>
    </row>
    <row r="395" customFormat="false" ht="14.25" hidden="false" customHeight="false" outlineLevel="0" collapsed="false">
      <c r="B395" s="6" t="s">
        <v>1352</v>
      </c>
      <c r="C395" s="2" t="s">
        <v>1353</v>
      </c>
      <c r="D395" s="2" t="s">
        <v>1354</v>
      </c>
      <c r="E395" s="2" t="s">
        <v>1355</v>
      </c>
      <c r="F395" s="6" t="n">
        <v>2001</v>
      </c>
      <c r="G395" s="2" t="s">
        <v>1356</v>
      </c>
      <c r="H395" s="2" t="s">
        <v>1357</v>
      </c>
    </row>
    <row r="396" customFormat="false" ht="14.25" hidden="false" customHeight="false" outlineLevel="0" collapsed="false">
      <c r="B396" s="6" t="s">
        <v>1358</v>
      </c>
      <c r="C396" s="2" t="s">
        <v>1359</v>
      </c>
      <c r="D396" s="2" t="s">
        <v>1360</v>
      </c>
      <c r="E396" s="2" t="s">
        <v>1355</v>
      </c>
      <c r="F396" s="6" t="n">
        <v>2000</v>
      </c>
      <c r="G396" s="2" t="s">
        <v>1361</v>
      </c>
      <c r="H396" s="2" t="s">
        <v>82</v>
      </c>
    </row>
    <row r="397" customFormat="false" ht="14.25" hidden="false" customHeight="false" outlineLevel="0" collapsed="false">
      <c r="B397" s="7" t="s">
        <v>1362</v>
      </c>
      <c r="C397" s="1" t="s">
        <v>1363</v>
      </c>
      <c r="D397" s="1" t="s">
        <v>1364</v>
      </c>
      <c r="E397" s="1" t="s">
        <v>1355</v>
      </c>
      <c r="F397" s="7" t="n">
        <v>1997</v>
      </c>
      <c r="H397" s="1" t="s">
        <v>220</v>
      </c>
    </row>
    <row r="398" s="2" customFormat="true" ht="14.25" hidden="false" customHeight="false" outlineLevel="0" collapsed="false">
      <c r="A398" s="1"/>
      <c r="B398" s="6" t="s">
        <v>1365</v>
      </c>
      <c r="C398" s="2" t="s">
        <v>1366</v>
      </c>
      <c r="E398" s="2" t="s">
        <v>1355</v>
      </c>
      <c r="F398" s="6" t="n">
        <v>2004</v>
      </c>
      <c r="G398" s="2" t="s">
        <v>1367</v>
      </c>
      <c r="H398" s="2" t="s">
        <v>371</v>
      </c>
    </row>
    <row r="399" customFormat="false" ht="14.25" hidden="false" customHeight="false" outlineLevel="0" collapsed="false">
      <c r="B399" s="6" t="s">
        <v>1368</v>
      </c>
      <c r="C399" s="2" t="s">
        <v>1369</v>
      </c>
      <c r="D399" s="2" t="s">
        <v>1370</v>
      </c>
      <c r="E399" s="2" t="s">
        <v>1355</v>
      </c>
      <c r="F399" s="6" t="n">
        <v>2004</v>
      </c>
      <c r="G399" s="2" t="s">
        <v>1299</v>
      </c>
      <c r="H399" s="2" t="s">
        <v>955</v>
      </c>
    </row>
    <row r="400" customFormat="false" ht="14.25" hidden="false" customHeight="false" outlineLevel="0" collapsed="false">
      <c r="B400" s="7" t="s">
        <v>1371</v>
      </c>
      <c r="C400" s="1" t="s">
        <v>1372</v>
      </c>
      <c r="D400" s="1" t="s">
        <v>1373</v>
      </c>
      <c r="E400" s="1" t="s">
        <v>1355</v>
      </c>
      <c r="F400" s="7" t="n">
        <v>2007</v>
      </c>
      <c r="G400" s="1" t="s">
        <v>1374</v>
      </c>
      <c r="H400" s="1" t="s">
        <v>220</v>
      </c>
    </row>
    <row r="401" customFormat="false" ht="14.25" hidden="false" customHeight="false" outlineLevel="0" collapsed="false">
      <c r="B401" s="6" t="s">
        <v>1375</v>
      </c>
      <c r="C401" s="2" t="s">
        <v>1376</v>
      </c>
      <c r="D401" s="2" t="s">
        <v>1377</v>
      </c>
      <c r="E401" s="2" t="s">
        <v>1355</v>
      </c>
      <c r="F401" s="6" t="n">
        <v>2011</v>
      </c>
      <c r="G401" s="2" t="s">
        <v>1378</v>
      </c>
      <c r="H401" s="2" t="s">
        <v>220</v>
      </c>
    </row>
    <row r="402" customFormat="false" ht="14.25" hidden="false" customHeight="false" outlineLevel="0" collapsed="false">
      <c r="A402" s="2"/>
      <c r="B402" s="6" t="s">
        <v>1379</v>
      </c>
      <c r="C402" s="2" t="s">
        <v>1380</v>
      </c>
      <c r="D402" s="2" t="s">
        <v>1360</v>
      </c>
      <c r="E402" s="2" t="s">
        <v>1355</v>
      </c>
      <c r="F402" s="6" t="n">
        <v>1999</v>
      </c>
      <c r="G402" s="2" t="s">
        <v>1381</v>
      </c>
      <c r="H402" s="2" t="s">
        <v>433</v>
      </c>
    </row>
    <row r="403" customFormat="false" ht="14.25" hidden="false" customHeight="false" outlineLevel="0" collapsed="false">
      <c r="B403" s="7" t="s">
        <v>1382</v>
      </c>
      <c r="C403" s="1" t="s">
        <v>1383</v>
      </c>
      <c r="D403" s="1" t="s">
        <v>1384</v>
      </c>
      <c r="E403" s="1" t="s">
        <v>1142</v>
      </c>
      <c r="F403" s="7" t="n">
        <v>1997</v>
      </c>
      <c r="G403" s="1" t="s">
        <v>1385</v>
      </c>
      <c r="H403" s="1" t="s">
        <v>255</v>
      </c>
    </row>
    <row r="404" customFormat="false" ht="14.25" hidden="false" customHeight="false" outlineLevel="0" collapsed="false">
      <c r="B404" s="6" t="s">
        <v>1386</v>
      </c>
      <c r="C404" s="2" t="s">
        <v>1387</v>
      </c>
      <c r="D404" s="2" t="s">
        <v>1384</v>
      </c>
      <c r="E404" s="2" t="s">
        <v>1142</v>
      </c>
      <c r="F404" s="6" t="n">
        <v>1997</v>
      </c>
      <c r="G404" s="2" t="s">
        <v>1388</v>
      </c>
      <c r="H404" s="2" t="s">
        <v>704</v>
      </c>
    </row>
    <row r="405" customFormat="false" ht="14.25" hidden="false" customHeight="false" outlineLevel="0" collapsed="false">
      <c r="B405" s="6" t="s">
        <v>1389</v>
      </c>
      <c r="C405" s="2" t="s">
        <v>1390</v>
      </c>
      <c r="D405" s="2" t="s">
        <v>1391</v>
      </c>
      <c r="E405" s="2" t="s">
        <v>1142</v>
      </c>
      <c r="F405" s="6" t="n">
        <v>2001</v>
      </c>
      <c r="G405" s="2" t="s">
        <v>1392</v>
      </c>
      <c r="H405" s="2" t="s">
        <v>1329</v>
      </c>
    </row>
    <row r="406" customFormat="false" ht="14.25" hidden="false" customHeight="false" outlineLevel="0" collapsed="false">
      <c r="B406" s="7" t="s">
        <v>1393</v>
      </c>
      <c r="C406" s="1" t="s">
        <v>1394</v>
      </c>
      <c r="D406" s="1" t="s">
        <v>1395</v>
      </c>
      <c r="E406" s="1" t="s">
        <v>1142</v>
      </c>
      <c r="F406" s="7" t="n">
        <v>1997</v>
      </c>
      <c r="G406" s="1" t="s">
        <v>1396</v>
      </c>
      <c r="H406" s="1" t="s">
        <v>1397</v>
      </c>
    </row>
    <row r="407" customFormat="false" ht="14.25" hidden="false" customHeight="false" outlineLevel="0" collapsed="false">
      <c r="B407" s="7" t="s">
        <v>1398</v>
      </c>
      <c r="C407" s="1" t="s">
        <v>1399</v>
      </c>
      <c r="D407" s="1" t="s">
        <v>1400</v>
      </c>
      <c r="E407" s="1" t="s">
        <v>1401</v>
      </c>
      <c r="F407" s="7" t="n">
        <v>2004</v>
      </c>
      <c r="G407" s="1" t="s">
        <v>1402</v>
      </c>
      <c r="H407" s="1" t="s">
        <v>50</v>
      </c>
    </row>
    <row r="408" customFormat="false" ht="14.25" hidden="false" customHeight="false" outlineLevel="0" collapsed="false">
      <c r="B408" s="7" t="s">
        <v>1403</v>
      </c>
      <c r="C408" s="1" t="s">
        <v>1404</v>
      </c>
      <c r="D408" s="1" t="s">
        <v>1400</v>
      </c>
      <c r="E408" s="1" t="s">
        <v>1401</v>
      </c>
      <c r="F408" s="7" t="n">
        <v>2004</v>
      </c>
      <c r="G408" s="1" t="s">
        <v>1405</v>
      </c>
      <c r="H408" s="1" t="s">
        <v>82</v>
      </c>
    </row>
    <row r="409" customFormat="false" ht="14.25" hidden="false" customHeight="false" outlineLevel="0" collapsed="false">
      <c r="B409" s="7" t="s">
        <v>1406</v>
      </c>
      <c r="C409" s="1" t="s">
        <v>1407</v>
      </c>
      <c r="D409" s="1" t="s">
        <v>1400</v>
      </c>
      <c r="E409" s="1" t="s">
        <v>1401</v>
      </c>
      <c r="F409" s="7" t="n">
        <v>2008</v>
      </c>
      <c r="H409" s="1" t="s">
        <v>1408</v>
      </c>
    </row>
    <row r="410" customFormat="false" ht="14.25" hidden="false" customHeight="false" outlineLevel="0" collapsed="false">
      <c r="B410" s="7" t="s">
        <v>1409</v>
      </c>
      <c r="C410" s="1" t="s">
        <v>1410</v>
      </c>
      <c r="D410" s="1" t="s">
        <v>1411</v>
      </c>
      <c r="E410" s="1" t="s">
        <v>1401</v>
      </c>
      <c r="F410" s="7" t="n">
        <v>2016</v>
      </c>
      <c r="G410" s="1" t="s">
        <v>1412</v>
      </c>
      <c r="H410" s="1" t="s">
        <v>50</v>
      </c>
    </row>
    <row r="411" customFormat="false" ht="14.25" hidden="false" customHeight="false" outlineLevel="0" collapsed="false">
      <c r="B411" s="6" t="s">
        <v>1413</v>
      </c>
      <c r="C411" s="2" t="s">
        <v>1414</v>
      </c>
      <c r="D411" s="2" t="s">
        <v>1415</v>
      </c>
      <c r="E411" s="2" t="s">
        <v>1401</v>
      </c>
      <c r="F411" s="6" t="n">
        <v>2000</v>
      </c>
      <c r="G411" s="2" t="s">
        <v>1416</v>
      </c>
      <c r="H411" s="2" t="s">
        <v>1417</v>
      </c>
    </row>
    <row r="412" customFormat="false" ht="14.25" hidden="false" customHeight="false" outlineLevel="0" collapsed="false">
      <c r="B412" s="6" t="s">
        <v>1418</v>
      </c>
      <c r="C412" s="2" t="s">
        <v>1419</v>
      </c>
      <c r="D412" s="2" t="s">
        <v>1415</v>
      </c>
      <c r="E412" s="2" t="s">
        <v>1401</v>
      </c>
      <c r="F412" s="6" t="n">
        <v>1997</v>
      </c>
      <c r="G412" s="2"/>
      <c r="H412" s="2" t="s">
        <v>1417</v>
      </c>
    </row>
    <row r="413" customFormat="false" ht="14.25" hidden="false" customHeight="false" outlineLevel="0" collapsed="false">
      <c r="B413" s="6" t="s">
        <v>1420</v>
      </c>
      <c r="C413" s="2" t="s">
        <v>1421</v>
      </c>
      <c r="D413" s="2" t="s">
        <v>1415</v>
      </c>
      <c r="E413" s="2" t="s">
        <v>1401</v>
      </c>
      <c r="F413" s="6" t="n">
        <v>1997</v>
      </c>
      <c r="G413" s="2" t="s">
        <v>1422</v>
      </c>
      <c r="H413" s="2" t="s">
        <v>1417</v>
      </c>
    </row>
    <row r="414" customFormat="false" ht="14.25" hidden="false" customHeight="false" outlineLevel="0" collapsed="false">
      <c r="B414" s="7" t="s">
        <v>1423</v>
      </c>
      <c r="C414" s="1" t="s">
        <v>1424</v>
      </c>
      <c r="D414" s="1" t="s">
        <v>1425</v>
      </c>
      <c r="E414" s="1" t="s">
        <v>1401</v>
      </c>
      <c r="F414" s="7" t="n">
        <v>2005</v>
      </c>
      <c r="G414" s="1" t="s">
        <v>1426</v>
      </c>
      <c r="H414" s="1" t="s">
        <v>303</v>
      </c>
    </row>
    <row r="415" customFormat="false" ht="14.25" hidden="false" customHeight="false" outlineLevel="0" collapsed="false">
      <c r="B415" s="6" t="s">
        <v>1427</v>
      </c>
      <c r="C415" s="2" t="s">
        <v>1428</v>
      </c>
      <c r="D415" s="2" t="s">
        <v>1429</v>
      </c>
      <c r="E415" s="2" t="s">
        <v>1401</v>
      </c>
      <c r="F415" s="6" t="n">
        <v>2003</v>
      </c>
      <c r="G415" s="2"/>
      <c r="H415" s="2" t="s">
        <v>1417</v>
      </c>
    </row>
    <row r="416" customFormat="false" ht="14.25" hidden="false" customHeight="false" outlineLevel="0" collapsed="false">
      <c r="B416" s="6" t="s">
        <v>1430</v>
      </c>
      <c r="C416" s="2" t="s">
        <v>1431</v>
      </c>
      <c r="D416" s="2" t="s">
        <v>1432</v>
      </c>
      <c r="E416" s="2" t="s">
        <v>1401</v>
      </c>
      <c r="F416" s="6" t="n">
        <v>2000</v>
      </c>
      <c r="G416" s="2"/>
      <c r="H416" s="2" t="s">
        <v>1417</v>
      </c>
    </row>
    <row r="417" customFormat="false" ht="14.25" hidden="false" customHeight="false" outlineLevel="0" collapsed="false">
      <c r="B417" s="7" t="s">
        <v>1433</v>
      </c>
      <c r="C417" s="1" t="s">
        <v>1434</v>
      </c>
      <c r="D417" s="1" t="s">
        <v>1435</v>
      </c>
      <c r="E417" s="2" t="s">
        <v>1401</v>
      </c>
      <c r="F417" s="1" t="n">
        <v>2004</v>
      </c>
      <c r="G417" s="1" t="s">
        <v>963</v>
      </c>
      <c r="H417" s="1" t="s">
        <v>963</v>
      </c>
    </row>
    <row r="418" customFormat="false" ht="14.25" hidden="false" customHeight="false" outlineLevel="0" collapsed="false">
      <c r="B418" s="6" t="s">
        <v>1436</v>
      </c>
      <c r="C418" s="2" t="s">
        <v>1437</v>
      </c>
      <c r="D418" s="2" t="s">
        <v>1438</v>
      </c>
      <c r="E418" s="2" t="s">
        <v>1401</v>
      </c>
      <c r="F418" s="6" t="n">
        <v>1999</v>
      </c>
      <c r="G418" s="2" t="s">
        <v>1422</v>
      </c>
      <c r="H418" s="2" t="s">
        <v>118</v>
      </c>
    </row>
    <row r="419" customFormat="false" ht="14.25" hidden="false" customHeight="false" outlineLevel="0" collapsed="false">
      <c r="B419" s="6" t="s">
        <v>1439</v>
      </c>
      <c r="C419" s="2" t="s">
        <v>1440</v>
      </c>
      <c r="D419" s="2" t="s">
        <v>1441</v>
      </c>
      <c r="E419" s="2" t="s">
        <v>1401</v>
      </c>
      <c r="F419" s="6" t="n">
        <v>2001</v>
      </c>
      <c r="G419" s="2" t="s">
        <v>1187</v>
      </c>
      <c r="H419" s="2" t="s">
        <v>1442</v>
      </c>
    </row>
    <row r="420" customFormat="false" ht="14.25" hidden="false" customHeight="false" outlineLevel="0" collapsed="false">
      <c r="B420" s="6" t="s">
        <v>1443</v>
      </c>
      <c r="C420" s="2" t="s">
        <v>1444</v>
      </c>
      <c r="D420" s="2" t="s">
        <v>1445</v>
      </c>
      <c r="E420" s="2" t="s">
        <v>1401</v>
      </c>
      <c r="F420" s="6" t="n">
        <v>2004</v>
      </c>
      <c r="G420" s="2" t="s">
        <v>1446</v>
      </c>
      <c r="H420" s="2" t="s">
        <v>50</v>
      </c>
    </row>
    <row r="421" customFormat="false" ht="14.25" hidden="false" customHeight="false" outlineLevel="0" collapsed="false">
      <c r="B421" s="6" t="s">
        <v>1447</v>
      </c>
      <c r="C421" s="2" t="s">
        <v>1448</v>
      </c>
      <c r="D421" s="2" t="s">
        <v>1449</v>
      </c>
      <c r="E421" s="2" t="s">
        <v>1401</v>
      </c>
      <c r="F421" s="6" t="n">
        <v>1997</v>
      </c>
      <c r="G421" s="2" t="s">
        <v>1450</v>
      </c>
      <c r="H421" s="2" t="s">
        <v>118</v>
      </c>
    </row>
    <row r="422" customFormat="false" ht="14.25" hidden="false" customHeight="false" outlineLevel="0" collapsed="false">
      <c r="B422" s="7" t="s">
        <v>1451</v>
      </c>
      <c r="C422" s="1" t="s">
        <v>1452</v>
      </c>
      <c r="D422" s="1" t="s">
        <v>1445</v>
      </c>
      <c r="E422" s="1" t="s">
        <v>1401</v>
      </c>
      <c r="F422" s="7" t="n">
        <v>2006</v>
      </c>
      <c r="G422" s="1" t="s">
        <v>1453</v>
      </c>
      <c r="H422" s="1" t="s">
        <v>50</v>
      </c>
    </row>
    <row r="423" customFormat="false" ht="14.25" hidden="false" customHeight="false" outlineLevel="0" collapsed="false">
      <c r="B423" s="7" t="s">
        <v>1454</v>
      </c>
      <c r="C423" s="1" t="s">
        <v>1455</v>
      </c>
      <c r="D423" s="1" t="s">
        <v>1445</v>
      </c>
      <c r="E423" s="1" t="s">
        <v>1401</v>
      </c>
      <c r="F423" s="7" t="n">
        <v>2005</v>
      </c>
      <c r="G423" s="1" t="s">
        <v>1456</v>
      </c>
      <c r="H423" s="1" t="s">
        <v>50</v>
      </c>
    </row>
    <row r="424" customFormat="false" ht="14.25" hidden="false" customHeight="false" outlineLevel="0" collapsed="false">
      <c r="B424" s="7" t="s">
        <v>1457</v>
      </c>
      <c r="C424" s="1" t="s">
        <v>1458</v>
      </c>
      <c r="D424" s="1" t="s">
        <v>1445</v>
      </c>
      <c r="E424" s="1" t="s">
        <v>1401</v>
      </c>
      <c r="F424" s="7" t="n">
        <v>2006</v>
      </c>
      <c r="G424" s="1" t="s">
        <v>1459</v>
      </c>
      <c r="H424" s="1" t="s">
        <v>50</v>
      </c>
    </row>
    <row r="425" customFormat="false" ht="14.25" hidden="false" customHeight="false" outlineLevel="0" collapsed="false">
      <c r="B425" s="6" t="s">
        <v>1460</v>
      </c>
      <c r="C425" s="2" t="s">
        <v>1461</v>
      </c>
      <c r="D425" s="2" t="s">
        <v>1438</v>
      </c>
      <c r="E425" s="2" t="s">
        <v>1401</v>
      </c>
      <c r="F425" s="6" t="n">
        <v>1999</v>
      </c>
      <c r="G425" s="2"/>
      <c r="H425" s="2" t="s">
        <v>220</v>
      </c>
    </row>
    <row r="426" customFormat="false" ht="14.25" hidden="false" customHeight="false" outlineLevel="0" collapsed="false">
      <c r="B426" s="6" t="s">
        <v>1462</v>
      </c>
      <c r="C426" s="2" t="s">
        <v>1463</v>
      </c>
      <c r="D426" s="2" t="s">
        <v>1464</v>
      </c>
      <c r="E426" s="2" t="s">
        <v>1401</v>
      </c>
      <c r="F426" s="6" t="n">
        <v>1997</v>
      </c>
      <c r="G426" s="2"/>
      <c r="H426" s="2" t="s">
        <v>220</v>
      </c>
    </row>
    <row r="427" customFormat="false" ht="14.25" hidden="false" customHeight="false" outlineLevel="0" collapsed="false">
      <c r="B427" s="7" t="s">
        <v>1465</v>
      </c>
      <c r="C427" s="1" t="s">
        <v>1466</v>
      </c>
      <c r="D427" s="1" t="s">
        <v>1467</v>
      </c>
      <c r="E427" s="1" t="s">
        <v>1401</v>
      </c>
      <c r="F427" s="7" t="n">
        <v>2007</v>
      </c>
      <c r="G427" s="1" t="s">
        <v>1468</v>
      </c>
      <c r="H427" s="1" t="s">
        <v>50</v>
      </c>
    </row>
    <row r="428" customFormat="false" ht="14.25" hidden="false" customHeight="false" outlineLevel="0" collapsed="false">
      <c r="B428" s="7" t="s">
        <v>1469</v>
      </c>
      <c r="C428" s="1" t="s">
        <v>1470</v>
      </c>
      <c r="D428" s="1" t="s">
        <v>1467</v>
      </c>
      <c r="E428" s="1" t="s">
        <v>1401</v>
      </c>
      <c r="F428" s="7" t="n">
        <v>2007</v>
      </c>
      <c r="G428" s="1" t="s">
        <v>1471</v>
      </c>
      <c r="H428" s="1" t="s">
        <v>220</v>
      </c>
    </row>
    <row r="429" customFormat="false" ht="14.25" hidden="false" customHeight="false" outlineLevel="0" collapsed="false">
      <c r="B429" s="7" t="s">
        <v>1472</v>
      </c>
      <c r="C429" s="1" t="s">
        <v>1473</v>
      </c>
      <c r="D429" s="1" t="s">
        <v>1474</v>
      </c>
      <c r="E429" s="1" t="s">
        <v>1401</v>
      </c>
      <c r="F429" s="7" t="n">
        <v>2010</v>
      </c>
      <c r="G429" s="1" t="s">
        <v>1475</v>
      </c>
      <c r="H429" s="1" t="s">
        <v>82</v>
      </c>
    </row>
    <row r="430" customFormat="false" ht="14.25" hidden="false" customHeight="false" outlineLevel="0" collapsed="false">
      <c r="B430" s="7" t="s">
        <v>1476</v>
      </c>
      <c r="C430" s="1" t="s">
        <v>1477</v>
      </c>
      <c r="D430" s="1" t="s">
        <v>1467</v>
      </c>
      <c r="E430" s="1" t="s">
        <v>1401</v>
      </c>
      <c r="F430" s="7" t="n">
        <v>2007</v>
      </c>
      <c r="G430" s="1" t="s">
        <v>1478</v>
      </c>
      <c r="H430" s="1" t="s">
        <v>1479</v>
      </c>
    </row>
    <row r="431" customFormat="false" ht="14.25" hidden="false" customHeight="false" outlineLevel="0" collapsed="false">
      <c r="B431" s="7" t="s">
        <v>1480</v>
      </c>
      <c r="C431" s="1" t="s">
        <v>1481</v>
      </c>
      <c r="D431" s="1" t="s">
        <v>1482</v>
      </c>
      <c r="E431" s="1" t="s">
        <v>1401</v>
      </c>
      <c r="F431" s="7" t="n">
        <v>2013</v>
      </c>
      <c r="G431" s="1" t="s">
        <v>1309</v>
      </c>
      <c r="H431" s="1" t="s">
        <v>188</v>
      </c>
    </row>
    <row r="432" customFormat="false" ht="14.25" hidden="false" customHeight="false" outlineLevel="0" collapsed="false">
      <c r="B432" s="7" t="s">
        <v>1483</v>
      </c>
      <c r="C432" s="1" t="s">
        <v>1484</v>
      </c>
      <c r="D432" s="1" t="s">
        <v>1474</v>
      </c>
      <c r="E432" s="1" t="s">
        <v>1401</v>
      </c>
      <c r="F432" s="7" t="n">
        <v>2010</v>
      </c>
      <c r="G432" s="1" t="s">
        <v>1309</v>
      </c>
      <c r="H432" s="1" t="s">
        <v>188</v>
      </c>
    </row>
    <row r="433" customFormat="false" ht="14.25" hidden="false" customHeight="false" outlineLevel="0" collapsed="false">
      <c r="B433" s="7" t="s">
        <v>1485</v>
      </c>
      <c r="C433" s="1" t="s">
        <v>1486</v>
      </c>
      <c r="D433" s="1" t="s">
        <v>1487</v>
      </c>
      <c r="E433" s="1" t="s">
        <v>1401</v>
      </c>
      <c r="F433" s="7" t="n">
        <v>2016</v>
      </c>
      <c r="G433" s="1" t="s">
        <v>1488</v>
      </c>
      <c r="H433" s="1" t="s">
        <v>50</v>
      </c>
    </row>
    <row r="434" customFormat="false" ht="14.25" hidden="false" customHeight="false" outlineLevel="0" collapsed="false">
      <c r="B434" s="7" t="s">
        <v>1489</v>
      </c>
      <c r="C434" s="1" t="s">
        <v>1490</v>
      </c>
      <c r="F434" s="7" t="n">
        <v>2013</v>
      </c>
      <c r="G434" s="1" t="s">
        <v>1491</v>
      </c>
      <c r="H434" s="1" t="s">
        <v>104</v>
      </c>
    </row>
    <row r="435" customFormat="false" ht="14.25" hidden="false" customHeight="false" outlineLevel="0" collapsed="false">
      <c r="B435" s="7" t="s">
        <v>1492</v>
      </c>
      <c r="C435" s="1" t="s">
        <v>1493</v>
      </c>
      <c r="F435" s="7" t="n">
        <v>2010</v>
      </c>
      <c r="G435" s="1" t="s">
        <v>1309</v>
      </c>
      <c r="H435" s="1" t="s">
        <v>50</v>
      </c>
    </row>
    <row r="436" customFormat="false" ht="14.25" hidden="false" customHeight="false" outlineLevel="0" collapsed="false">
      <c r="B436" s="7" t="s">
        <v>1494</v>
      </c>
      <c r="C436" s="1" t="s">
        <v>1495</v>
      </c>
      <c r="F436" s="7" t="n">
        <v>2013</v>
      </c>
      <c r="G436" s="1" t="s">
        <v>1309</v>
      </c>
      <c r="H436" s="1" t="s">
        <v>50</v>
      </c>
    </row>
    <row r="437" customFormat="false" ht="14.25" hidden="false" customHeight="false" outlineLevel="0" collapsed="false">
      <c r="B437" s="7" t="s">
        <v>1496</v>
      </c>
      <c r="C437" s="1" t="s">
        <v>1497</v>
      </c>
      <c r="F437" s="7"/>
    </row>
    <row r="438" customFormat="false" ht="14.25" hidden="false" customHeight="false" outlineLevel="0" collapsed="false">
      <c r="B438" s="7" t="s">
        <v>1498</v>
      </c>
      <c r="C438" s="1" t="s">
        <v>1499</v>
      </c>
      <c r="F438" s="7"/>
    </row>
    <row r="439" customFormat="false" ht="14.25" hidden="false" customHeight="false" outlineLevel="0" collapsed="false">
      <c r="B439" s="6" t="s">
        <v>1500</v>
      </c>
      <c r="C439" s="2" t="s">
        <v>1501</v>
      </c>
      <c r="D439" s="2" t="s">
        <v>1502</v>
      </c>
      <c r="E439" s="2" t="s">
        <v>1401</v>
      </c>
      <c r="F439" s="6" t="n">
        <v>2003</v>
      </c>
      <c r="G439" s="2" t="s">
        <v>1503</v>
      </c>
      <c r="H439" s="2" t="s">
        <v>1504</v>
      </c>
    </row>
    <row r="440" customFormat="false" ht="14.25" hidden="false" customHeight="false" outlineLevel="0" collapsed="false">
      <c r="B440" s="6" t="s">
        <v>1505</v>
      </c>
      <c r="C440" s="2" t="s">
        <v>1506</v>
      </c>
      <c r="D440" s="2" t="s">
        <v>1502</v>
      </c>
      <c r="E440" s="2" t="s">
        <v>1401</v>
      </c>
      <c r="F440" s="6" t="n">
        <v>1999</v>
      </c>
      <c r="G440" s="2" t="s">
        <v>1507</v>
      </c>
      <c r="H440" s="2" t="s">
        <v>244</v>
      </c>
    </row>
    <row r="441" customFormat="false" ht="14.25" hidden="false" customHeight="false" outlineLevel="0" collapsed="false">
      <c r="B441" s="6" t="s">
        <v>1508</v>
      </c>
      <c r="C441" s="2" t="s">
        <v>1509</v>
      </c>
      <c r="D441" s="2" t="s">
        <v>1510</v>
      </c>
      <c r="E441" s="2" t="s">
        <v>1401</v>
      </c>
      <c r="F441" s="6" t="n">
        <v>2001</v>
      </c>
      <c r="G441" s="2" t="s">
        <v>1511</v>
      </c>
      <c r="H441" s="2" t="s">
        <v>255</v>
      </c>
    </row>
    <row r="442" customFormat="false" ht="14.25" hidden="false" customHeight="false" outlineLevel="0" collapsed="false">
      <c r="B442" s="7" t="s">
        <v>1512</v>
      </c>
      <c r="C442" s="1" t="s">
        <v>1513</v>
      </c>
      <c r="D442" s="1" t="s">
        <v>1514</v>
      </c>
      <c r="E442" s="1" t="s">
        <v>1401</v>
      </c>
      <c r="F442" s="7" t="n">
        <v>1997</v>
      </c>
      <c r="G442" s="1" t="s">
        <v>1515</v>
      </c>
      <c r="H442" s="1" t="s">
        <v>244</v>
      </c>
    </row>
    <row r="443" customFormat="false" ht="14.25" hidden="false" customHeight="false" outlineLevel="0" collapsed="false">
      <c r="B443" s="7" t="s">
        <v>1516</v>
      </c>
      <c r="C443" s="1" t="s">
        <v>1517</v>
      </c>
      <c r="D443" s="1" t="s">
        <v>1175</v>
      </c>
      <c r="E443" s="1" t="s">
        <v>1518</v>
      </c>
      <c r="F443" s="7" t="n">
        <v>1997</v>
      </c>
      <c r="G443" s="1" t="s">
        <v>1519</v>
      </c>
      <c r="H443" s="1" t="s">
        <v>704</v>
      </c>
    </row>
    <row r="444" customFormat="false" ht="14.25" hidden="false" customHeight="false" outlineLevel="0" collapsed="false">
      <c r="B444" s="7" t="s">
        <v>1520</v>
      </c>
      <c r="C444" s="1" t="s">
        <v>1521</v>
      </c>
      <c r="D444" s="1" t="s">
        <v>1175</v>
      </c>
      <c r="E444" s="1" t="s">
        <v>1518</v>
      </c>
      <c r="F444" s="7" t="n">
        <v>1998</v>
      </c>
      <c r="G444" s="1" t="s">
        <v>1522</v>
      </c>
      <c r="H444" s="1" t="s">
        <v>64</v>
      </c>
    </row>
    <row r="445" customFormat="false" ht="14.25" hidden="false" customHeight="false" outlineLevel="0" collapsed="false">
      <c r="B445" s="7" t="s">
        <v>1523</v>
      </c>
      <c r="C445" s="1" t="s">
        <v>1524</v>
      </c>
      <c r="D445" s="1" t="s">
        <v>1525</v>
      </c>
      <c r="E445" s="1" t="s">
        <v>1518</v>
      </c>
      <c r="F445" s="7" t="n">
        <v>1999</v>
      </c>
      <c r="G445" s="1" t="s">
        <v>1526</v>
      </c>
      <c r="H445" s="1" t="s">
        <v>1527</v>
      </c>
    </row>
    <row r="446" customFormat="false" ht="14.25" hidden="false" customHeight="false" outlineLevel="0" collapsed="false">
      <c r="B446" s="7" t="s">
        <v>1528</v>
      </c>
      <c r="C446" s="1" t="s">
        <v>1529</v>
      </c>
      <c r="D446" s="1" t="s">
        <v>1175</v>
      </c>
      <c r="E446" s="1" t="s">
        <v>1518</v>
      </c>
      <c r="F446" s="7" t="n">
        <v>2000</v>
      </c>
      <c r="G446" s="1" t="s">
        <v>1530</v>
      </c>
      <c r="H446" s="1" t="s">
        <v>157</v>
      </c>
    </row>
    <row r="447" customFormat="false" ht="14.25" hidden="false" customHeight="false" outlineLevel="0" collapsed="false">
      <c r="B447" s="7" t="s">
        <v>1531</v>
      </c>
      <c r="C447" s="2" t="s">
        <v>1532</v>
      </c>
      <c r="D447" s="2" t="s">
        <v>1533</v>
      </c>
      <c r="E447" s="1" t="s">
        <v>1518</v>
      </c>
      <c r="F447" s="6" t="n">
        <v>2000</v>
      </c>
      <c r="G447" s="2" t="s">
        <v>1187</v>
      </c>
      <c r="H447" s="2" t="s">
        <v>1534</v>
      </c>
    </row>
    <row r="448" customFormat="false" ht="14.25" hidden="false" customHeight="false" outlineLevel="0" collapsed="false">
      <c r="B448" s="6" t="s">
        <v>1535</v>
      </c>
      <c r="C448" s="2" t="s">
        <v>1536</v>
      </c>
      <c r="D448" s="2" t="s">
        <v>1537</v>
      </c>
      <c r="E448" s="2" t="s">
        <v>1518</v>
      </c>
      <c r="F448" s="6" t="n">
        <v>2000</v>
      </c>
      <c r="G448" s="2" t="s">
        <v>1538</v>
      </c>
      <c r="H448" s="2" t="s">
        <v>244</v>
      </c>
    </row>
    <row r="449" customFormat="false" ht="14.25" hidden="false" customHeight="false" outlineLevel="0" collapsed="false">
      <c r="B449" s="6" t="s">
        <v>1539</v>
      </c>
      <c r="C449" s="2" t="s">
        <v>1540</v>
      </c>
      <c r="D449" s="2" t="s">
        <v>1537</v>
      </c>
      <c r="E449" s="2" t="s">
        <v>1518</v>
      </c>
      <c r="F449" s="6" t="n">
        <v>2002</v>
      </c>
      <c r="G449" s="2" t="s">
        <v>1541</v>
      </c>
      <c r="H449" s="2" t="s">
        <v>244</v>
      </c>
    </row>
    <row r="450" customFormat="false" ht="14.25" hidden="false" customHeight="false" outlineLevel="0" collapsed="false">
      <c r="B450" s="6" t="s">
        <v>1542</v>
      </c>
      <c r="C450" s="2" t="s">
        <v>1543</v>
      </c>
      <c r="D450" s="2" t="s">
        <v>1544</v>
      </c>
      <c r="E450" s="2" t="s">
        <v>1518</v>
      </c>
      <c r="F450" s="6" t="n">
        <v>2000</v>
      </c>
      <c r="G450" s="2" t="s">
        <v>1545</v>
      </c>
      <c r="H450" s="2" t="s">
        <v>534</v>
      </c>
    </row>
    <row r="451" customFormat="false" ht="14.25" hidden="false" customHeight="false" outlineLevel="0" collapsed="false">
      <c r="B451" s="6" t="s">
        <v>1546</v>
      </c>
      <c r="C451" s="2" t="s">
        <v>1547</v>
      </c>
      <c r="D451" s="2" t="s">
        <v>1548</v>
      </c>
      <c r="E451" s="2" t="s">
        <v>1518</v>
      </c>
      <c r="F451" s="6" t="n">
        <v>2002</v>
      </c>
      <c r="G451" s="2" t="s">
        <v>1549</v>
      </c>
      <c r="H451" s="2" t="s">
        <v>17</v>
      </c>
    </row>
    <row r="452" customFormat="false" ht="14.25" hidden="false" customHeight="false" outlineLevel="0" collapsed="false">
      <c r="B452" s="6" t="s">
        <v>1550</v>
      </c>
      <c r="C452" s="2" t="s">
        <v>1551</v>
      </c>
      <c r="D452" s="2"/>
      <c r="E452" s="2" t="s">
        <v>1518</v>
      </c>
      <c r="F452" s="6" t="n">
        <v>2001</v>
      </c>
      <c r="G452" s="2" t="s">
        <v>1552</v>
      </c>
      <c r="H452" s="2" t="s">
        <v>82</v>
      </c>
    </row>
    <row r="453" customFormat="false" ht="14.25" hidden="false" customHeight="false" outlineLevel="0" collapsed="false">
      <c r="B453" s="6" t="s">
        <v>1553</v>
      </c>
      <c r="C453" s="2" t="s">
        <v>1551</v>
      </c>
      <c r="D453" s="2"/>
      <c r="E453" s="2" t="s">
        <v>1518</v>
      </c>
      <c r="F453" s="6" t="n">
        <v>2001</v>
      </c>
      <c r="G453" s="2" t="s">
        <v>1552</v>
      </c>
      <c r="H453" s="2" t="s">
        <v>82</v>
      </c>
    </row>
    <row r="454" customFormat="false" ht="14.25" hidden="false" customHeight="false" outlineLevel="0" collapsed="false">
      <c r="B454" s="7" t="s">
        <v>1554</v>
      </c>
      <c r="C454" s="2" t="s">
        <v>1555</v>
      </c>
      <c r="D454" s="2" t="s">
        <v>1175</v>
      </c>
      <c r="E454" s="2" t="s">
        <v>1518</v>
      </c>
      <c r="F454" s="6" t="n">
        <v>1999</v>
      </c>
      <c r="G454" s="2" t="s">
        <v>1556</v>
      </c>
      <c r="H454" s="2" t="s">
        <v>64</v>
      </c>
    </row>
    <row r="455" customFormat="false" ht="14.25" hidden="false" customHeight="false" outlineLevel="0" collapsed="false">
      <c r="B455" s="7" t="s">
        <v>1557</v>
      </c>
      <c r="C455" s="2" t="s">
        <v>1558</v>
      </c>
      <c r="D455" s="2" t="s">
        <v>1559</v>
      </c>
      <c r="E455" s="2" t="s">
        <v>1518</v>
      </c>
      <c r="F455" s="6" t="n">
        <v>2000</v>
      </c>
      <c r="G455" s="2" t="s">
        <v>1560</v>
      </c>
      <c r="H455" s="2" t="s">
        <v>82</v>
      </c>
    </row>
    <row r="456" customFormat="false" ht="14.25" hidden="false" customHeight="false" outlineLevel="0" collapsed="false">
      <c r="B456" s="7" t="s">
        <v>1561</v>
      </c>
      <c r="C456" s="2" t="s">
        <v>1562</v>
      </c>
      <c r="D456" s="2" t="s">
        <v>1563</v>
      </c>
      <c r="E456" s="2" t="s">
        <v>1518</v>
      </c>
      <c r="F456" s="6" t="n">
        <v>2000</v>
      </c>
      <c r="G456" s="2" t="s">
        <v>1564</v>
      </c>
      <c r="H456" s="2" t="s">
        <v>1565</v>
      </c>
    </row>
    <row r="457" customFormat="false" ht="14.25" hidden="false" customHeight="false" outlineLevel="0" collapsed="false">
      <c r="B457" s="7" t="s">
        <v>1566</v>
      </c>
      <c r="C457" s="2" t="s">
        <v>1567</v>
      </c>
      <c r="D457" s="2" t="s">
        <v>1568</v>
      </c>
      <c r="E457" s="2" t="s">
        <v>1518</v>
      </c>
      <c r="F457" s="6" t="n">
        <v>2000</v>
      </c>
      <c r="G457" s="2" t="s">
        <v>1187</v>
      </c>
      <c r="H457" s="2" t="s">
        <v>1565</v>
      </c>
    </row>
    <row r="458" customFormat="false" ht="14.25" hidden="false" customHeight="false" outlineLevel="0" collapsed="false">
      <c r="B458" s="7" t="s">
        <v>1569</v>
      </c>
      <c r="C458" s="2" t="s">
        <v>1570</v>
      </c>
      <c r="D458" s="2" t="s">
        <v>1563</v>
      </c>
      <c r="E458" s="2" t="s">
        <v>1518</v>
      </c>
      <c r="F458" s="6" t="n">
        <v>2001</v>
      </c>
      <c r="G458" s="2" t="s">
        <v>1571</v>
      </c>
      <c r="H458" s="2" t="s">
        <v>1527</v>
      </c>
    </row>
    <row r="459" customFormat="false" ht="14.25" hidden="false" customHeight="false" outlineLevel="0" collapsed="false">
      <c r="B459" s="7" t="s">
        <v>1572</v>
      </c>
      <c r="C459" s="2" t="s">
        <v>1573</v>
      </c>
      <c r="D459" s="2" t="s">
        <v>1574</v>
      </c>
      <c r="E459" s="2" t="s">
        <v>1518</v>
      </c>
      <c r="F459" s="6" t="n">
        <v>2000</v>
      </c>
      <c r="G459" s="2" t="s">
        <v>1575</v>
      </c>
      <c r="H459" s="1" t="s">
        <v>1172</v>
      </c>
    </row>
    <row r="460" customFormat="false" ht="14.25" hidden="false" customHeight="false" outlineLevel="0" collapsed="false">
      <c r="B460" s="7" t="s">
        <v>1576</v>
      </c>
      <c r="C460" s="2" t="s">
        <v>1577</v>
      </c>
      <c r="D460" s="2" t="s">
        <v>1578</v>
      </c>
      <c r="E460" s="2" t="s">
        <v>1518</v>
      </c>
      <c r="F460" s="6" t="n">
        <v>2001</v>
      </c>
      <c r="G460" s="2" t="s">
        <v>1579</v>
      </c>
      <c r="H460" s="2" t="s">
        <v>244</v>
      </c>
    </row>
    <row r="461" customFormat="false" ht="14.25" hidden="false" customHeight="false" outlineLevel="0" collapsed="false">
      <c r="B461" s="7" t="s">
        <v>1580</v>
      </c>
      <c r="C461" s="1" t="s">
        <v>1581</v>
      </c>
      <c r="E461" s="2" t="s">
        <v>1518</v>
      </c>
      <c r="F461" s="7" t="n">
        <v>1999</v>
      </c>
      <c r="G461" s="1" t="s">
        <v>1582</v>
      </c>
      <c r="H461" s="1" t="s">
        <v>1583</v>
      </c>
    </row>
    <row r="462" customFormat="false" ht="14.25" hidden="false" customHeight="false" outlineLevel="0" collapsed="false">
      <c r="B462" s="6" t="s">
        <v>1584</v>
      </c>
      <c r="C462" s="2" t="s">
        <v>1585</v>
      </c>
      <c r="D462" s="2"/>
      <c r="E462" s="2" t="s">
        <v>1518</v>
      </c>
      <c r="F462" s="6" t="n">
        <v>2000</v>
      </c>
      <c r="G462" s="2" t="s">
        <v>1586</v>
      </c>
      <c r="H462" s="2" t="s">
        <v>17</v>
      </c>
    </row>
    <row r="463" customFormat="false" ht="14.25" hidden="false" customHeight="false" outlineLevel="0" collapsed="false">
      <c r="B463" s="6" t="s">
        <v>1587</v>
      </c>
      <c r="C463" s="2" t="s">
        <v>1588</v>
      </c>
      <c r="D463" s="2"/>
      <c r="E463" s="2" t="s">
        <v>1518</v>
      </c>
      <c r="F463" s="6" t="n">
        <v>2001</v>
      </c>
      <c r="G463" s="2" t="s">
        <v>1589</v>
      </c>
      <c r="H463" s="2" t="s">
        <v>157</v>
      </c>
    </row>
    <row r="464" customFormat="false" ht="14.25" hidden="false" customHeight="false" outlineLevel="0" collapsed="false">
      <c r="B464" s="6" t="s">
        <v>1590</v>
      </c>
      <c r="C464" s="2" t="s">
        <v>1591</v>
      </c>
      <c r="D464" s="2" t="s">
        <v>1592</v>
      </c>
      <c r="E464" s="2" t="s">
        <v>1518</v>
      </c>
      <c r="F464" s="6" t="n">
        <v>2001</v>
      </c>
      <c r="G464" s="2" t="s">
        <v>1593</v>
      </c>
      <c r="H464" s="2" t="s">
        <v>82</v>
      </c>
    </row>
    <row r="465" customFormat="false" ht="14.25" hidden="false" customHeight="false" outlineLevel="0" collapsed="false">
      <c r="B465" s="6" t="s">
        <v>1594</v>
      </c>
      <c r="C465" s="2" t="s">
        <v>1595</v>
      </c>
      <c r="D465" s="2"/>
      <c r="E465" s="2" t="s">
        <v>1518</v>
      </c>
      <c r="F465" s="6" t="n">
        <v>2002</v>
      </c>
      <c r="G465" s="2" t="s">
        <v>1596</v>
      </c>
      <c r="H465" s="2" t="s">
        <v>118</v>
      </c>
    </row>
    <row r="466" customFormat="false" ht="14.25" hidden="false" customHeight="false" outlineLevel="0" collapsed="false">
      <c r="B466" s="6" t="s">
        <v>1597</v>
      </c>
      <c r="C466" s="2" t="s">
        <v>1598</v>
      </c>
      <c r="D466" s="2"/>
      <c r="E466" s="2" t="s">
        <v>1518</v>
      </c>
      <c r="F466" s="6" t="n">
        <v>2002</v>
      </c>
      <c r="G466" s="2" t="s">
        <v>1599</v>
      </c>
      <c r="H466" s="2" t="s">
        <v>17</v>
      </c>
    </row>
    <row r="467" customFormat="false" ht="14.25" hidden="false" customHeight="false" outlineLevel="0" collapsed="false">
      <c r="B467" s="6" t="s">
        <v>1600</v>
      </c>
      <c r="C467" s="2" t="s">
        <v>1601</v>
      </c>
      <c r="D467" s="2" t="s">
        <v>1175</v>
      </c>
      <c r="E467" s="2" t="s">
        <v>1518</v>
      </c>
      <c r="F467" s="6" t="n">
        <v>2000</v>
      </c>
      <c r="G467" s="2" t="s">
        <v>1602</v>
      </c>
      <c r="H467" s="2" t="s">
        <v>1527</v>
      </c>
    </row>
    <row r="468" customFormat="false" ht="14.25" hidden="false" customHeight="false" outlineLevel="0" collapsed="false">
      <c r="B468" s="6" t="s">
        <v>1603</v>
      </c>
      <c r="C468" s="2" t="s">
        <v>1604</v>
      </c>
      <c r="D468" s="2"/>
      <c r="E468" s="2" t="s">
        <v>1518</v>
      </c>
      <c r="F468" s="6" t="n">
        <v>2002</v>
      </c>
      <c r="G468" s="2" t="s">
        <v>1605</v>
      </c>
      <c r="H468" s="2" t="s">
        <v>64</v>
      </c>
    </row>
    <row r="469" customFormat="false" ht="14.25" hidden="false" customHeight="false" outlineLevel="0" collapsed="false">
      <c r="B469" s="6" t="s">
        <v>1606</v>
      </c>
      <c r="C469" s="2" t="s">
        <v>1607</v>
      </c>
      <c r="D469" s="2"/>
      <c r="E469" s="2" t="s">
        <v>1518</v>
      </c>
      <c r="F469" s="6" t="n">
        <v>2002</v>
      </c>
      <c r="G469" s="2" t="s">
        <v>1608</v>
      </c>
      <c r="H469" s="2" t="s">
        <v>1609</v>
      </c>
    </row>
    <row r="470" customFormat="false" ht="14.25" hidden="false" customHeight="false" outlineLevel="0" collapsed="false">
      <c r="B470" s="6" t="s">
        <v>1610</v>
      </c>
      <c r="C470" s="2" t="s">
        <v>1611</v>
      </c>
      <c r="D470" s="2"/>
      <c r="E470" s="2" t="s">
        <v>1518</v>
      </c>
      <c r="F470" s="6" t="n">
        <v>2000</v>
      </c>
      <c r="G470" s="2" t="s">
        <v>1612</v>
      </c>
      <c r="H470" s="2" t="s">
        <v>82</v>
      </c>
    </row>
    <row r="471" customFormat="false" ht="14.25" hidden="false" customHeight="false" outlineLevel="0" collapsed="false">
      <c r="B471" s="6" t="s">
        <v>1613</v>
      </c>
      <c r="C471" s="2" t="s">
        <v>1614</v>
      </c>
      <c r="D471" s="2" t="s">
        <v>1615</v>
      </c>
      <c r="E471" s="2" t="s">
        <v>1518</v>
      </c>
      <c r="F471" s="6" t="n">
        <v>2002</v>
      </c>
      <c r="G471" s="2" t="s">
        <v>1616</v>
      </c>
      <c r="H471" s="2" t="s">
        <v>82</v>
      </c>
    </row>
    <row r="472" customFormat="false" ht="14.25" hidden="false" customHeight="false" outlineLevel="0" collapsed="false">
      <c r="B472" s="6" t="s">
        <v>1617</v>
      </c>
      <c r="C472" s="2" t="s">
        <v>1618</v>
      </c>
      <c r="D472" s="2"/>
      <c r="E472" s="2" t="s">
        <v>1518</v>
      </c>
      <c r="F472" s="6" t="n">
        <v>1997</v>
      </c>
      <c r="G472" s="2" t="s">
        <v>1619</v>
      </c>
      <c r="H472" s="2" t="s">
        <v>704</v>
      </c>
    </row>
    <row r="473" customFormat="false" ht="14.25" hidden="false" customHeight="false" outlineLevel="0" collapsed="false">
      <c r="B473" s="6" t="s">
        <v>1620</v>
      </c>
      <c r="C473" s="2" t="s">
        <v>1621</v>
      </c>
      <c r="D473" s="2"/>
      <c r="E473" s="2" t="s">
        <v>1518</v>
      </c>
      <c r="F473" s="6" t="n">
        <v>2002</v>
      </c>
      <c r="G473" s="2" t="s">
        <v>1622</v>
      </c>
      <c r="H473" s="2" t="s">
        <v>433</v>
      </c>
    </row>
    <row r="474" customFormat="false" ht="14.25" hidden="false" customHeight="false" outlineLevel="0" collapsed="false">
      <c r="B474" s="6" t="s">
        <v>1623</v>
      </c>
      <c r="C474" s="2" t="s">
        <v>1624</v>
      </c>
      <c r="D474" s="2"/>
      <c r="E474" s="2" t="s">
        <v>1518</v>
      </c>
      <c r="F474" s="6" t="n">
        <v>1998</v>
      </c>
      <c r="G474" s="2" t="s">
        <v>1625</v>
      </c>
      <c r="H474" s="2" t="s">
        <v>255</v>
      </c>
    </row>
    <row r="475" customFormat="false" ht="14.25" hidden="false" customHeight="false" outlineLevel="0" collapsed="false">
      <c r="B475" s="6" t="s">
        <v>1626</v>
      </c>
      <c r="C475" s="2" t="s">
        <v>1627</v>
      </c>
      <c r="D475" s="2"/>
      <c r="E475" s="2" t="s">
        <v>1518</v>
      </c>
      <c r="F475" s="6" t="n">
        <v>1995</v>
      </c>
      <c r="G475" s="2" t="s">
        <v>1628</v>
      </c>
      <c r="H475" s="2" t="s">
        <v>1629</v>
      </c>
    </row>
    <row r="476" customFormat="false" ht="14.25" hidden="false" customHeight="false" outlineLevel="0" collapsed="false">
      <c r="B476" s="6" t="s">
        <v>1630</v>
      </c>
      <c r="C476" s="2" t="s">
        <v>1631</v>
      </c>
      <c r="D476" s="2" t="s">
        <v>1175</v>
      </c>
      <c r="E476" s="2" t="s">
        <v>1518</v>
      </c>
      <c r="F476" s="6" t="n">
        <v>2001</v>
      </c>
      <c r="G476" s="2" t="s">
        <v>1234</v>
      </c>
      <c r="H476" s="2" t="s">
        <v>104</v>
      </c>
    </row>
    <row r="477" customFormat="false" ht="14.25" hidden="false" customHeight="false" outlineLevel="0" collapsed="false">
      <c r="B477" s="6" t="s">
        <v>1632</v>
      </c>
      <c r="C477" s="2" t="s">
        <v>1633</v>
      </c>
      <c r="D477" s="2"/>
      <c r="E477" s="2" t="s">
        <v>1634</v>
      </c>
      <c r="F477" s="6" t="n">
        <v>2002</v>
      </c>
      <c r="G477" s="2" t="s">
        <v>1635</v>
      </c>
      <c r="H477" s="2" t="s">
        <v>82</v>
      </c>
    </row>
    <row r="478" customFormat="false" ht="14.25" hidden="false" customHeight="false" outlineLevel="0" collapsed="false">
      <c r="B478" s="7" t="s">
        <v>1636</v>
      </c>
      <c r="C478" s="1" t="s">
        <v>1637</v>
      </c>
      <c r="E478" s="1" t="s">
        <v>1518</v>
      </c>
      <c r="F478" s="7" t="n">
        <v>2004</v>
      </c>
      <c r="G478" s="1" t="s">
        <v>1638</v>
      </c>
      <c r="H478" s="1" t="s">
        <v>50</v>
      </c>
    </row>
    <row r="479" customFormat="false" ht="14.25" hidden="false" customHeight="false" outlineLevel="0" collapsed="false">
      <c r="B479" s="6" t="s">
        <v>1639</v>
      </c>
      <c r="C479" s="2" t="s">
        <v>1640</v>
      </c>
      <c r="D479" s="2" t="s">
        <v>1578</v>
      </c>
      <c r="E479" s="2" t="s">
        <v>1518</v>
      </c>
      <c r="F479" s="6" t="n">
        <v>2000</v>
      </c>
      <c r="G479" s="2" t="s">
        <v>1641</v>
      </c>
      <c r="H479" s="2" t="s">
        <v>1534</v>
      </c>
    </row>
    <row r="480" customFormat="false" ht="14.25" hidden="false" customHeight="false" outlineLevel="0" collapsed="false">
      <c r="B480" s="6" t="s">
        <v>1642</v>
      </c>
      <c r="C480" s="2" t="s">
        <v>1643</v>
      </c>
      <c r="D480" s="2" t="s">
        <v>1175</v>
      </c>
      <c r="E480" s="2" t="s">
        <v>1518</v>
      </c>
      <c r="F480" s="6" t="n">
        <v>2000</v>
      </c>
      <c r="G480" s="2" t="s">
        <v>1644</v>
      </c>
      <c r="H480" s="2" t="s">
        <v>1565</v>
      </c>
    </row>
    <row r="481" customFormat="false" ht="14.25" hidden="false" customHeight="false" outlineLevel="0" collapsed="false">
      <c r="B481" s="6" t="s">
        <v>1645</v>
      </c>
      <c r="C481" s="2" t="s">
        <v>1646</v>
      </c>
      <c r="D481" s="2"/>
      <c r="E481" s="2" t="s">
        <v>1518</v>
      </c>
      <c r="F481" s="6" t="n">
        <v>2006</v>
      </c>
      <c r="G481" s="2" t="s">
        <v>1647</v>
      </c>
      <c r="H481" s="2" t="s">
        <v>17</v>
      </c>
    </row>
    <row r="482" customFormat="false" ht="14.25" hidden="false" customHeight="false" outlineLevel="0" collapsed="false">
      <c r="B482" s="6" t="s">
        <v>1648</v>
      </c>
      <c r="C482" s="2" t="s">
        <v>1649</v>
      </c>
      <c r="D482" s="2" t="s">
        <v>1175</v>
      </c>
      <c r="E482" s="2" t="s">
        <v>1518</v>
      </c>
      <c r="F482" s="6" t="n">
        <v>2005</v>
      </c>
      <c r="G482" s="2" t="s">
        <v>1650</v>
      </c>
      <c r="H482" s="2" t="s">
        <v>50</v>
      </c>
    </row>
    <row r="483" customFormat="false" ht="14.25" hidden="false" customHeight="false" outlineLevel="0" collapsed="false">
      <c r="B483" s="6" t="s">
        <v>1651</v>
      </c>
      <c r="C483" s="2" t="s">
        <v>1652</v>
      </c>
      <c r="D483" s="2" t="s">
        <v>1653</v>
      </c>
      <c r="E483" s="2" t="s">
        <v>1518</v>
      </c>
      <c r="F483" s="6" t="n">
        <v>2005</v>
      </c>
      <c r="G483" s="2" t="s">
        <v>1654</v>
      </c>
      <c r="H483" s="2" t="s">
        <v>82</v>
      </c>
    </row>
    <row r="484" customFormat="false" ht="14.25" hidden="false" customHeight="false" outlineLevel="0" collapsed="false">
      <c r="B484" s="6" t="s">
        <v>1655</v>
      </c>
      <c r="C484" s="2" t="s">
        <v>1656</v>
      </c>
      <c r="D484" s="2" t="s">
        <v>1578</v>
      </c>
      <c r="E484" s="2" t="s">
        <v>1518</v>
      </c>
      <c r="F484" s="6" t="n">
        <v>2000</v>
      </c>
      <c r="G484" s="2" t="s">
        <v>239</v>
      </c>
      <c r="H484" s="2" t="s">
        <v>1629</v>
      </c>
    </row>
    <row r="485" customFormat="false" ht="14.25" hidden="false" customHeight="false" outlineLevel="0" collapsed="false">
      <c r="B485" s="6" t="s">
        <v>1657</v>
      </c>
      <c r="C485" s="2" t="s">
        <v>1658</v>
      </c>
      <c r="D485" s="2" t="s">
        <v>1175</v>
      </c>
      <c r="E485" s="2" t="s">
        <v>1518</v>
      </c>
      <c r="F485" s="6" t="n">
        <v>1999</v>
      </c>
      <c r="G485" s="2" t="s">
        <v>1659</v>
      </c>
      <c r="H485" s="2" t="s">
        <v>1660</v>
      </c>
    </row>
    <row r="486" customFormat="false" ht="14.25" hidden="false" customHeight="false" outlineLevel="0" collapsed="false">
      <c r="B486" s="6" t="s">
        <v>1661</v>
      </c>
      <c r="C486" s="2" t="s">
        <v>1662</v>
      </c>
      <c r="D486" s="2"/>
      <c r="E486" s="2" t="s">
        <v>1518</v>
      </c>
      <c r="F486" s="6" t="n">
        <v>2006</v>
      </c>
      <c r="G486" s="2" t="s">
        <v>1663</v>
      </c>
      <c r="H486" s="2" t="s">
        <v>50</v>
      </c>
    </row>
    <row r="487" customFormat="false" ht="14.25" hidden="false" customHeight="false" outlineLevel="0" collapsed="false">
      <c r="B487" s="6" t="s">
        <v>1664</v>
      </c>
      <c r="C487" s="2" t="s">
        <v>1665</v>
      </c>
      <c r="D487" s="2"/>
      <c r="E487" s="2" t="s">
        <v>1518</v>
      </c>
      <c r="F487" s="6" t="n">
        <v>2003</v>
      </c>
      <c r="G487" s="2" t="s">
        <v>1666</v>
      </c>
      <c r="H487" s="2" t="s">
        <v>835</v>
      </c>
    </row>
    <row r="488" customFormat="false" ht="14.25" hidden="false" customHeight="false" outlineLevel="0" collapsed="false">
      <c r="B488" s="7" t="s">
        <v>1667</v>
      </c>
      <c r="C488" s="1" t="s">
        <v>1668</v>
      </c>
      <c r="E488" s="1" t="s">
        <v>1518</v>
      </c>
      <c r="F488" s="7" t="n">
        <v>2005</v>
      </c>
      <c r="G488" s="1" t="s">
        <v>1669</v>
      </c>
      <c r="H488" s="1" t="s">
        <v>1670</v>
      </c>
    </row>
    <row r="489" customFormat="false" ht="14.25" hidden="false" customHeight="false" outlineLevel="0" collapsed="false">
      <c r="B489" s="6" t="s">
        <v>1671</v>
      </c>
      <c r="C489" s="2" t="s">
        <v>1169</v>
      </c>
      <c r="D489" s="2"/>
      <c r="E489" s="2" t="s">
        <v>1518</v>
      </c>
      <c r="F489" s="6" t="n">
        <v>2002</v>
      </c>
      <c r="G489" s="2" t="s">
        <v>1171</v>
      </c>
      <c r="H489" s="2" t="s">
        <v>82</v>
      </c>
    </row>
    <row r="490" customFormat="false" ht="14.25" hidden="false" customHeight="false" outlineLevel="0" collapsed="false">
      <c r="B490" s="6" t="s">
        <v>1672</v>
      </c>
      <c r="C490" s="2" t="s">
        <v>1673</v>
      </c>
      <c r="D490" s="2" t="s">
        <v>1537</v>
      </c>
      <c r="E490" s="2" t="s">
        <v>1518</v>
      </c>
      <c r="F490" s="6" t="n">
        <v>2000</v>
      </c>
      <c r="G490" s="2" t="s">
        <v>239</v>
      </c>
      <c r="H490" s="2" t="s">
        <v>1629</v>
      </c>
    </row>
    <row r="491" customFormat="false" ht="14.25" hidden="false" customHeight="false" outlineLevel="0" collapsed="false">
      <c r="B491" s="6" t="s">
        <v>1674</v>
      </c>
      <c r="C491" s="2" t="s">
        <v>1675</v>
      </c>
      <c r="D491" s="2"/>
      <c r="E491" s="2" t="s">
        <v>1518</v>
      </c>
      <c r="F491" s="6" t="n">
        <v>2001</v>
      </c>
      <c r="G491" s="2" t="s">
        <v>1676</v>
      </c>
      <c r="H491" s="2" t="s">
        <v>64</v>
      </c>
    </row>
    <row r="492" customFormat="false" ht="14.25" hidden="false" customHeight="false" outlineLevel="0" collapsed="false">
      <c r="B492" s="6" t="s">
        <v>1677</v>
      </c>
      <c r="C492" s="2" t="s">
        <v>1662</v>
      </c>
      <c r="D492" s="2"/>
      <c r="E492" s="2" t="s">
        <v>1518</v>
      </c>
      <c r="F492" s="6" t="n">
        <v>2001</v>
      </c>
      <c r="G492" s="2" t="s">
        <v>1663</v>
      </c>
      <c r="H492" s="2" t="s">
        <v>467</v>
      </c>
    </row>
    <row r="493" customFormat="false" ht="14.25" hidden="false" customHeight="false" outlineLevel="0" collapsed="false">
      <c r="B493" s="6" t="s">
        <v>1678</v>
      </c>
      <c r="C493" s="2" t="s">
        <v>1679</v>
      </c>
      <c r="D493" s="2"/>
      <c r="E493" s="2" t="s">
        <v>1518</v>
      </c>
      <c r="F493" s="6" t="n">
        <v>2002</v>
      </c>
      <c r="G493" s="2" t="s">
        <v>1680</v>
      </c>
      <c r="H493" s="2" t="s">
        <v>64</v>
      </c>
    </row>
    <row r="494" customFormat="false" ht="14.25" hidden="false" customHeight="false" outlineLevel="0" collapsed="false">
      <c r="B494" s="6" t="s">
        <v>1681</v>
      </c>
      <c r="C494" s="2" t="s">
        <v>1643</v>
      </c>
      <c r="D494" s="2"/>
      <c r="E494" s="2" t="s">
        <v>1518</v>
      </c>
      <c r="F494" s="6" t="n">
        <v>2004</v>
      </c>
      <c r="G494" s="2" t="s">
        <v>1682</v>
      </c>
      <c r="H494" s="2" t="s">
        <v>1230</v>
      </c>
    </row>
    <row r="495" customFormat="false" ht="14.25" hidden="false" customHeight="false" outlineLevel="0" collapsed="false">
      <c r="B495" s="6" t="s">
        <v>1683</v>
      </c>
      <c r="C495" s="2" t="s">
        <v>1684</v>
      </c>
      <c r="D495" s="2"/>
      <c r="E495" s="2" t="s">
        <v>1518</v>
      </c>
      <c r="F495" s="6" t="n">
        <v>2002</v>
      </c>
      <c r="G495" s="2" t="s">
        <v>1685</v>
      </c>
      <c r="H495" s="2" t="s">
        <v>13</v>
      </c>
    </row>
    <row r="496" customFormat="false" ht="14.25" hidden="false" customHeight="false" outlineLevel="0" collapsed="false">
      <c r="B496" s="6" t="s">
        <v>1686</v>
      </c>
      <c r="C496" s="2" t="s">
        <v>1687</v>
      </c>
      <c r="D496" s="2"/>
      <c r="E496" s="2" t="s">
        <v>1518</v>
      </c>
      <c r="F496" s="6" t="n">
        <v>1997</v>
      </c>
      <c r="G496" s="2" t="s">
        <v>1688</v>
      </c>
      <c r="H496" s="2" t="s">
        <v>844</v>
      </c>
    </row>
    <row r="497" customFormat="false" ht="14.25" hidden="false" customHeight="false" outlineLevel="0" collapsed="false">
      <c r="B497" s="6" t="s">
        <v>1689</v>
      </c>
      <c r="C497" s="2" t="s">
        <v>1690</v>
      </c>
      <c r="D497" s="2"/>
      <c r="E497" s="2" t="s">
        <v>1518</v>
      </c>
      <c r="F497" s="6" t="n">
        <v>2000</v>
      </c>
      <c r="G497" s="2" t="s">
        <v>1691</v>
      </c>
      <c r="H497" s="2" t="s">
        <v>82</v>
      </c>
    </row>
    <row r="498" customFormat="false" ht="14.25" hidden="false" customHeight="false" outlineLevel="0" collapsed="false">
      <c r="B498" s="6" t="s">
        <v>1692</v>
      </c>
      <c r="C498" s="2" t="s">
        <v>1693</v>
      </c>
      <c r="D498" s="2" t="s">
        <v>1694</v>
      </c>
      <c r="E498" s="2" t="s">
        <v>1518</v>
      </c>
      <c r="F498" s="6" t="n">
        <v>2001</v>
      </c>
      <c r="G498" s="2" t="s">
        <v>1695</v>
      </c>
      <c r="H498" s="2" t="s">
        <v>255</v>
      </c>
    </row>
    <row r="499" customFormat="false" ht="14.25" hidden="false" customHeight="false" outlineLevel="0" collapsed="false">
      <c r="B499" s="6" t="s">
        <v>1696</v>
      </c>
      <c r="C499" s="2" t="s">
        <v>1697</v>
      </c>
      <c r="D499" s="2"/>
      <c r="E499" s="2" t="s">
        <v>1518</v>
      </c>
      <c r="F499" s="6" t="n">
        <v>2004</v>
      </c>
      <c r="G499" s="2" t="s">
        <v>1698</v>
      </c>
      <c r="H499" s="2" t="s">
        <v>955</v>
      </c>
    </row>
    <row r="500" customFormat="false" ht="14.25" hidden="false" customHeight="false" outlineLevel="0" collapsed="false">
      <c r="B500" s="6" t="s">
        <v>1699</v>
      </c>
      <c r="C500" s="2" t="s">
        <v>1700</v>
      </c>
      <c r="D500" s="2"/>
      <c r="E500" s="2" t="s">
        <v>1518</v>
      </c>
      <c r="F500" s="6" t="n">
        <v>2001</v>
      </c>
      <c r="G500" s="2" t="s">
        <v>1701</v>
      </c>
      <c r="H500" s="2" t="s">
        <v>441</v>
      </c>
    </row>
    <row r="501" customFormat="false" ht="14.25" hidden="false" customHeight="false" outlineLevel="0" collapsed="false">
      <c r="B501" s="6" t="s">
        <v>1702</v>
      </c>
      <c r="C501" s="2" t="s">
        <v>1703</v>
      </c>
      <c r="D501" s="2"/>
      <c r="E501" s="2" t="s">
        <v>1518</v>
      </c>
      <c r="F501" s="6" t="n">
        <v>1999</v>
      </c>
      <c r="G501" s="2" t="s">
        <v>1638</v>
      </c>
      <c r="H501" s="2" t="s">
        <v>50</v>
      </c>
    </row>
    <row r="502" customFormat="false" ht="14.25" hidden="false" customHeight="false" outlineLevel="0" collapsed="false">
      <c r="B502" s="7" t="s">
        <v>1704</v>
      </c>
      <c r="C502" s="1" t="s">
        <v>1705</v>
      </c>
      <c r="D502" s="1" t="s">
        <v>82</v>
      </c>
      <c r="E502" s="1" t="s">
        <v>451</v>
      </c>
      <c r="F502" s="7" t="n">
        <v>2013</v>
      </c>
      <c r="G502" s="1" t="s">
        <v>1706</v>
      </c>
      <c r="H502" s="1" t="s">
        <v>1707</v>
      </c>
    </row>
    <row r="503" customFormat="false" ht="14.25" hidden="false" customHeight="false" outlineLevel="0" collapsed="false">
      <c r="B503" s="7" t="s">
        <v>1708</v>
      </c>
      <c r="C503" s="1" t="s">
        <v>1709</v>
      </c>
      <c r="D503" s="1" t="s">
        <v>1710</v>
      </c>
      <c r="E503" s="1" t="s">
        <v>1711</v>
      </c>
      <c r="F503" s="7" t="n">
        <v>2001</v>
      </c>
      <c r="G503" s="1" t="s">
        <v>1712</v>
      </c>
      <c r="H503" s="1" t="s">
        <v>220</v>
      </c>
    </row>
    <row r="504" customFormat="false" ht="14.25" hidden="false" customHeight="false" outlineLevel="0" collapsed="false">
      <c r="B504" s="7" t="s">
        <v>1713</v>
      </c>
      <c r="C504" s="1" t="s">
        <v>1714</v>
      </c>
      <c r="D504" s="1" t="s">
        <v>1715</v>
      </c>
      <c r="E504" s="1" t="s">
        <v>1711</v>
      </c>
      <c r="F504" s="7" t="n">
        <v>2008</v>
      </c>
      <c r="G504" s="1" t="s">
        <v>1716</v>
      </c>
      <c r="H504" s="1" t="s">
        <v>50</v>
      </c>
    </row>
    <row r="505" customFormat="false" ht="14.25" hidden="false" customHeight="false" outlineLevel="0" collapsed="false">
      <c r="B505" s="7" t="s">
        <v>1717</v>
      </c>
      <c r="C505" s="1" t="s">
        <v>1718</v>
      </c>
      <c r="E505" s="2" t="s">
        <v>1518</v>
      </c>
      <c r="F505" s="7" t="n">
        <v>2015</v>
      </c>
      <c r="G505" s="1" t="s">
        <v>1719</v>
      </c>
      <c r="H505" s="1" t="s">
        <v>928</v>
      </c>
    </row>
    <row r="506" customFormat="false" ht="14.25" hidden="false" customHeight="false" outlineLevel="0" collapsed="false">
      <c r="B506" s="7" t="s">
        <v>1720</v>
      </c>
      <c r="C506" s="1" t="s">
        <v>1721</v>
      </c>
      <c r="E506" s="2" t="s">
        <v>1518</v>
      </c>
      <c r="F506" s="7" t="n">
        <v>2010</v>
      </c>
      <c r="G506" s="1" t="s">
        <v>1338</v>
      </c>
      <c r="H506" s="1" t="s">
        <v>50</v>
      </c>
    </row>
    <row r="507" customFormat="false" ht="14.25" hidden="false" customHeight="false" outlineLevel="0" collapsed="false">
      <c r="B507" s="6" t="s">
        <v>1722</v>
      </c>
      <c r="C507" s="2" t="s">
        <v>1723</v>
      </c>
      <c r="D507" s="2" t="s">
        <v>1724</v>
      </c>
      <c r="E507" s="2" t="s">
        <v>1725</v>
      </c>
      <c r="F507" s="6" t="n">
        <v>2004</v>
      </c>
      <c r="G507" s="2" t="s">
        <v>1726</v>
      </c>
      <c r="H507" s="2" t="s">
        <v>82</v>
      </c>
    </row>
    <row r="508" customFormat="false" ht="14.25" hidden="false" customHeight="false" outlineLevel="0" collapsed="false">
      <c r="B508" s="6" t="s">
        <v>1727</v>
      </c>
      <c r="C508" s="2" t="s">
        <v>1728</v>
      </c>
      <c r="D508" s="2" t="s">
        <v>1724</v>
      </c>
      <c r="E508" s="2" t="s">
        <v>1725</v>
      </c>
      <c r="F508" s="6" t="n">
        <v>2000</v>
      </c>
      <c r="G508" s="2" t="s">
        <v>1729</v>
      </c>
      <c r="H508" s="2" t="s">
        <v>1730</v>
      </c>
    </row>
    <row r="509" customFormat="false" ht="14.25" hidden="false" customHeight="false" outlineLevel="0" collapsed="false">
      <c r="B509" s="6" t="s">
        <v>1731</v>
      </c>
      <c r="C509" s="2" t="s">
        <v>1732</v>
      </c>
      <c r="D509" s="2" t="s">
        <v>1724</v>
      </c>
      <c r="E509" s="2" t="s">
        <v>1725</v>
      </c>
      <c r="F509" s="6" t="n">
        <v>2004</v>
      </c>
      <c r="G509" s="2" t="s">
        <v>1733</v>
      </c>
      <c r="H509" s="2" t="s">
        <v>82</v>
      </c>
    </row>
    <row r="510" customFormat="false" ht="14.25" hidden="false" customHeight="false" outlineLevel="0" collapsed="false">
      <c r="B510" s="6" t="s">
        <v>1734</v>
      </c>
      <c r="C510" s="2" t="s">
        <v>1735</v>
      </c>
      <c r="D510" s="2" t="s">
        <v>1724</v>
      </c>
      <c r="E510" s="2" t="s">
        <v>1725</v>
      </c>
      <c r="F510" s="6" t="n">
        <v>1997</v>
      </c>
      <c r="G510" s="2" t="s">
        <v>1736</v>
      </c>
      <c r="H510" s="2" t="s">
        <v>433</v>
      </c>
    </row>
    <row r="511" customFormat="false" ht="14.25" hidden="false" customHeight="false" outlineLevel="0" collapsed="false">
      <c r="A511" s="10"/>
      <c r="B511" s="6" t="s">
        <v>1737</v>
      </c>
      <c r="C511" s="2" t="s">
        <v>1738</v>
      </c>
      <c r="D511" s="2" t="s">
        <v>1724</v>
      </c>
      <c r="E511" s="2" t="s">
        <v>1739</v>
      </c>
      <c r="F511" s="6" t="n">
        <v>2003</v>
      </c>
      <c r="G511" s="2" t="s">
        <v>191</v>
      </c>
      <c r="H511" s="2" t="s">
        <v>1740</v>
      </c>
    </row>
    <row r="512" customFormat="false" ht="14.25" hidden="false" customHeight="false" outlineLevel="0" collapsed="false">
      <c r="B512" s="6" t="s">
        <v>1741</v>
      </c>
      <c r="C512" s="1" t="s">
        <v>1742</v>
      </c>
      <c r="D512" s="1" t="s">
        <v>1743</v>
      </c>
      <c r="E512" s="1" t="s">
        <v>1744</v>
      </c>
      <c r="F512" s="7" t="n">
        <v>2014</v>
      </c>
      <c r="G512" s="1" t="s">
        <v>1745</v>
      </c>
      <c r="H512" s="1" t="s">
        <v>188</v>
      </c>
    </row>
    <row r="513" customFormat="false" ht="14.25" hidden="false" customHeight="false" outlineLevel="0" collapsed="false">
      <c r="B513" s="6" t="s">
        <v>1746</v>
      </c>
      <c r="C513" s="1" t="s">
        <v>1747</v>
      </c>
      <c r="D513" s="1" t="s">
        <v>1748</v>
      </c>
      <c r="E513" s="1" t="s">
        <v>1749</v>
      </c>
      <c r="F513" s="7" t="n">
        <v>2016</v>
      </c>
      <c r="G513" s="1" t="s">
        <v>650</v>
      </c>
      <c r="H513" s="1" t="s">
        <v>489</v>
      </c>
    </row>
    <row r="514" customFormat="false" ht="14.25" hidden="false" customHeight="false" outlineLevel="0" collapsed="false">
      <c r="B514" s="6" t="s">
        <v>1750</v>
      </c>
      <c r="C514" s="1" t="s">
        <v>1751</v>
      </c>
      <c r="E514" s="1" t="s">
        <v>1744</v>
      </c>
      <c r="F514" s="7" t="n">
        <v>2016</v>
      </c>
      <c r="G514" s="1" t="s">
        <v>1752</v>
      </c>
      <c r="H514" s="1" t="s">
        <v>50</v>
      </c>
    </row>
    <row r="515" customFormat="false" ht="14.25" hidden="false" customHeight="false" outlineLevel="0" collapsed="false">
      <c r="B515" s="6" t="s">
        <v>1753</v>
      </c>
      <c r="C515" s="2" t="s">
        <v>1754</v>
      </c>
      <c r="D515" s="2"/>
      <c r="E515" s="2" t="s">
        <v>1755</v>
      </c>
      <c r="F515" s="6" t="n">
        <v>2006</v>
      </c>
      <c r="G515" s="2" t="s">
        <v>1756</v>
      </c>
      <c r="H515" s="2" t="s">
        <v>82</v>
      </c>
    </row>
    <row r="516" customFormat="false" ht="14.25" hidden="false" customHeight="false" outlineLevel="0" collapsed="false">
      <c r="B516" s="6" t="s">
        <v>1757</v>
      </c>
      <c r="C516" s="2" t="s">
        <v>1758</v>
      </c>
      <c r="D516" s="2"/>
      <c r="E516" s="2" t="s">
        <v>1755</v>
      </c>
      <c r="F516" s="6" t="n">
        <v>2005</v>
      </c>
      <c r="G516" s="2" t="s">
        <v>1759</v>
      </c>
      <c r="H516" s="2" t="s">
        <v>82</v>
      </c>
    </row>
    <row r="517" customFormat="false" ht="14.25" hidden="false" customHeight="false" outlineLevel="0" collapsed="false">
      <c r="B517" s="6" t="s">
        <v>1760</v>
      </c>
      <c r="C517" s="2" t="s">
        <v>1761</v>
      </c>
      <c r="D517" s="2"/>
      <c r="E517" s="2" t="s">
        <v>1755</v>
      </c>
      <c r="F517" s="6" t="n">
        <v>2005</v>
      </c>
      <c r="G517" s="2" t="s">
        <v>1762</v>
      </c>
      <c r="H517" s="2" t="s">
        <v>82</v>
      </c>
    </row>
    <row r="518" customFormat="false" ht="14.25" hidden="false" customHeight="false" outlineLevel="0" collapsed="false">
      <c r="B518" s="6" t="s">
        <v>1763</v>
      </c>
      <c r="C518" s="2" t="s">
        <v>1764</v>
      </c>
      <c r="D518" s="2"/>
      <c r="E518" s="2" t="s">
        <v>1755</v>
      </c>
      <c r="F518" s="6" t="n">
        <v>2005</v>
      </c>
      <c r="G518" s="2" t="s">
        <v>1765</v>
      </c>
      <c r="H518" s="2" t="s">
        <v>82</v>
      </c>
    </row>
    <row r="519" customFormat="false" ht="14.25" hidden="false" customHeight="false" outlineLevel="0" collapsed="false">
      <c r="B519" s="6" t="s">
        <v>1766</v>
      </c>
      <c r="C519" s="2" t="s">
        <v>1767</v>
      </c>
      <c r="D519" s="2" t="s">
        <v>1768</v>
      </c>
      <c r="E519" s="2" t="s">
        <v>1769</v>
      </c>
      <c r="F519" s="6" t="n">
        <v>2001</v>
      </c>
      <c r="G519" s="2" t="s">
        <v>1770</v>
      </c>
      <c r="H519" s="2" t="s">
        <v>118</v>
      </c>
    </row>
    <row r="520" customFormat="false" ht="14.25" hidden="false" customHeight="false" outlineLevel="0" collapsed="false">
      <c r="B520" s="6" t="s">
        <v>1771</v>
      </c>
      <c r="C520" s="2" t="s">
        <v>1772</v>
      </c>
      <c r="D520" s="2" t="s">
        <v>1773</v>
      </c>
      <c r="E520" s="2" t="s">
        <v>1769</v>
      </c>
      <c r="F520" s="6" t="n">
        <v>2001</v>
      </c>
      <c r="G520" s="2" t="s">
        <v>1226</v>
      </c>
      <c r="H520" s="2" t="s">
        <v>82</v>
      </c>
    </row>
    <row r="521" customFormat="false" ht="14.25" hidden="false" customHeight="false" outlineLevel="0" collapsed="false">
      <c r="B521" s="6" t="s">
        <v>1774</v>
      </c>
      <c r="C521" s="2" t="s">
        <v>1775</v>
      </c>
      <c r="D521" s="2" t="s">
        <v>1776</v>
      </c>
      <c r="E521" s="2" t="s">
        <v>1769</v>
      </c>
      <c r="F521" s="6" t="n">
        <v>2000</v>
      </c>
      <c r="G521" s="2" t="s">
        <v>1777</v>
      </c>
      <c r="H521" s="2" t="s">
        <v>1629</v>
      </c>
    </row>
    <row r="522" customFormat="false" ht="14.25" hidden="false" customHeight="false" outlineLevel="0" collapsed="false">
      <c r="B522" s="6" t="s">
        <v>1778</v>
      </c>
      <c r="C522" s="2" t="s">
        <v>1779</v>
      </c>
      <c r="D522" s="2" t="s">
        <v>1780</v>
      </c>
      <c r="E522" s="2" t="s">
        <v>1769</v>
      </c>
      <c r="F522" s="6" t="n">
        <v>1999</v>
      </c>
      <c r="G522" s="2" t="s">
        <v>1781</v>
      </c>
      <c r="H522" s="2" t="s">
        <v>433</v>
      </c>
    </row>
    <row r="523" customFormat="false" ht="14.25" hidden="false" customHeight="false" outlineLevel="0" collapsed="false">
      <c r="B523" s="6" t="s">
        <v>1782</v>
      </c>
      <c r="C523" s="2" t="s">
        <v>1783</v>
      </c>
      <c r="D523" s="2" t="s">
        <v>1784</v>
      </c>
      <c r="E523" s="2" t="s">
        <v>1769</v>
      </c>
      <c r="F523" s="6" t="n">
        <v>1999</v>
      </c>
      <c r="G523" s="2" t="s">
        <v>481</v>
      </c>
      <c r="H523" s="2" t="s">
        <v>433</v>
      </c>
    </row>
    <row r="524" customFormat="false" ht="14.25" hidden="false" customHeight="false" outlineLevel="0" collapsed="false">
      <c r="B524" s="6" t="s">
        <v>1785</v>
      </c>
      <c r="C524" s="2" t="s">
        <v>1786</v>
      </c>
      <c r="D524" s="2" t="s">
        <v>1213</v>
      </c>
      <c r="E524" s="2" t="s">
        <v>1769</v>
      </c>
      <c r="F524" s="6" t="n">
        <v>1999</v>
      </c>
      <c r="G524" s="2" t="s">
        <v>1787</v>
      </c>
      <c r="H524" s="2" t="s">
        <v>433</v>
      </c>
    </row>
    <row r="525" customFormat="false" ht="14.25" hidden="false" customHeight="false" outlineLevel="0" collapsed="false">
      <c r="B525" s="6" t="s">
        <v>1788</v>
      </c>
      <c r="C525" s="2" t="s">
        <v>1789</v>
      </c>
      <c r="D525" s="2" t="s">
        <v>1213</v>
      </c>
      <c r="E525" s="2" t="s">
        <v>1769</v>
      </c>
      <c r="F525" s="6" t="n">
        <v>2000</v>
      </c>
      <c r="G525" s="2" t="s">
        <v>1214</v>
      </c>
      <c r="H525" s="2" t="s">
        <v>1215</v>
      </c>
    </row>
    <row r="526" customFormat="false" ht="14.25" hidden="false" customHeight="false" outlineLevel="0" collapsed="false">
      <c r="B526" s="6" t="s">
        <v>1790</v>
      </c>
      <c r="C526" s="2" t="s">
        <v>1791</v>
      </c>
      <c r="D526" s="2"/>
      <c r="E526" s="2" t="s">
        <v>1769</v>
      </c>
      <c r="F526" s="6" t="n">
        <v>2001</v>
      </c>
      <c r="G526" s="2" t="s">
        <v>1792</v>
      </c>
      <c r="H526" s="2" t="s">
        <v>1609</v>
      </c>
    </row>
    <row r="527" customFormat="false" ht="14.25" hidden="false" customHeight="false" outlineLevel="0" collapsed="false">
      <c r="B527" s="6" t="s">
        <v>1793</v>
      </c>
      <c r="C527" s="2" t="s">
        <v>1794</v>
      </c>
      <c r="D527" s="2"/>
      <c r="E527" s="2" t="s">
        <v>1769</v>
      </c>
      <c r="F527" s="6" t="n">
        <v>2000</v>
      </c>
      <c r="G527" s="2" t="s">
        <v>1795</v>
      </c>
      <c r="H527" s="2" t="s">
        <v>433</v>
      </c>
    </row>
    <row r="528" customFormat="false" ht="14.25" hidden="false" customHeight="false" outlineLevel="0" collapsed="false">
      <c r="B528" s="6" t="s">
        <v>1796</v>
      </c>
      <c r="C528" s="2" t="s">
        <v>1797</v>
      </c>
      <c r="D528" s="2" t="s">
        <v>1798</v>
      </c>
      <c r="E528" s="2" t="s">
        <v>1769</v>
      </c>
      <c r="F528" s="6" t="n">
        <v>2003</v>
      </c>
      <c r="G528" s="2" t="s">
        <v>1799</v>
      </c>
      <c r="H528" s="2" t="s">
        <v>82</v>
      </c>
    </row>
    <row r="529" customFormat="false" ht="14.25" hidden="false" customHeight="false" outlineLevel="0" collapsed="false">
      <c r="B529" s="7" t="s">
        <v>1800</v>
      </c>
      <c r="C529" s="2" t="s">
        <v>1801</v>
      </c>
      <c r="D529" s="2" t="s">
        <v>1802</v>
      </c>
      <c r="E529" s="2" t="s">
        <v>1769</v>
      </c>
      <c r="F529" s="6" t="n">
        <v>2004</v>
      </c>
      <c r="G529" s="2" t="s">
        <v>1799</v>
      </c>
      <c r="H529" s="2" t="s">
        <v>82</v>
      </c>
    </row>
    <row r="530" customFormat="false" ht="14.25" hidden="false" customHeight="false" outlineLevel="0" collapsed="false">
      <c r="B530" s="7" t="s">
        <v>1803</v>
      </c>
      <c r="C530" s="1" t="s">
        <v>1804</v>
      </c>
      <c r="D530" s="1" t="s">
        <v>1805</v>
      </c>
      <c r="E530" s="1" t="s">
        <v>1769</v>
      </c>
      <c r="F530" s="7" t="n">
        <v>2005</v>
      </c>
      <c r="G530" s="1" t="s">
        <v>1806</v>
      </c>
      <c r="H530" s="1" t="s">
        <v>82</v>
      </c>
    </row>
    <row r="531" customFormat="false" ht="14.25" hidden="false" customHeight="false" outlineLevel="0" collapsed="false">
      <c r="B531" s="6" t="s">
        <v>1807</v>
      </c>
      <c r="C531" s="2" t="s">
        <v>1808</v>
      </c>
      <c r="D531" s="2" t="s">
        <v>1809</v>
      </c>
      <c r="E531" s="2" t="s">
        <v>1769</v>
      </c>
      <c r="F531" s="6" t="n">
        <v>2004</v>
      </c>
      <c r="G531" s="2" t="s">
        <v>1810</v>
      </c>
      <c r="H531" s="2" t="s">
        <v>50</v>
      </c>
    </row>
    <row r="532" customFormat="false" ht="14.25" hidden="false" customHeight="false" outlineLevel="0" collapsed="false">
      <c r="B532" s="6" t="s">
        <v>1811</v>
      </c>
      <c r="C532" s="2" t="s">
        <v>1812</v>
      </c>
      <c r="D532" s="2"/>
      <c r="E532" s="2" t="s">
        <v>1769</v>
      </c>
      <c r="F532" s="6" t="n">
        <v>2001</v>
      </c>
      <c r="G532" s="2" t="s">
        <v>1813</v>
      </c>
      <c r="H532" s="2" t="s">
        <v>244</v>
      </c>
    </row>
    <row r="533" customFormat="false" ht="14.25" hidden="false" customHeight="false" outlineLevel="0" collapsed="false">
      <c r="B533" s="6" t="s">
        <v>1814</v>
      </c>
      <c r="C533" s="2" t="s">
        <v>1815</v>
      </c>
      <c r="D533" s="2"/>
      <c r="E533" s="2" t="s">
        <v>1769</v>
      </c>
      <c r="F533" s="6" t="n">
        <v>2003</v>
      </c>
      <c r="G533" s="2" t="s">
        <v>195</v>
      </c>
      <c r="H533" s="2" t="s">
        <v>64</v>
      </c>
    </row>
    <row r="534" customFormat="false" ht="14.25" hidden="false" customHeight="false" outlineLevel="0" collapsed="false">
      <c r="B534" s="6" t="s">
        <v>1816</v>
      </c>
      <c r="C534" s="2" t="s">
        <v>1817</v>
      </c>
      <c r="D534" s="2"/>
      <c r="E534" s="2" t="s">
        <v>1769</v>
      </c>
      <c r="F534" s="6" t="n">
        <v>2000</v>
      </c>
      <c r="G534" s="2" t="s">
        <v>1818</v>
      </c>
      <c r="H534" s="2" t="s">
        <v>104</v>
      </c>
    </row>
    <row r="535" customFormat="false" ht="14.25" hidden="false" customHeight="false" outlineLevel="0" collapsed="false">
      <c r="B535" s="7" t="s">
        <v>1819</v>
      </c>
      <c r="C535" s="1" t="s">
        <v>1820</v>
      </c>
      <c r="E535" s="1" t="s">
        <v>1769</v>
      </c>
      <c r="F535" s="7" t="n">
        <v>2006</v>
      </c>
      <c r="G535" s="1" t="s">
        <v>1821</v>
      </c>
      <c r="H535" s="1" t="s">
        <v>1822</v>
      </c>
    </row>
    <row r="536" customFormat="false" ht="14.25" hidden="false" customHeight="false" outlineLevel="0" collapsed="false">
      <c r="B536" s="7" t="s">
        <v>1823</v>
      </c>
      <c r="C536" s="1" t="s">
        <v>1824</v>
      </c>
      <c r="D536" s="1" t="s">
        <v>1233</v>
      </c>
      <c r="E536" s="2" t="s">
        <v>1769</v>
      </c>
      <c r="F536" s="7" t="n">
        <v>1999</v>
      </c>
      <c r="G536" s="1" t="s">
        <v>1825</v>
      </c>
      <c r="H536" s="1" t="s">
        <v>433</v>
      </c>
    </row>
    <row r="537" customFormat="false" ht="14.25" hidden="false" customHeight="false" outlineLevel="0" collapsed="false">
      <c r="B537" s="6" t="s">
        <v>1826</v>
      </c>
      <c r="C537" s="2" t="s">
        <v>1827</v>
      </c>
      <c r="D537" s="2" t="s">
        <v>1828</v>
      </c>
      <c r="E537" s="2" t="s">
        <v>1769</v>
      </c>
      <c r="F537" s="6" t="n">
        <v>1999</v>
      </c>
      <c r="G537" s="2"/>
      <c r="H537" s="2" t="s">
        <v>1829</v>
      </c>
    </row>
    <row r="538" customFormat="false" ht="14.25" hidden="false" customHeight="false" outlineLevel="0" collapsed="false">
      <c r="B538" s="6" t="s">
        <v>1830</v>
      </c>
      <c r="C538" s="2" t="s">
        <v>1831</v>
      </c>
      <c r="D538" s="2" t="s">
        <v>1832</v>
      </c>
      <c r="E538" s="2" t="s">
        <v>1769</v>
      </c>
      <c r="F538" s="6" t="n">
        <v>1999</v>
      </c>
      <c r="G538" s="2"/>
      <c r="H538" s="2" t="s">
        <v>1829</v>
      </c>
    </row>
    <row r="539" customFormat="false" ht="14.25" hidden="false" customHeight="false" outlineLevel="0" collapsed="false">
      <c r="B539" s="6" t="s">
        <v>1833</v>
      </c>
      <c r="C539" s="2" t="s">
        <v>1834</v>
      </c>
      <c r="D539" s="2" t="s">
        <v>1835</v>
      </c>
      <c r="E539" s="2" t="s">
        <v>1769</v>
      </c>
      <c r="F539" s="6" t="n">
        <v>2000</v>
      </c>
      <c r="G539" s="2"/>
      <c r="H539" s="2" t="s">
        <v>1836</v>
      </c>
    </row>
    <row r="540" customFormat="false" ht="14.25" hidden="false" customHeight="false" outlineLevel="0" collapsed="false">
      <c r="B540" s="6" t="s">
        <v>1837</v>
      </c>
      <c r="C540" s="2" t="s">
        <v>1838</v>
      </c>
      <c r="D540" s="2" t="s">
        <v>1805</v>
      </c>
      <c r="E540" s="2" t="s">
        <v>1769</v>
      </c>
      <c r="F540" s="6" t="n">
        <v>2001</v>
      </c>
      <c r="G540" s="2" t="s">
        <v>1839</v>
      </c>
      <c r="H540" s="2" t="s">
        <v>279</v>
      </c>
    </row>
    <row r="541" customFormat="false" ht="14.25" hidden="false" customHeight="false" outlineLevel="0" collapsed="false">
      <c r="B541" s="6" t="s">
        <v>1840</v>
      </c>
      <c r="C541" s="2" t="s">
        <v>1841</v>
      </c>
      <c r="D541" s="2" t="s">
        <v>1842</v>
      </c>
      <c r="E541" s="2" t="s">
        <v>1769</v>
      </c>
      <c r="F541" s="6" t="n">
        <v>2002</v>
      </c>
      <c r="G541" s="2" t="s">
        <v>1843</v>
      </c>
      <c r="H541" s="2" t="s">
        <v>50</v>
      </c>
    </row>
    <row r="542" customFormat="false" ht="14.25" hidden="false" customHeight="false" outlineLevel="0" collapsed="false">
      <c r="B542" s="6" t="s">
        <v>1844</v>
      </c>
      <c r="C542" s="2" t="s">
        <v>1845</v>
      </c>
      <c r="D542" s="2" t="s">
        <v>1846</v>
      </c>
      <c r="E542" s="2" t="s">
        <v>1769</v>
      </c>
      <c r="F542" s="6" t="n">
        <v>2006</v>
      </c>
      <c r="G542" s="2" t="s">
        <v>1847</v>
      </c>
      <c r="H542" s="2" t="s">
        <v>50</v>
      </c>
    </row>
    <row r="543" customFormat="false" ht="14.25" hidden="false" customHeight="false" outlineLevel="0" collapsed="false">
      <c r="B543" s="6" t="s">
        <v>1848</v>
      </c>
      <c r="C543" s="2" t="s">
        <v>1849</v>
      </c>
      <c r="D543" s="2" t="s">
        <v>1805</v>
      </c>
      <c r="E543" s="2" t="s">
        <v>1769</v>
      </c>
      <c r="F543" s="6" t="n">
        <v>2004</v>
      </c>
      <c r="G543" s="2" t="s">
        <v>1850</v>
      </c>
      <c r="H543" s="2" t="s">
        <v>433</v>
      </c>
    </row>
    <row r="544" customFormat="false" ht="14.25" hidden="false" customHeight="false" outlineLevel="0" collapsed="false">
      <c r="B544" s="6" t="s">
        <v>1851</v>
      </c>
      <c r="C544" s="2" t="s">
        <v>1852</v>
      </c>
      <c r="D544" s="2" t="s">
        <v>1805</v>
      </c>
      <c r="E544" s="2" t="s">
        <v>1769</v>
      </c>
      <c r="F544" s="6" t="n">
        <v>2003</v>
      </c>
      <c r="G544" s="2" t="s">
        <v>1853</v>
      </c>
      <c r="H544" s="2" t="s">
        <v>82</v>
      </c>
    </row>
    <row r="545" customFormat="false" ht="14.25" hidden="false" customHeight="false" outlineLevel="0" collapsed="false">
      <c r="B545" s="6" t="s">
        <v>1854</v>
      </c>
      <c r="C545" s="2" t="s">
        <v>1855</v>
      </c>
      <c r="D545" s="2" t="s">
        <v>1225</v>
      </c>
      <c r="E545" s="2" t="s">
        <v>1769</v>
      </c>
      <c r="F545" s="6" t="n">
        <v>2003</v>
      </c>
      <c r="G545" s="2" t="s">
        <v>1856</v>
      </c>
      <c r="H545" s="2" t="s">
        <v>1857</v>
      </c>
    </row>
    <row r="546" customFormat="false" ht="14.25" hidden="false" customHeight="false" outlineLevel="0" collapsed="false">
      <c r="B546" s="6" t="s">
        <v>1858</v>
      </c>
      <c r="C546" s="2" t="s">
        <v>1859</v>
      </c>
      <c r="D546" s="2" t="s">
        <v>1225</v>
      </c>
      <c r="E546" s="2" t="s">
        <v>1769</v>
      </c>
      <c r="F546" s="6" t="n">
        <v>2004</v>
      </c>
      <c r="G546" s="2" t="s">
        <v>1860</v>
      </c>
      <c r="H546" s="2" t="s">
        <v>1857</v>
      </c>
    </row>
    <row r="547" customFormat="false" ht="14.25" hidden="false" customHeight="false" outlineLevel="0" collapsed="false">
      <c r="B547" s="6" t="s">
        <v>1861</v>
      </c>
      <c r="C547" s="2" t="s">
        <v>1862</v>
      </c>
      <c r="D547" s="2" t="s">
        <v>1863</v>
      </c>
      <c r="E547" s="2" t="s">
        <v>1769</v>
      </c>
      <c r="F547" s="6" t="n">
        <v>2004</v>
      </c>
      <c r="G547" s="2" t="s">
        <v>1864</v>
      </c>
      <c r="H547" s="2" t="s">
        <v>17</v>
      </c>
    </row>
    <row r="548" customFormat="false" ht="14.25" hidden="false" customHeight="false" outlineLevel="0" collapsed="false">
      <c r="B548" s="6" t="s">
        <v>1865</v>
      </c>
      <c r="C548" s="2" t="s">
        <v>1866</v>
      </c>
      <c r="D548" s="2" t="s">
        <v>1863</v>
      </c>
      <c r="E548" s="2" t="s">
        <v>1769</v>
      </c>
      <c r="F548" s="6" t="n">
        <v>2004</v>
      </c>
      <c r="G548" s="2"/>
      <c r="H548" s="2" t="s">
        <v>1867</v>
      </c>
    </row>
    <row r="549" customFormat="false" ht="14.25" hidden="false" customHeight="false" outlineLevel="0" collapsed="false">
      <c r="B549" s="6" t="s">
        <v>1868</v>
      </c>
      <c r="C549" s="2" t="s">
        <v>1869</v>
      </c>
      <c r="D549" s="2" t="s">
        <v>1870</v>
      </c>
      <c r="E549" s="2" t="s">
        <v>1769</v>
      </c>
      <c r="F549" s="6" t="n">
        <v>2003</v>
      </c>
      <c r="G549" s="2" t="s">
        <v>1871</v>
      </c>
      <c r="H549" s="2" t="s">
        <v>17</v>
      </c>
    </row>
    <row r="550" customFormat="false" ht="14.25" hidden="false" customHeight="false" outlineLevel="0" collapsed="false">
      <c r="B550" s="6" t="s">
        <v>1872</v>
      </c>
      <c r="C550" s="2" t="s">
        <v>1873</v>
      </c>
      <c r="D550" s="2" t="s">
        <v>1870</v>
      </c>
      <c r="E550" s="2" t="s">
        <v>1769</v>
      </c>
      <c r="F550" s="6" t="n">
        <v>2003</v>
      </c>
      <c r="G550" s="2" t="s">
        <v>1874</v>
      </c>
      <c r="H550" s="2" t="s">
        <v>1867</v>
      </c>
    </row>
    <row r="551" customFormat="false" ht="14.25" hidden="false" customHeight="false" outlineLevel="0" collapsed="false">
      <c r="B551" s="6" t="s">
        <v>1875</v>
      </c>
      <c r="C551" s="2" t="s">
        <v>1876</v>
      </c>
      <c r="D551" s="2" t="s">
        <v>1870</v>
      </c>
      <c r="E551" s="2" t="s">
        <v>1769</v>
      </c>
      <c r="F551" s="6" t="n">
        <v>2001</v>
      </c>
      <c r="G551" s="2" t="s">
        <v>1877</v>
      </c>
      <c r="H551" s="2" t="s">
        <v>1867</v>
      </c>
    </row>
    <row r="552" customFormat="false" ht="14.25" hidden="false" customHeight="false" outlineLevel="0" collapsed="false">
      <c r="B552" s="6" t="s">
        <v>1878</v>
      </c>
      <c r="C552" s="2" t="s">
        <v>1879</v>
      </c>
      <c r="D552" s="2" t="s">
        <v>1870</v>
      </c>
      <c r="E552" s="2" t="s">
        <v>1769</v>
      </c>
      <c r="F552" s="6" t="n">
        <v>2003</v>
      </c>
      <c r="G552" s="2" t="s">
        <v>1874</v>
      </c>
      <c r="H552" s="2" t="s">
        <v>1867</v>
      </c>
    </row>
    <row r="553" customFormat="false" ht="14.25" hidden="false" customHeight="false" outlineLevel="0" collapsed="false">
      <c r="B553" s="6" t="s">
        <v>1880</v>
      </c>
      <c r="C553" s="2" t="s">
        <v>1881</v>
      </c>
      <c r="D553" s="2" t="s">
        <v>1870</v>
      </c>
      <c r="E553" s="2" t="s">
        <v>1769</v>
      </c>
      <c r="F553" s="6" t="n">
        <v>2003</v>
      </c>
      <c r="G553" s="2" t="s">
        <v>1882</v>
      </c>
      <c r="H553" s="2" t="s">
        <v>1883</v>
      </c>
    </row>
    <row r="554" customFormat="false" ht="14.25" hidden="false" customHeight="false" outlineLevel="0" collapsed="false">
      <c r="B554" s="6" t="s">
        <v>1884</v>
      </c>
      <c r="C554" s="2" t="s">
        <v>1885</v>
      </c>
      <c r="D554" s="2" t="s">
        <v>1870</v>
      </c>
      <c r="E554" s="2" t="s">
        <v>1769</v>
      </c>
      <c r="F554" s="6" t="n">
        <v>2003</v>
      </c>
      <c r="G554" s="2" t="s">
        <v>1886</v>
      </c>
      <c r="H554" s="2" t="s">
        <v>17</v>
      </c>
    </row>
    <row r="555" customFormat="false" ht="14.25" hidden="false" customHeight="false" outlineLevel="0" collapsed="false">
      <c r="B555" s="6" t="s">
        <v>1887</v>
      </c>
      <c r="C555" s="2" t="s">
        <v>1888</v>
      </c>
      <c r="D555" s="2" t="s">
        <v>1889</v>
      </c>
      <c r="E555" s="2" t="s">
        <v>1769</v>
      </c>
      <c r="F555" s="6" t="n">
        <v>2004</v>
      </c>
      <c r="G555" s="2" t="s">
        <v>1890</v>
      </c>
      <c r="H555" s="2" t="s">
        <v>1891</v>
      </c>
    </row>
    <row r="556" customFormat="false" ht="14.25" hidden="false" customHeight="false" outlineLevel="0" collapsed="false">
      <c r="B556" s="6" t="s">
        <v>1892</v>
      </c>
      <c r="C556" s="2" t="s">
        <v>1893</v>
      </c>
      <c r="D556" s="2" t="s">
        <v>1889</v>
      </c>
      <c r="E556" s="2" t="s">
        <v>1769</v>
      </c>
      <c r="F556" s="6" t="n">
        <v>2003</v>
      </c>
      <c r="G556" s="2" t="s">
        <v>1894</v>
      </c>
      <c r="H556" s="2" t="s">
        <v>433</v>
      </c>
    </row>
    <row r="557" customFormat="false" ht="14.25" hidden="false" customHeight="false" outlineLevel="0" collapsed="false">
      <c r="B557" s="6" t="s">
        <v>1895</v>
      </c>
      <c r="C557" s="2" t="s">
        <v>1896</v>
      </c>
      <c r="D557" s="2" t="s">
        <v>1897</v>
      </c>
      <c r="E557" s="2" t="s">
        <v>1769</v>
      </c>
      <c r="F557" s="6" t="n">
        <v>2001</v>
      </c>
      <c r="G557" s="2" t="s">
        <v>1898</v>
      </c>
      <c r="H557" s="2" t="s">
        <v>441</v>
      </c>
    </row>
    <row r="558" customFormat="false" ht="14.25" hidden="false" customHeight="false" outlineLevel="0" collapsed="false">
      <c r="B558" s="7" t="s">
        <v>1899</v>
      </c>
      <c r="C558" s="1" t="s">
        <v>1900</v>
      </c>
      <c r="D558" s="1" t="s">
        <v>1901</v>
      </c>
      <c r="E558" s="1" t="s">
        <v>1769</v>
      </c>
      <c r="F558" s="7" t="n">
        <v>2007</v>
      </c>
      <c r="G558" s="1" t="s">
        <v>1902</v>
      </c>
      <c r="H558" s="1" t="s">
        <v>888</v>
      </c>
    </row>
    <row r="559" customFormat="false" ht="14.25" hidden="false" customHeight="false" outlineLevel="0" collapsed="false">
      <c r="B559" s="7" t="s">
        <v>1903</v>
      </c>
      <c r="C559" s="1" t="s">
        <v>1904</v>
      </c>
      <c r="D559" s="2" t="s">
        <v>1768</v>
      </c>
      <c r="E559" s="1" t="s">
        <v>1769</v>
      </c>
      <c r="F559" s="7" t="n">
        <v>2000</v>
      </c>
      <c r="G559" s="1" t="s">
        <v>1905</v>
      </c>
      <c r="H559" s="2" t="s">
        <v>835</v>
      </c>
    </row>
    <row r="560" customFormat="false" ht="14.25" hidden="false" customHeight="false" outlineLevel="0" collapsed="false">
      <c r="B560" s="7" t="s">
        <v>1906</v>
      </c>
      <c r="C560" s="1" t="s">
        <v>1824</v>
      </c>
      <c r="D560" s="2" t="s">
        <v>1233</v>
      </c>
      <c r="E560" s="1" t="s">
        <v>1769</v>
      </c>
      <c r="F560" s="7" t="n">
        <v>2000</v>
      </c>
      <c r="G560" s="1" t="s">
        <v>1825</v>
      </c>
      <c r="H560" s="2" t="s">
        <v>433</v>
      </c>
    </row>
    <row r="561" customFormat="false" ht="14.25" hidden="false" customHeight="false" outlineLevel="0" collapsed="false">
      <c r="B561" s="7" t="s">
        <v>1907</v>
      </c>
      <c r="C561" s="1" t="s">
        <v>1908</v>
      </c>
      <c r="D561" s="2" t="s">
        <v>1768</v>
      </c>
      <c r="E561" s="1" t="s">
        <v>1769</v>
      </c>
      <c r="F561" s="7" t="n">
        <v>2001</v>
      </c>
      <c r="G561" s="1" t="s">
        <v>1787</v>
      </c>
      <c r="H561" s="2" t="s">
        <v>433</v>
      </c>
    </row>
    <row r="562" customFormat="false" ht="14.25" hidden="false" customHeight="false" outlineLevel="0" collapsed="false">
      <c r="B562" s="7" t="s">
        <v>1909</v>
      </c>
      <c r="C562" s="1" t="s">
        <v>1910</v>
      </c>
      <c r="D562" s="2" t="s">
        <v>1233</v>
      </c>
      <c r="E562" s="1" t="s">
        <v>1769</v>
      </c>
      <c r="F562" s="7" t="n">
        <v>2010</v>
      </c>
      <c r="G562" s="1" t="s">
        <v>1902</v>
      </c>
      <c r="H562" s="2" t="s">
        <v>1911</v>
      </c>
    </row>
    <row r="563" customFormat="false" ht="14.25" hidden="false" customHeight="false" outlineLevel="0" collapsed="false">
      <c r="B563" s="7" t="s">
        <v>1912</v>
      </c>
      <c r="C563" s="1" t="s">
        <v>1913</v>
      </c>
      <c r="F563" s="7" t="n">
        <v>2007</v>
      </c>
      <c r="G563" s="1" t="s">
        <v>1914</v>
      </c>
      <c r="H563" s="1" t="s">
        <v>50</v>
      </c>
    </row>
    <row r="564" customFormat="false" ht="14.25" hidden="false" customHeight="false" outlineLevel="0" collapsed="false">
      <c r="B564" s="7" t="s">
        <v>1915</v>
      </c>
      <c r="C564" s="1" t="s">
        <v>1916</v>
      </c>
      <c r="E564" s="1" t="s">
        <v>1634</v>
      </c>
      <c r="F564" s="7" t="n">
        <v>1998</v>
      </c>
      <c r="G564" s="1" t="s">
        <v>1917</v>
      </c>
      <c r="H564" s="1" t="s">
        <v>303</v>
      </c>
    </row>
    <row r="565" customFormat="false" ht="14.25" hidden="false" customHeight="false" outlineLevel="0" collapsed="false">
      <c r="B565" s="7" t="s">
        <v>1918</v>
      </c>
      <c r="C565" s="1" t="s">
        <v>1919</v>
      </c>
      <c r="E565" s="1" t="s">
        <v>1634</v>
      </c>
      <c r="F565" s="7" t="n">
        <v>1999</v>
      </c>
      <c r="G565" s="1" t="s">
        <v>1920</v>
      </c>
      <c r="H565" s="1" t="s">
        <v>303</v>
      </c>
    </row>
    <row r="566" customFormat="false" ht="14.25" hidden="false" customHeight="false" outlineLevel="0" collapsed="false">
      <c r="B566" s="6" t="s">
        <v>1921</v>
      </c>
      <c r="C566" s="2" t="s">
        <v>1922</v>
      </c>
      <c r="D566" s="2" t="s">
        <v>1923</v>
      </c>
      <c r="E566" s="2" t="s">
        <v>1634</v>
      </c>
      <c r="F566" s="6" t="n">
        <v>2000</v>
      </c>
      <c r="G566" s="2" t="s">
        <v>1924</v>
      </c>
      <c r="H566" s="2" t="s">
        <v>147</v>
      </c>
    </row>
    <row r="567" customFormat="false" ht="14.25" hidden="false" customHeight="false" outlineLevel="0" collapsed="false">
      <c r="B567" s="6" t="s">
        <v>1925</v>
      </c>
      <c r="C567" s="2" t="s">
        <v>1926</v>
      </c>
      <c r="D567" s="2" t="s">
        <v>1923</v>
      </c>
      <c r="E567" s="2" t="s">
        <v>1634</v>
      </c>
      <c r="F567" s="6" t="n">
        <v>2000</v>
      </c>
      <c r="G567" s="2" t="s">
        <v>1927</v>
      </c>
      <c r="H567" s="2" t="s">
        <v>147</v>
      </c>
    </row>
    <row r="568" customFormat="false" ht="14.25" hidden="false" customHeight="false" outlineLevel="0" collapsed="false">
      <c r="B568" s="6" t="s">
        <v>1928</v>
      </c>
      <c r="C568" s="2" t="s">
        <v>1929</v>
      </c>
      <c r="D568" s="2"/>
      <c r="E568" s="2" t="s">
        <v>1634</v>
      </c>
      <c r="F568" s="6" t="n">
        <v>1998</v>
      </c>
      <c r="G568" s="2" t="s">
        <v>1930</v>
      </c>
      <c r="H568" s="2" t="s">
        <v>1931</v>
      </c>
    </row>
    <row r="569" customFormat="false" ht="14.25" hidden="false" customHeight="false" outlineLevel="0" collapsed="false">
      <c r="B569" s="6" t="s">
        <v>1932</v>
      </c>
      <c r="C569" s="2" t="s">
        <v>1933</v>
      </c>
      <c r="D569" s="2"/>
      <c r="E569" s="2" t="s">
        <v>1634</v>
      </c>
      <c r="F569" s="6" t="n">
        <v>2000</v>
      </c>
      <c r="G569" s="2"/>
      <c r="H569" s="2" t="s">
        <v>1934</v>
      </c>
    </row>
    <row r="570" customFormat="false" ht="14.25" hidden="false" customHeight="false" outlineLevel="0" collapsed="false">
      <c r="B570" s="7" t="s">
        <v>1935</v>
      </c>
      <c r="C570" s="1" t="s">
        <v>1936</v>
      </c>
      <c r="D570" s="1" t="s">
        <v>1937</v>
      </c>
      <c r="E570" s="1" t="s">
        <v>1634</v>
      </c>
      <c r="F570" s="7" t="n">
        <v>1999</v>
      </c>
      <c r="G570" s="1" t="s">
        <v>1938</v>
      </c>
      <c r="H570" s="1" t="s">
        <v>1527</v>
      </c>
    </row>
    <row r="571" customFormat="false" ht="14.25" hidden="false" customHeight="false" outlineLevel="0" collapsed="false">
      <c r="B571" s="6" t="s">
        <v>1939</v>
      </c>
      <c r="C571" s="2" t="s">
        <v>1940</v>
      </c>
      <c r="D571" s="2"/>
      <c r="E571" s="2" t="s">
        <v>1634</v>
      </c>
      <c r="F571" s="6" t="n">
        <v>2003</v>
      </c>
      <c r="G571" s="2" t="s">
        <v>1941</v>
      </c>
      <c r="H571" s="2" t="s">
        <v>104</v>
      </c>
    </row>
    <row r="572" customFormat="false" ht="14.25" hidden="false" customHeight="false" outlineLevel="0" collapsed="false">
      <c r="B572" s="6" t="s">
        <v>1942</v>
      </c>
      <c r="C572" s="2" t="s">
        <v>1943</v>
      </c>
      <c r="D572" s="2"/>
      <c r="E572" s="2" t="s">
        <v>1634</v>
      </c>
      <c r="F572" s="6" t="n">
        <v>2000</v>
      </c>
      <c r="G572" s="2"/>
      <c r="H572" s="2" t="s">
        <v>1934</v>
      </c>
    </row>
    <row r="573" customFormat="false" ht="14.25" hidden="false" customHeight="false" outlineLevel="0" collapsed="false">
      <c r="B573" s="6" t="s">
        <v>1944</v>
      </c>
      <c r="C573" s="2" t="s">
        <v>1945</v>
      </c>
      <c r="D573" s="2" t="s">
        <v>1923</v>
      </c>
      <c r="E573" s="2" t="s">
        <v>1634</v>
      </c>
      <c r="F573" s="6" t="n">
        <v>2000</v>
      </c>
      <c r="G573" s="2" t="s">
        <v>1187</v>
      </c>
      <c r="H573" s="2" t="s">
        <v>118</v>
      </c>
    </row>
    <row r="574" customFormat="false" ht="14.25" hidden="false" customHeight="false" outlineLevel="0" collapsed="false">
      <c r="B574" s="6" t="s">
        <v>1946</v>
      </c>
      <c r="C574" s="2" t="s">
        <v>1947</v>
      </c>
      <c r="D574" s="2" t="s">
        <v>1923</v>
      </c>
      <c r="E574" s="2" t="s">
        <v>1634</v>
      </c>
      <c r="F574" s="6" t="n">
        <v>2000</v>
      </c>
      <c r="G574" s="2" t="s">
        <v>1187</v>
      </c>
      <c r="H574" s="2" t="s">
        <v>118</v>
      </c>
    </row>
    <row r="575" customFormat="false" ht="14.25" hidden="false" customHeight="false" outlineLevel="0" collapsed="false">
      <c r="B575" s="6" t="s">
        <v>1948</v>
      </c>
      <c r="C575" s="1" t="s">
        <v>1949</v>
      </c>
      <c r="E575" s="2" t="s">
        <v>1634</v>
      </c>
      <c r="F575" s="7" t="n">
        <v>1998</v>
      </c>
      <c r="G575" s="1" t="s">
        <v>1157</v>
      </c>
      <c r="H575" s="1" t="s">
        <v>1147</v>
      </c>
    </row>
    <row r="576" customFormat="false" ht="14.25" hidden="false" customHeight="false" outlineLevel="0" collapsed="false">
      <c r="B576" s="6" t="s">
        <v>1950</v>
      </c>
      <c r="C576" s="2" t="s">
        <v>1951</v>
      </c>
      <c r="D576" s="2"/>
      <c r="E576" s="2" t="s">
        <v>1142</v>
      </c>
      <c r="F576" s="6" t="n">
        <v>2000</v>
      </c>
      <c r="G576" s="2" t="s">
        <v>440</v>
      </c>
      <c r="H576" s="2" t="s">
        <v>303</v>
      </c>
    </row>
    <row r="577" customFormat="false" ht="14.25" hidden="false" customHeight="false" outlineLevel="0" collapsed="false">
      <c r="B577" s="6" t="s">
        <v>1952</v>
      </c>
      <c r="C577" s="2" t="s">
        <v>1953</v>
      </c>
      <c r="D577" s="2"/>
      <c r="E577" s="1" t="s">
        <v>1142</v>
      </c>
      <c r="F577" s="6" t="n">
        <v>1998</v>
      </c>
      <c r="G577" s="2" t="s">
        <v>1954</v>
      </c>
      <c r="H577" s="2" t="s">
        <v>244</v>
      </c>
    </row>
    <row r="578" customFormat="false" ht="14.25" hidden="false" customHeight="false" outlineLevel="0" collapsed="false">
      <c r="B578" s="6" t="s">
        <v>1955</v>
      </c>
      <c r="C578" s="2" t="s">
        <v>1956</v>
      </c>
      <c r="D578" s="2"/>
      <c r="F578" s="6" t="n">
        <v>2000</v>
      </c>
      <c r="G578" s="2"/>
      <c r="H578" s="2" t="s">
        <v>118</v>
      </c>
    </row>
    <row r="579" customFormat="false" ht="14.25" hidden="false" customHeight="false" outlineLevel="0" collapsed="false">
      <c r="B579" s="6" t="s">
        <v>1957</v>
      </c>
      <c r="C579" s="2" t="s">
        <v>1958</v>
      </c>
      <c r="D579" s="2" t="s">
        <v>1959</v>
      </c>
      <c r="E579" s="2" t="s">
        <v>1634</v>
      </c>
      <c r="F579" s="6" t="n">
        <v>1999</v>
      </c>
      <c r="G579" s="2" t="s">
        <v>1960</v>
      </c>
      <c r="H579" s="2" t="s">
        <v>220</v>
      </c>
    </row>
    <row r="580" customFormat="false" ht="14.25" hidden="false" customHeight="false" outlineLevel="0" collapsed="false">
      <c r="B580" s="6" t="s">
        <v>1961</v>
      </c>
      <c r="C580" s="2" t="s">
        <v>1962</v>
      </c>
      <c r="D580" s="2" t="s">
        <v>1959</v>
      </c>
      <c r="E580" s="2" t="s">
        <v>1634</v>
      </c>
      <c r="F580" s="6" t="n">
        <v>1999</v>
      </c>
      <c r="G580" s="2" t="s">
        <v>1963</v>
      </c>
      <c r="H580" s="2" t="s">
        <v>220</v>
      </c>
    </row>
    <row r="581" customFormat="false" ht="14.25" hidden="false" customHeight="false" outlineLevel="0" collapsed="false">
      <c r="B581" s="6" t="s">
        <v>1964</v>
      </c>
      <c r="C581" s="2" t="s">
        <v>1965</v>
      </c>
      <c r="D581" s="2" t="s">
        <v>1959</v>
      </c>
      <c r="E581" s="2" t="s">
        <v>1634</v>
      </c>
      <c r="F581" s="6" t="n">
        <v>1999</v>
      </c>
      <c r="G581" s="2" t="s">
        <v>1966</v>
      </c>
      <c r="H581" s="2" t="s">
        <v>17</v>
      </c>
    </row>
    <row r="582" customFormat="false" ht="14.25" hidden="false" customHeight="false" outlineLevel="0" collapsed="false">
      <c r="B582" s="6" t="s">
        <v>1967</v>
      </c>
      <c r="C582" s="2" t="s">
        <v>1968</v>
      </c>
      <c r="D582" s="2" t="s">
        <v>1959</v>
      </c>
      <c r="E582" s="2" t="s">
        <v>1634</v>
      </c>
      <c r="F582" s="6" t="n">
        <v>2000</v>
      </c>
      <c r="G582" s="2" t="s">
        <v>1969</v>
      </c>
      <c r="H582" s="2" t="s">
        <v>255</v>
      </c>
    </row>
    <row r="583" customFormat="false" ht="14.25" hidden="false" customHeight="false" outlineLevel="0" collapsed="false">
      <c r="B583" s="6" t="s">
        <v>1970</v>
      </c>
      <c r="C583" s="2" t="s">
        <v>1971</v>
      </c>
      <c r="D583" s="2" t="s">
        <v>1959</v>
      </c>
      <c r="E583" s="2" t="s">
        <v>1634</v>
      </c>
      <c r="F583" s="6" t="n">
        <v>1997</v>
      </c>
      <c r="G583" s="2" t="s">
        <v>1187</v>
      </c>
      <c r="H583" s="2" t="s">
        <v>220</v>
      </c>
    </row>
    <row r="584" customFormat="false" ht="14.25" hidden="false" customHeight="false" outlineLevel="0" collapsed="false">
      <c r="B584" s="6" t="s">
        <v>1972</v>
      </c>
      <c r="C584" s="2" t="s">
        <v>1973</v>
      </c>
      <c r="D584" s="2" t="s">
        <v>1959</v>
      </c>
      <c r="E584" s="2" t="s">
        <v>1634</v>
      </c>
      <c r="F584" s="6" t="n">
        <v>1998</v>
      </c>
      <c r="G584" s="2" t="s">
        <v>1187</v>
      </c>
      <c r="H584" s="2" t="s">
        <v>220</v>
      </c>
    </row>
    <row r="585" customFormat="false" ht="14.25" hidden="false" customHeight="false" outlineLevel="0" collapsed="false">
      <c r="B585" s="6" t="s">
        <v>1974</v>
      </c>
      <c r="C585" s="2" t="s">
        <v>1975</v>
      </c>
      <c r="D585" s="2" t="s">
        <v>1976</v>
      </c>
      <c r="E585" s="2" t="s">
        <v>1634</v>
      </c>
      <c r="F585" s="6" t="n">
        <v>1998</v>
      </c>
      <c r="G585" s="2" t="s">
        <v>1187</v>
      </c>
      <c r="H585" s="2" t="s">
        <v>220</v>
      </c>
    </row>
    <row r="586" customFormat="false" ht="14.25" hidden="false" customHeight="false" outlineLevel="0" collapsed="false">
      <c r="B586" s="6" t="s">
        <v>1977</v>
      </c>
      <c r="C586" s="2" t="s">
        <v>1978</v>
      </c>
      <c r="D586" s="2" t="s">
        <v>1959</v>
      </c>
      <c r="E586" s="2" t="s">
        <v>1634</v>
      </c>
      <c r="F586" s="6" t="n">
        <v>1998</v>
      </c>
      <c r="G586" s="2" t="s">
        <v>1979</v>
      </c>
      <c r="H586" s="2" t="s">
        <v>303</v>
      </c>
    </row>
    <row r="587" customFormat="false" ht="14.25" hidden="false" customHeight="false" outlineLevel="0" collapsed="false">
      <c r="B587" s="6" t="s">
        <v>1980</v>
      </c>
      <c r="C587" s="2" t="s">
        <v>1981</v>
      </c>
      <c r="D587" s="2" t="s">
        <v>1982</v>
      </c>
      <c r="E587" s="2" t="s">
        <v>1634</v>
      </c>
      <c r="F587" s="6" t="n">
        <v>1998</v>
      </c>
      <c r="G587" s="2" t="s">
        <v>1983</v>
      </c>
      <c r="H587" s="2" t="s">
        <v>303</v>
      </c>
    </row>
    <row r="588" customFormat="false" ht="14.25" hidden="false" customHeight="false" outlineLevel="0" collapsed="false">
      <c r="B588" s="6" t="s">
        <v>1984</v>
      </c>
      <c r="C588" s="2" t="s">
        <v>1985</v>
      </c>
      <c r="D588" s="2" t="s">
        <v>1982</v>
      </c>
      <c r="E588" s="2" t="s">
        <v>1634</v>
      </c>
      <c r="F588" s="6" t="n">
        <v>1998</v>
      </c>
      <c r="G588" s="2" t="s">
        <v>1986</v>
      </c>
      <c r="H588" s="2" t="s">
        <v>1629</v>
      </c>
    </row>
    <row r="589" customFormat="false" ht="14.25" hidden="false" customHeight="false" outlineLevel="0" collapsed="false">
      <c r="B589" s="6" t="s">
        <v>1987</v>
      </c>
      <c r="C589" s="2" t="s">
        <v>1988</v>
      </c>
      <c r="D589" s="2" t="s">
        <v>1989</v>
      </c>
      <c r="E589" s="2" t="s">
        <v>1634</v>
      </c>
      <c r="F589" s="6" t="n">
        <v>2001</v>
      </c>
      <c r="G589" s="2" t="s">
        <v>1990</v>
      </c>
      <c r="H589" s="2" t="s">
        <v>467</v>
      </c>
    </row>
    <row r="590" customFormat="false" ht="14.25" hidden="false" customHeight="false" outlineLevel="0" collapsed="false">
      <c r="B590" s="6" t="s">
        <v>1991</v>
      </c>
      <c r="C590" s="2" t="s">
        <v>1992</v>
      </c>
      <c r="D590" s="2"/>
      <c r="E590" s="2" t="s">
        <v>1634</v>
      </c>
      <c r="F590" s="6" t="n">
        <v>2004</v>
      </c>
      <c r="G590" s="2" t="s">
        <v>1993</v>
      </c>
      <c r="H590" s="2" t="s">
        <v>1994</v>
      </c>
    </row>
    <row r="591" customFormat="false" ht="14.25" hidden="false" customHeight="false" outlineLevel="0" collapsed="false">
      <c r="B591" s="6" t="s">
        <v>1995</v>
      </c>
      <c r="C591" s="2" t="s">
        <v>1996</v>
      </c>
      <c r="D591" s="2" t="s">
        <v>1997</v>
      </c>
      <c r="E591" s="2" t="s">
        <v>1634</v>
      </c>
      <c r="F591" s="6" t="n">
        <v>2004</v>
      </c>
      <c r="G591" s="2" t="s">
        <v>1998</v>
      </c>
      <c r="H591" s="2" t="s">
        <v>82</v>
      </c>
    </row>
    <row r="592" customFormat="false" ht="14.25" hidden="false" customHeight="false" outlineLevel="0" collapsed="false">
      <c r="B592" s="7" t="s">
        <v>1999</v>
      </c>
      <c r="C592" s="1" t="s">
        <v>2000</v>
      </c>
      <c r="E592" s="1" t="s">
        <v>1634</v>
      </c>
      <c r="F592" s="7" t="n">
        <v>2005</v>
      </c>
      <c r="G592" s="1" t="s">
        <v>1917</v>
      </c>
      <c r="H592" s="1" t="s">
        <v>50</v>
      </c>
    </row>
    <row r="593" customFormat="false" ht="14.25" hidden="false" customHeight="false" outlineLevel="0" collapsed="false">
      <c r="B593" s="6" t="s">
        <v>2001</v>
      </c>
      <c r="C593" s="2" t="s">
        <v>2002</v>
      </c>
      <c r="D593" s="2"/>
      <c r="E593" s="2" t="s">
        <v>1634</v>
      </c>
      <c r="F593" s="6" t="n">
        <v>2002</v>
      </c>
      <c r="G593" s="2"/>
      <c r="H593" s="2" t="s">
        <v>255</v>
      </c>
    </row>
    <row r="594" customFormat="false" ht="14.25" hidden="false" customHeight="false" outlineLevel="0" collapsed="false">
      <c r="B594" s="6" t="s">
        <v>2003</v>
      </c>
      <c r="C594" s="1" t="s">
        <v>2004</v>
      </c>
      <c r="E594" s="2" t="s">
        <v>1634</v>
      </c>
      <c r="F594" s="7" t="n">
        <v>2016</v>
      </c>
      <c r="G594" s="1" t="s">
        <v>931</v>
      </c>
      <c r="H594" s="1" t="s">
        <v>50</v>
      </c>
    </row>
    <row r="595" customFormat="false" ht="14.25" hidden="false" customHeight="false" outlineLevel="0" collapsed="false">
      <c r="B595" s="6" t="s">
        <v>2005</v>
      </c>
      <c r="C595" s="1" t="s">
        <v>2006</v>
      </c>
      <c r="E595" s="2" t="s">
        <v>1634</v>
      </c>
      <c r="F595" s="7" t="n">
        <v>2017</v>
      </c>
      <c r="G595" s="1" t="s">
        <v>2007</v>
      </c>
      <c r="H595" s="1" t="s">
        <v>50</v>
      </c>
    </row>
    <row r="596" customFormat="false" ht="14.25" hidden="false" customHeight="false" outlineLevel="0" collapsed="false">
      <c r="B596" s="6" t="s">
        <v>2008</v>
      </c>
      <c r="C596" s="1" t="s">
        <v>2009</v>
      </c>
      <c r="E596" s="2" t="s">
        <v>1634</v>
      </c>
      <c r="F596" s="7" t="n">
        <v>2017</v>
      </c>
      <c r="G596" s="1" t="s">
        <v>2010</v>
      </c>
      <c r="H596" s="1" t="s">
        <v>709</v>
      </c>
    </row>
    <row r="597" customFormat="false" ht="14.25" hidden="false" customHeight="false" outlineLevel="0" collapsed="false">
      <c r="B597" s="7" t="s">
        <v>2011</v>
      </c>
      <c r="C597" s="1" t="s">
        <v>2012</v>
      </c>
      <c r="D597" s="1" t="s">
        <v>2013</v>
      </c>
      <c r="E597" s="1" t="s">
        <v>1634</v>
      </c>
      <c r="F597" s="7" t="n">
        <v>1999</v>
      </c>
      <c r="G597" s="1" t="s">
        <v>2014</v>
      </c>
      <c r="H597" s="1" t="s">
        <v>104</v>
      </c>
    </row>
    <row r="598" customFormat="false" ht="14.25" hidden="false" customHeight="false" outlineLevel="0" collapsed="false">
      <c r="B598" s="7" t="s">
        <v>2015</v>
      </c>
      <c r="C598" s="1" t="s">
        <v>2016</v>
      </c>
      <c r="D598" s="1" t="s">
        <v>2013</v>
      </c>
      <c r="E598" s="1" t="s">
        <v>1634</v>
      </c>
      <c r="F598" s="7" t="n">
        <v>2000</v>
      </c>
      <c r="G598" s="1" t="s">
        <v>2017</v>
      </c>
      <c r="H598" s="1" t="s">
        <v>2018</v>
      </c>
    </row>
    <row r="599" customFormat="false" ht="14.25" hidden="false" customHeight="false" outlineLevel="0" collapsed="false">
      <c r="B599" s="6" t="s">
        <v>2019</v>
      </c>
      <c r="C599" s="2" t="s">
        <v>2020</v>
      </c>
      <c r="D599" s="2" t="s">
        <v>2013</v>
      </c>
      <c r="E599" s="1" t="s">
        <v>1634</v>
      </c>
      <c r="F599" s="6" t="n">
        <v>1998</v>
      </c>
      <c r="G599" s="2" t="s">
        <v>2021</v>
      </c>
      <c r="H599" s="2" t="s">
        <v>2022</v>
      </c>
    </row>
    <row r="600" customFormat="false" ht="14.25" hidden="false" customHeight="false" outlineLevel="0" collapsed="false">
      <c r="B600" s="6" t="s">
        <v>2023</v>
      </c>
      <c r="C600" s="2" t="s">
        <v>2024</v>
      </c>
      <c r="D600" s="2"/>
      <c r="E600" s="2" t="s">
        <v>1634</v>
      </c>
      <c r="F600" s="6" t="n">
        <v>2001</v>
      </c>
      <c r="G600" s="2" t="s">
        <v>2025</v>
      </c>
      <c r="H600" s="2" t="s">
        <v>82</v>
      </c>
    </row>
    <row r="601" customFormat="false" ht="14.25" hidden="false" customHeight="false" outlineLevel="0" collapsed="false">
      <c r="B601" s="7" t="s">
        <v>2026</v>
      </c>
      <c r="C601" s="2" t="s">
        <v>2027</v>
      </c>
      <c r="D601" s="2"/>
      <c r="E601" s="2" t="s">
        <v>1634</v>
      </c>
      <c r="F601" s="6" t="n">
        <v>2000</v>
      </c>
      <c r="G601" s="2" t="s">
        <v>2028</v>
      </c>
      <c r="H601" s="2" t="s">
        <v>244</v>
      </c>
    </row>
    <row r="602" customFormat="false" ht="14.25" hidden="false" customHeight="false" outlineLevel="0" collapsed="false">
      <c r="B602" s="6" t="s">
        <v>2029</v>
      </c>
      <c r="C602" s="2" t="s">
        <v>2030</v>
      </c>
      <c r="D602" s="2"/>
      <c r="E602" s="1" t="s">
        <v>1634</v>
      </c>
      <c r="F602" s="6" t="n">
        <v>2001</v>
      </c>
      <c r="G602" s="2" t="s">
        <v>2031</v>
      </c>
      <c r="H602" s="1" t="s">
        <v>104</v>
      </c>
    </row>
    <row r="603" customFormat="false" ht="14.25" hidden="false" customHeight="false" outlineLevel="0" collapsed="false">
      <c r="B603" s="7" t="s">
        <v>2032</v>
      </c>
      <c r="C603" s="2" t="s">
        <v>2033</v>
      </c>
      <c r="D603" s="2"/>
      <c r="E603" s="1" t="s">
        <v>1634</v>
      </c>
      <c r="F603" s="6" t="n">
        <v>1998</v>
      </c>
      <c r="G603" s="2" t="s">
        <v>2034</v>
      </c>
      <c r="H603" s="1" t="s">
        <v>104</v>
      </c>
    </row>
    <row r="604" customFormat="false" ht="14.25" hidden="false" customHeight="false" outlineLevel="0" collapsed="false">
      <c r="B604" s="6" t="s">
        <v>2035</v>
      </c>
      <c r="C604" s="2" t="s">
        <v>2036</v>
      </c>
      <c r="D604" s="2"/>
      <c r="E604" s="1" t="s">
        <v>1634</v>
      </c>
      <c r="F604" s="6" t="n">
        <v>2000</v>
      </c>
      <c r="G604" s="2" t="s">
        <v>2037</v>
      </c>
      <c r="H604" s="2" t="s">
        <v>2038</v>
      </c>
    </row>
    <row r="605" customFormat="false" ht="14.25" hidden="false" customHeight="false" outlineLevel="0" collapsed="false">
      <c r="B605" s="6" t="s">
        <v>2039</v>
      </c>
      <c r="C605" s="2" t="s">
        <v>1953</v>
      </c>
      <c r="D605" s="2"/>
      <c r="E605" s="1" t="s">
        <v>1634</v>
      </c>
      <c r="F605" s="6" t="n">
        <v>1998</v>
      </c>
      <c r="G605" s="2" t="s">
        <v>2028</v>
      </c>
      <c r="H605" s="2" t="s">
        <v>244</v>
      </c>
    </row>
    <row r="606" customFormat="false" ht="14.25" hidden="false" customHeight="false" outlineLevel="0" collapsed="false">
      <c r="B606" s="6" t="s">
        <v>2040</v>
      </c>
      <c r="C606" s="2" t="s">
        <v>2041</v>
      </c>
      <c r="D606" s="2" t="s">
        <v>2042</v>
      </c>
      <c r="E606" s="2" t="s">
        <v>1634</v>
      </c>
      <c r="F606" s="6" t="n">
        <v>1999</v>
      </c>
      <c r="G606" s="2" t="s">
        <v>2043</v>
      </c>
      <c r="H606" s="2" t="s">
        <v>104</v>
      </c>
    </row>
    <row r="607" customFormat="false" ht="14.25" hidden="false" customHeight="false" outlineLevel="0" collapsed="false">
      <c r="B607" s="6" t="s">
        <v>2044</v>
      </c>
      <c r="C607" s="2" t="s">
        <v>2045</v>
      </c>
      <c r="D607" s="2" t="s">
        <v>2046</v>
      </c>
      <c r="E607" s="2" t="s">
        <v>1634</v>
      </c>
      <c r="F607" s="6" t="n">
        <v>1998</v>
      </c>
      <c r="G607" s="2"/>
      <c r="H607" s="2" t="s">
        <v>220</v>
      </c>
    </row>
    <row r="608" customFormat="false" ht="14.25" hidden="false" customHeight="false" outlineLevel="0" collapsed="false">
      <c r="B608" s="6" t="s">
        <v>2047</v>
      </c>
      <c r="C608" s="2" t="s">
        <v>2048</v>
      </c>
      <c r="D608" s="2" t="s">
        <v>2049</v>
      </c>
      <c r="E608" s="2" t="s">
        <v>1634</v>
      </c>
      <c r="F608" s="6" t="n">
        <v>1999</v>
      </c>
      <c r="G608" s="2" t="s">
        <v>2050</v>
      </c>
      <c r="H608" s="2" t="s">
        <v>244</v>
      </c>
    </row>
    <row r="609" customFormat="false" ht="14.25" hidden="false" customHeight="false" outlineLevel="0" collapsed="false">
      <c r="B609" s="6" t="s">
        <v>2051</v>
      </c>
      <c r="C609" s="2" t="s">
        <v>2052</v>
      </c>
      <c r="D609" s="2" t="s">
        <v>2053</v>
      </c>
      <c r="E609" s="2" t="s">
        <v>1634</v>
      </c>
      <c r="F609" s="6" t="n">
        <v>1998</v>
      </c>
      <c r="G609" s="2" t="s">
        <v>2054</v>
      </c>
      <c r="H609" s="2" t="s">
        <v>704</v>
      </c>
    </row>
    <row r="610" customFormat="false" ht="14.25" hidden="false" customHeight="false" outlineLevel="0" collapsed="false">
      <c r="B610" s="6" t="s">
        <v>2055</v>
      </c>
      <c r="C610" s="2" t="s">
        <v>2056</v>
      </c>
      <c r="D610" s="2" t="s">
        <v>2057</v>
      </c>
      <c r="E610" s="2" t="s">
        <v>1634</v>
      </c>
      <c r="F610" s="6" t="n">
        <v>1999</v>
      </c>
      <c r="G610" s="2" t="s">
        <v>2058</v>
      </c>
      <c r="H610" s="2" t="s">
        <v>704</v>
      </c>
    </row>
    <row r="611" customFormat="false" ht="14.25" hidden="false" customHeight="false" outlineLevel="0" collapsed="false">
      <c r="B611" s="6" t="s">
        <v>2059</v>
      </c>
      <c r="C611" s="2" t="s">
        <v>2060</v>
      </c>
      <c r="D611" s="2" t="s">
        <v>2057</v>
      </c>
      <c r="E611" s="2" t="s">
        <v>1634</v>
      </c>
      <c r="F611" s="6" t="n">
        <v>1999</v>
      </c>
      <c r="G611" s="2"/>
      <c r="H611" s="2" t="s">
        <v>220</v>
      </c>
    </row>
    <row r="612" customFormat="false" ht="14.25" hidden="false" customHeight="false" outlineLevel="0" collapsed="false">
      <c r="B612" s="6" t="s">
        <v>2061</v>
      </c>
      <c r="C612" s="2" t="s">
        <v>2062</v>
      </c>
      <c r="D612" s="2" t="s">
        <v>2063</v>
      </c>
      <c r="E612" s="2" t="s">
        <v>1634</v>
      </c>
      <c r="F612" s="6" t="n">
        <v>1999</v>
      </c>
      <c r="G612" s="2" t="s">
        <v>2064</v>
      </c>
      <c r="H612" s="2" t="s">
        <v>704</v>
      </c>
    </row>
    <row r="613" customFormat="false" ht="14.25" hidden="false" customHeight="false" outlineLevel="0" collapsed="false">
      <c r="B613" s="6" t="s">
        <v>2065</v>
      </c>
      <c r="C613" s="2" t="s">
        <v>2066</v>
      </c>
      <c r="D613" s="2"/>
      <c r="E613" s="2" t="s">
        <v>1634</v>
      </c>
      <c r="F613" s="6" t="n">
        <v>2003</v>
      </c>
      <c r="G613" s="2" t="s">
        <v>2067</v>
      </c>
      <c r="H613" s="2" t="s">
        <v>104</v>
      </c>
    </row>
    <row r="614" customFormat="false" ht="14.25" hidden="false" customHeight="false" outlineLevel="0" collapsed="false">
      <c r="B614" s="6" t="s">
        <v>2068</v>
      </c>
      <c r="C614" s="2" t="s">
        <v>2069</v>
      </c>
      <c r="D614" s="2"/>
      <c r="E614" s="2" t="s">
        <v>1634</v>
      </c>
      <c r="F614" s="6" t="n">
        <v>1998</v>
      </c>
      <c r="G614" s="2" t="s">
        <v>2070</v>
      </c>
      <c r="H614" s="2" t="s">
        <v>220</v>
      </c>
    </row>
    <row r="615" customFormat="false" ht="14.25" hidden="false" customHeight="false" outlineLevel="0" collapsed="false">
      <c r="B615" s="6" t="s">
        <v>2071</v>
      </c>
      <c r="C615" s="2" t="s">
        <v>2072</v>
      </c>
      <c r="D615" s="2" t="s">
        <v>2073</v>
      </c>
      <c r="E615" s="2" t="s">
        <v>1634</v>
      </c>
      <c r="F615" s="6" t="n">
        <v>1999</v>
      </c>
      <c r="G615" s="2" t="s">
        <v>2074</v>
      </c>
      <c r="H615" s="2" t="s">
        <v>82</v>
      </c>
    </row>
    <row r="616" customFormat="false" ht="14.25" hidden="false" customHeight="false" outlineLevel="0" collapsed="false">
      <c r="B616" s="6" t="s">
        <v>2075</v>
      </c>
      <c r="C616" s="2" t="s">
        <v>2076</v>
      </c>
      <c r="D616" s="2" t="s">
        <v>2077</v>
      </c>
      <c r="E616" s="2" t="s">
        <v>1634</v>
      </c>
      <c r="F616" s="6" t="n">
        <v>1999</v>
      </c>
      <c r="G616" s="2" t="s">
        <v>2078</v>
      </c>
      <c r="H616" s="2" t="s">
        <v>303</v>
      </c>
    </row>
    <row r="617" customFormat="false" ht="14.25" hidden="false" customHeight="false" outlineLevel="0" collapsed="false">
      <c r="B617" s="6" t="s">
        <v>2079</v>
      </c>
      <c r="C617" s="2" t="s">
        <v>2080</v>
      </c>
      <c r="D617" s="2" t="s">
        <v>2077</v>
      </c>
      <c r="E617" s="2" t="s">
        <v>1634</v>
      </c>
      <c r="F617" s="6" t="n">
        <v>1998</v>
      </c>
      <c r="G617" s="2" t="s">
        <v>1979</v>
      </c>
      <c r="H617" s="2" t="s">
        <v>303</v>
      </c>
    </row>
    <row r="618" customFormat="false" ht="14.25" hidden="false" customHeight="false" outlineLevel="0" collapsed="false">
      <c r="B618" s="6" t="s">
        <v>2081</v>
      </c>
      <c r="C618" s="2" t="s">
        <v>2082</v>
      </c>
      <c r="D618" s="2" t="s">
        <v>2077</v>
      </c>
      <c r="E618" s="2" t="s">
        <v>1634</v>
      </c>
      <c r="F618" s="6" t="n">
        <v>1998</v>
      </c>
      <c r="G618" s="2" t="s">
        <v>2083</v>
      </c>
      <c r="H618" s="2" t="s">
        <v>303</v>
      </c>
    </row>
    <row r="619" customFormat="false" ht="14.25" hidden="false" customHeight="false" outlineLevel="0" collapsed="false">
      <c r="B619" s="6" t="s">
        <v>2084</v>
      </c>
      <c r="C619" s="2" t="s">
        <v>2085</v>
      </c>
      <c r="D619" s="2" t="s">
        <v>2086</v>
      </c>
      <c r="E619" s="2" t="s">
        <v>1634</v>
      </c>
      <c r="F619" s="6" t="n">
        <v>1999</v>
      </c>
      <c r="G619" s="2" t="s">
        <v>2087</v>
      </c>
      <c r="H619" s="2" t="s">
        <v>303</v>
      </c>
    </row>
    <row r="620" customFormat="false" ht="14.25" hidden="false" customHeight="false" outlineLevel="0" collapsed="false">
      <c r="B620" s="6" t="s">
        <v>2088</v>
      </c>
      <c r="C620" s="2" t="s">
        <v>2089</v>
      </c>
      <c r="D620" s="2" t="s">
        <v>2090</v>
      </c>
      <c r="E620" s="2" t="s">
        <v>1634</v>
      </c>
      <c r="F620" s="6" t="n">
        <v>1999</v>
      </c>
      <c r="G620" s="2" t="s">
        <v>2091</v>
      </c>
      <c r="H620" s="2" t="s">
        <v>220</v>
      </c>
    </row>
    <row r="621" customFormat="false" ht="14.25" hidden="false" customHeight="false" outlineLevel="0" collapsed="false">
      <c r="B621" s="6" t="s">
        <v>2092</v>
      </c>
      <c r="C621" s="2" t="s">
        <v>2093</v>
      </c>
      <c r="D621" s="2" t="s">
        <v>2094</v>
      </c>
      <c r="E621" s="2" t="s">
        <v>1634</v>
      </c>
      <c r="F621" s="6" t="n">
        <v>1998</v>
      </c>
      <c r="G621" s="2"/>
      <c r="H621" s="2"/>
    </row>
    <row r="622" customFormat="false" ht="14.25" hidden="false" customHeight="false" outlineLevel="0" collapsed="false">
      <c r="B622" s="6" t="s">
        <v>2095</v>
      </c>
      <c r="C622" s="2" t="s">
        <v>2096</v>
      </c>
      <c r="D622" s="2" t="s">
        <v>313</v>
      </c>
      <c r="E622" s="2" t="s">
        <v>1634</v>
      </c>
      <c r="F622" s="6" t="n">
        <v>2003</v>
      </c>
      <c r="G622" s="2" t="s">
        <v>2097</v>
      </c>
      <c r="H622" s="2" t="s">
        <v>50</v>
      </c>
    </row>
    <row r="623" customFormat="false" ht="14.25" hidden="false" customHeight="false" outlineLevel="0" collapsed="false">
      <c r="B623" s="7" t="s">
        <v>2098</v>
      </c>
      <c r="C623" s="1" t="s">
        <v>2099</v>
      </c>
      <c r="D623" s="1" t="s">
        <v>313</v>
      </c>
      <c r="E623" s="1" t="s">
        <v>1634</v>
      </c>
      <c r="F623" s="7" t="n">
        <v>2005</v>
      </c>
      <c r="G623" s="1" t="s">
        <v>2100</v>
      </c>
      <c r="H623" s="1" t="s">
        <v>50</v>
      </c>
    </row>
    <row r="624" customFormat="false" ht="14.25" hidden="false" customHeight="false" outlineLevel="0" collapsed="false">
      <c r="B624" s="7" t="s">
        <v>2101</v>
      </c>
      <c r="C624" s="1" t="s">
        <v>2102</v>
      </c>
      <c r="D624" s="1" t="s">
        <v>2103</v>
      </c>
      <c r="E624" s="1" t="s">
        <v>1634</v>
      </c>
      <c r="F624" s="7" t="n">
        <v>2004</v>
      </c>
      <c r="G624" s="1" t="s">
        <v>2104</v>
      </c>
      <c r="H624" s="1" t="s">
        <v>244</v>
      </c>
    </row>
    <row r="625" customFormat="false" ht="14.25" hidden="false" customHeight="false" outlineLevel="0" collapsed="false">
      <c r="B625" s="7" t="s">
        <v>2105</v>
      </c>
      <c r="C625" s="1" t="s">
        <v>2106</v>
      </c>
      <c r="D625" s="3"/>
      <c r="E625" s="1" t="s">
        <v>2107</v>
      </c>
      <c r="F625" s="7" t="n">
        <v>2003</v>
      </c>
      <c r="G625" s="1" t="s">
        <v>2108</v>
      </c>
      <c r="H625" s="1" t="s">
        <v>104</v>
      </c>
    </row>
    <row r="626" customFormat="false" ht="14.25" hidden="false" customHeight="false" outlineLevel="0" collapsed="false">
      <c r="B626" s="7" t="s">
        <v>2109</v>
      </c>
      <c r="C626" s="1" t="s">
        <v>2110</v>
      </c>
      <c r="D626" s="1" t="s">
        <v>2111</v>
      </c>
      <c r="E626" s="1" t="s">
        <v>2107</v>
      </c>
      <c r="F626" s="7" t="n">
        <v>2000</v>
      </c>
      <c r="G626" s="1" t="s">
        <v>2112</v>
      </c>
      <c r="H626" s="1" t="s">
        <v>244</v>
      </c>
    </row>
    <row r="627" customFormat="false" ht="14.25" hidden="false" customHeight="false" outlineLevel="0" collapsed="false">
      <c r="B627" s="6" t="s">
        <v>2113</v>
      </c>
      <c r="C627" s="2" t="s">
        <v>2114</v>
      </c>
      <c r="D627" s="2" t="s">
        <v>2115</v>
      </c>
      <c r="E627" s="2" t="s">
        <v>2107</v>
      </c>
      <c r="F627" s="6" t="n">
        <v>1999</v>
      </c>
      <c r="G627" s="2" t="s">
        <v>2116</v>
      </c>
      <c r="H627" s="2" t="s">
        <v>534</v>
      </c>
    </row>
    <row r="628" customFormat="false" ht="14.25" hidden="false" customHeight="false" outlineLevel="0" collapsed="false">
      <c r="B628" s="6" t="s">
        <v>2117</v>
      </c>
      <c r="C628" s="2" t="s">
        <v>2118</v>
      </c>
      <c r="D628" s="2" t="s">
        <v>2115</v>
      </c>
      <c r="E628" s="2" t="s">
        <v>2107</v>
      </c>
      <c r="F628" s="6" t="n">
        <v>1998</v>
      </c>
      <c r="G628" s="2" t="s">
        <v>2119</v>
      </c>
      <c r="H628" s="2" t="s">
        <v>157</v>
      </c>
    </row>
    <row r="629" customFormat="false" ht="14.25" hidden="false" customHeight="false" outlineLevel="0" collapsed="false">
      <c r="B629" s="7" t="s">
        <v>2120</v>
      </c>
      <c r="C629" s="1" t="s">
        <v>2121</v>
      </c>
      <c r="D629" s="1" t="s">
        <v>1014</v>
      </c>
      <c r="E629" s="1" t="s">
        <v>2107</v>
      </c>
      <c r="F629" s="7" t="n">
        <v>1997</v>
      </c>
      <c r="G629" s="1" t="s">
        <v>2122</v>
      </c>
      <c r="H629" s="1" t="s">
        <v>303</v>
      </c>
    </row>
    <row r="630" customFormat="false" ht="14.25" hidden="false" customHeight="false" outlineLevel="0" collapsed="false">
      <c r="B630" s="6" t="s">
        <v>2123</v>
      </c>
      <c r="C630" s="2" t="s">
        <v>2124</v>
      </c>
      <c r="D630" s="2" t="s">
        <v>1014</v>
      </c>
      <c r="E630" s="2" t="s">
        <v>2107</v>
      </c>
      <c r="F630" s="6" t="n">
        <v>2000</v>
      </c>
      <c r="G630" s="2" t="s">
        <v>2125</v>
      </c>
      <c r="H630" s="2" t="s">
        <v>118</v>
      </c>
    </row>
    <row r="631" customFormat="false" ht="14.25" hidden="false" customHeight="false" outlineLevel="0" collapsed="false">
      <c r="B631" s="6" t="s">
        <v>2126</v>
      </c>
      <c r="C631" s="2" t="s">
        <v>2127</v>
      </c>
      <c r="D631" s="2" t="s">
        <v>1014</v>
      </c>
      <c r="E631" s="2" t="s">
        <v>2107</v>
      </c>
      <c r="F631" s="6" t="n">
        <v>2000</v>
      </c>
      <c r="G631" s="2" t="s">
        <v>2128</v>
      </c>
      <c r="H631" s="2" t="s">
        <v>2129</v>
      </c>
    </row>
    <row r="632" customFormat="false" ht="14.25" hidden="false" customHeight="false" outlineLevel="0" collapsed="false">
      <c r="A632" s="1" t="s">
        <v>751</v>
      </c>
      <c r="B632" s="6" t="s">
        <v>2130</v>
      </c>
      <c r="C632" s="2" t="s">
        <v>2131</v>
      </c>
      <c r="D632" s="2" t="s">
        <v>1014</v>
      </c>
      <c r="E632" s="2" t="s">
        <v>2107</v>
      </c>
      <c r="F632" s="6" t="n">
        <v>2000</v>
      </c>
      <c r="G632" s="2" t="s">
        <v>2132</v>
      </c>
      <c r="H632" s="2" t="s">
        <v>2133</v>
      </c>
    </row>
    <row r="633" customFormat="false" ht="14.25" hidden="false" customHeight="false" outlineLevel="0" collapsed="false">
      <c r="B633" s="6" t="s">
        <v>2134</v>
      </c>
      <c r="C633" s="2" t="s">
        <v>2135</v>
      </c>
      <c r="D633" s="2" t="s">
        <v>1014</v>
      </c>
      <c r="E633" s="2" t="s">
        <v>2107</v>
      </c>
      <c r="F633" s="6" t="n">
        <v>1999</v>
      </c>
      <c r="G633" s="2" t="s">
        <v>2136</v>
      </c>
      <c r="H633" s="2" t="s">
        <v>244</v>
      </c>
    </row>
    <row r="634" customFormat="false" ht="14.25" hidden="false" customHeight="false" outlineLevel="0" collapsed="false">
      <c r="B634" s="6" t="s">
        <v>2137</v>
      </c>
      <c r="C634" s="2" t="s">
        <v>2138</v>
      </c>
      <c r="D634" s="2" t="s">
        <v>1014</v>
      </c>
      <c r="E634" s="2" t="s">
        <v>2107</v>
      </c>
      <c r="F634" s="6" t="n">
        <v>1999</v>
      </c>
      <c r="G634" s="2" t="s">
        <v>2139</v>
      </c>
      <c r="H634" s="2" t="s">
        <v>244</v>
      </c>
    </row>
    <row r="635" customFormat="false" ht="14.25" hidden="false" customHeight="false" outlineLevel="0" collapsed="false">
      <c r="B635" s="6" t="s">
        <v>2140</v>
      </c>
      <c r="C635" s="2" t="s">
        <v>2141</v>
      </c>
      <c r="D635" s="2" t="s">
        <v>1014</v>
      </c>
      <c r="E635" s="2" t="s">
        <v>2107</v>
      </c>
      <c r="F635" s="6" t="n">
        <v>2000</v>
      </c>
      <c r="G635" s="2" t="s">
        <v>2142</v>
      </c>
      <c r="H635" s="2" t="s">
        <v>118</v>
      </c>
    </row>
    <row r="636" customFormat="false" ht="14.25" hidden="false" customHeight="false" outlineLevel="0" collapsed="false">
      <c r="B636" s="6" t="s">
        <v>2143</v>
      </c>
      <c r="C636" s="2" t="s">
        <v>2144</v>
      </c>
      <c r="D636" s="2" t="s">
        <v>1014</v>
      </c>
      <c r="E636" s="2" t="s">
        <v>2107</v>
      </c>
      <c r="F636" s="6" t="n">
        <v>2001</v>
      </c>
      <c r="G636" s="2" t="s">
        <v>2145</v>
      </c>
      <c r="H636" s="2" t="s">
        <v>157</v>
      </c>
    </row>
    <row r="637" customFormat="false" ht="14.25" hidden="false" customHeight="false" outlineLevel="0" collapsed="false">
      <c r="B637" s="6" t="s">
        <v>2146</v>
      </c>
      <c r="C637" s="2" t="s">
        <v>2147</v>
      </c>
      <c r="D637" s="2" t="s">
        <v>1014</v>
      </c>
      <c r="E637" s="2" t="s">
        <v>2107</v>
      </c>
      <c r="F637" s="6" t="n">
        <v>2000</v>
      </c>
      <c r="G637" s="2" t="s">
        <v>2148</v>
      </c>
      <c r="H637" s="2" t="s">
        <v>244</v>
      </c>
    </row>
    <row r="638" customFormat="false" ht="14.25" hidden="false" customHeight="false" outlineLevel="0" collapsed="false">
      <c r="B638" s="6" t="s">
        <v>2149</v>
      </c>
      <c r="C638" s="2" t="s">
        <v>2150</v>
      </c>
      <c r="D638" s="2" t="s">
        <v>1014</v>
      </c>
      <c r="E638" s="2" t="s">
        <v>2107</v>
      </c>
      <c r="F638" s="6" t="n">
        <v>2000</v>
      </c>
      <c r="G638" s="2" t="s">
        <v>2151</v>
      </c>
      <c r="H638" s="2" t="s">
        <v>82</v>
      </c>
    </row>
    <row r="639" customFormat="false" ht="14.25" hidden="false" customHeight="false" outlineLevel="0" collapsed="false">
      <c r="B639" s="6" t="s">
        <v>2152</v>
      </c>
      <c r="C639" s="2" t="s">
        <v>2153</v>
      </c>
      <c r="D639" s="2" t="s">
        <v>2154</v>
      </c>
      <c r="E639" s="2" t="s">
        <v>2107</v>
      </c>
      <c r="F639" s="6" t="n">
        <v>1999</v>
      </c>
      <c r="G639" s="2" t="s">
        <v>2155</v>
      </c>
      <c r="H639" s="2" t="s">
        <v>704</v>
      </c>
    </row>
    <row r="640" customFormat="false" ht="14.25" hidden="false" customHeight="false" outlineLevel="0" collapsed="false">
      <c r="B640" s="6" t="s">
        <v>2156</v>
      </c>
      <c r="C640" s="2" t="s">
        <v>2157</v>
      </c>
      <c r="D640" s="2" t="s">
        <v>2158</v>
      </c>
      <c r="E640" s="2" t="s">
        <v>2107</v>
      </c>
      <c r="F640" s="6" t="n">
        <v>2003</v>
      </c>
      <c r="G640" s="2" t="s">
        <v>2159</v>
      </c>
      <c r="H640" s="2" t="s">
        <v>743</v>
      </c>
    </row>
    <row r="641" customFormat="false" ht="14.25" hidden="false" customHeight="false" outlineLevel="0" collapsed="false">
      <c r="B641" s="6" t="s">
        <v>2160</v>
      </c>
      <c r="C641" s="2" t="s">
        <v>2161</v>
      </c>
      <c r="D641" s="2" t="s">
        <v>1014</v>
      </c>
      <c r="E641" s="2" t="s">
        <v>2107</v>
      </c>
      <c r="F641" s="6" t="n">
        <v>2003</v>
      </c>
      <c r="G641" s="2" t="s">
        <v>2162</v>
      </c>
      <c r="H641" s="2" t="s">
        <v>82</v>
      </c>
    </row>
    <row r="642" customFormat="false" ht="14.25" hidden="false" customHeight="false" outlineLevel="0" collapsed="false">
      <c r="B642" s="6" t="s">
        <v>2163</v>
      </c>
      <c r="C642" s="2" t="s">
        <v>2164</v>
      </c>
      <c r="D642" s="2" t="s">
        <v>2165</v>
      </c>
      <c r="E642" s="2" t="s">
        <v>2107</v>
      </c>
      <c r="F642" s="6" t="n">
        <v>2003</v>
      </c>
      <c r="G642" s="2" t="s">
        <v>2166</v>
      </c>
      <c r="H642" s="2" t="s">
        <v>50</v>
      </c>
    </row>
    <row r="643" customFormat="false" ht="14.25" hidden="false" customHeight="false" outlineLevel="0" collapsed="false">
      <c r="B643" s="6" t="s">
        <v>2167</v>
      </c>
      <c r="C643" s="2" t="s">
        <v>2168</v>
      </c>
      <c r="D643" s="2" t="s">
        <v>2169</v>
      </c>
      <c r="E643" s="2" t="s">
        <v>2107</v>
      </c>
      <c r="F643" s="6" t="n">
        <v>2003</v>
      </c>
      <c r="G643" s="2" t="s">
        <v>2170</v>
      </c>
      <c r="H643" s="2" t="s">
        <v>82</v>
      </c>
    </row>
    <row r="644" customFormat="false" ht="14.25" hidden="false" customHeight="false" outlineLevel="0" collapsed="false">
      <c r="A644" s="1" t="s">
        <v>751</v>
      </c>
      <c r="B644" s="6" t="s">
        <v>2171</v>
      </c>
      <c r="C644" s="2" t="s">
        <v>2172</v>
      </c>
      <c r="D644" s="2" t="s">
        <v>2173</v>
      </c>
      <c r="E644" s="2" t="s">
        <v>2107</v>
      </c>
      <c r="F644" s="6" t="n">
        <v>1998</v>
      </c>
      <c r="G644" s="2"/>
      <c r="H644" s="2" t="s">
        <v>2174</v>
      </c>
    </row>
    <row r="645" customFormat="false" ht="14.25" hidden="false" customHeight="false" outlineLevel="0" collapsed="false">
      <c r="B645" s="7" t="s">
        <v>2175</v>
      </c>
      <c r="C645" s="1" t="s">
        <v>2176</v>
      </c>
      <c r="D645" s="1" t="s">
        <v>2177</v>
      </c>
      <c r="E645" s="1" t="s">
        <v>2107</v>
      </c>
      <c r="F645" s="7" t="n">
        <v>2004</v>
      </c>
      <c r="G645" s="1" t="s">
        <v>2178</v>
      </c>
      <c r="H645" s="1" t="s">
        <v>2179</v>
      </c>
    </row>
    <row r="646" customFormat="false" ht="14.25" hidden="false" customHeight="false" outlineLevel="0" collapsed="false">
      <c r="B646" s="7" t="s">
        <v>2180</v>
      </c>
      <c r="C646" s="1" t="s">
        <v>2181</v>
      </c>
      <c r="D646" s="1" t="s">
        <v>1014</v>
      </c>
      <c r="E646" s="1" t="s">
        <v>2107</v>
      </c>
      <c r="F646" s="7" t="n">
        <v>2004</v>
      </c>
      <c r="G646" s="1" t="s">
        <v>2182</v>
      </c>
      <c r="H646" s="1" t="s">
        <v>82</v>
      </c>
    </row>
    <row r="647" customFormat="false" ht="14.25" hidden="false" customHeight="false" outlineLevel="0" collapsed="false">
      <c r="B647" s="7" t="s">
        <v>2183</v>
      </c>
      <c r="C647" s="1" t="s">
        <v>2184</v>
      </c>
      <c r="D647" s="1" t="s">
        <v>2177</v>
      </c>
      <c r="E647" s="1" t="s">
        <v>2107</v>
      </c>
      <c r="F647" s="7" t="n">
        <v>2004</v>
      </c>
      <c r="G647" s="1" t="s">
        <v>2185</v>
      </c>
      <c r="H647" s="1" t="s">
        <v>82</v>
      </c>
    </row>
    <row r="648" customFormat="false" ht="14.25" hidden="false" customHeight="false" outlineLevel="0" collapsed="false">
      <c r="B648" s="7" t="s">
        <v>2186</v>
      </c>
      <c r="C648" s="1" t="s">
        <v>2187</v>
      </c>
      <c r="D648" s="1" t="s">
        <v>1014</v>
      </c>
      <c r="E648" s="1" t="s">
        <v>2107</v>
      </c>
      <c r="F648" s="7" t="n">
        <v>2005</v>
      </c>
      <c r="G648" s="1" t="s">
        <v>2188</v>
      </c>
      <c r="H648" s="1" t="s">
        <v>82</v>
      </c>
    </row>
    <row r="649" customFormat="false" ht="14.25" hidden="false" customHeight="false" outlineLevel="0" collapsed="false">
      <c r="B649" s="6" t="s">
        <v>2189</v>
      </c>
      <c r="C649" s="2" t="s">
        <v>2190</v>
      </c>
      <c r="D649" s="2" t="s">
        <v>2177</v>
      </c>
      <c r="E649" s="2" t="s">
        <v>2107</v>
      </c>
      <c r="F649" s="6" t="n">
        <v>2005</v>
      </c>
      <c r="G649" s="2" t="s">
        <v>2191</v>
      </c>
      <c r="H649" s="2" t="s">
        <v>303</v>
      </c>
    </row>
    <row r="650" customFormat="false" ht="14.25" hidden="false" customHeight="false" outlineLevel="0" collapsed="false">
      <c r="B650" s="6" t="s">
        <v>2192</v>
      </c>
      <c r="C650" s="2" t="s">
        <v>2193</v>
      </c>
      <c r="D650" s="2" t="s">
        <v>2177</v>
      </c>
      <c r="E650" s="2" t="s">
        <v>2107</v>
      </c>
      <c r="F650" s="6" t="n">
        <v>2005</v>
      </c>
      <c r="G650" s="2" t="s">
        <v>2166</v>
      </c>
      <c r="H650" s="2" t="s">
        <v>50</v>
      </c>
    </row>
    <row r="651" customFormat="false" ht="14.25" hidden="false" customHeight="false" outlineLevel="0" collapsed="false">
      <c r="B651" s="6" t="s">
        <v>2194</v>
      </c>
      <c r="C651" s="2" t="s">
        <v>2195</v>
      </c>
      <c r="D651" s="2" t="s">
        <v>2177</v>
      </c>
      <c r="E651" s="2" t="s">
        <v>2107</v>
      </c>
      <c r="F651" s="6" t="n">
        <v>2004</v>
      </c>
      <c r="G651" s="2" t="s">
        <v>2196</v>
      </c>
      <c r="H651" s="2" t="s">
        <v>2197</v>
      </c>
    </row>
    <row r="652" customFormat="false" ht="14.25" hidden="false" customHeight="false" outlineLevel="0" collapsed="false">
      <c r="B652" s="6" t="s">
        <v>2198</v>
      </c>
      <c r="C652" s="2" t="s">
        <v>2121</v>
      </c>
      <c r="D652" s="2"/>
      <c r="E652" s="2" t="s">
        <v>2107</v>
      </c>
      <c r="F652" s="6" t="n">
        <v>2005</v>
      </c>
      <c r="G652" s="2" t="s">
        <v>2199</v>
      </c>
      <c r="H652" s="2" t="s">
        <v>50</v>
      </c>
    </row>
    <row r="653" customFormat="false" ht="14.25" hidden="false" customHeight="false" outlineLevel="0" collapsed="false">
      <c r="B653" s="6" t="s">
        <v>2200</v>
      </c>
      <c r="C653" s="2" t="s">
        <v>2201</v>
      </c>
      <c r="D653" s="2" t="s">
        <v>2202</v>
      </c>
      <c r="E653" s="2" t="s">
        <v>2107</v>
      </c>
      <c r="F653" s="6" t="n">
        <v>2005</v>
      </c>
      <c r="G653" s="2" t="s">
        <v>2203</v>
      </c>
      <c r="H653" s="2" t="s">
        <v>50</v>
      </c>
    </row>
    <row r="654" customFormat="false" ht="14.25" hidden="false" customHeight="false" outlineLevel="0" collapsed="false">
      <c r="B654" s="6" t="s">
        <v>2204</v>
      </c>
      <c r="C654" s="2" t="s">
        <v>2205</v>
      </c>
      <c r="D654" s="2" t="s">
        <v>2206</v>
      </c>
      <c r="E654" s="2" t="s">
        <v>2107</v>
      </c>
      <c r="F654" s="6" t="n">
        <v>2005</v>
      </c>
      <c r="G654" s="2" t="s">
        <v>2191</v>
      </c>
      <c r="H654" s="2" t="s">
        <v>50</v>
      </c>
    </row>
    <row r="655" customFormat="false" ht="14.25" hidden="false" customHeight="false" outlineLevel="0" collapsed="false">
      <c r="B655" s="6" t="s">
        <v>2207</v>
      </c>
      <c r="C655" s="2" t="s">
        <v>2208</v>
      </c>
      <c r="D655" s="2"/>
      <c r="E655" s="2" t="s">
        <v>2107</v>
      </c>
      <c r="F655" s="6" t="n">
        <v>2006</v>
      </c>
      <c r="G655" s="2" t="s">
        <v>2199</v>
      </c>
      <c r="H655" s="2" t="s">
        <v>50</v>
      </c>
    </row>
    <row r="656" customFormat="false" ht="14.25" hidden="false" customHeight="false" outlineLevel="0" collapsed="false">
      <c r="B656" s="6" t="s">
        <v>2209</v>
      </c>
      <c r="C656" s="2" t="s">
        <v>2210</v>
      </c>
      <c r="D656" s="2" t="s">
        <v>2202</v>
      </c>
      <c r="E656" s="2" t="s">
        <v>2107</v>
      </c>
      <c r="F656" s="6" t="n">
        <v>2006</v>
      </c>
      <c r="G656" s="2" t="s">
        <v>2211</v>
      </c>
      <c r="H656" s="2" t="s">
        <v>82</v>
      </c>
    </row>
    <row r="657" customFormat="false" ht="14.25" hidden="false" customHeight="false" outlineLevel="0" collapsed="false">
      <c r="B657" s="19" t="s">
        <v>2212</v>
      </c>
      <c r="C657" s="2" t="s">
        <v>2138</v>
      </c>
      <c r="D657" s="2" t="s">
        <v>1014</v>
      </c>
      <c r="E657" s="2" t="s">
        <v>2107</v>
      </c>
      <c r="F657" s="6" t="n">
        <v>1998</v>
      </c>
      <c r="G657" s="2" t="s">
        <v>2213</v>
      </c>
      <c r="H657" s="2" t="s">
        <v>244</v>
      </c>
    </row>
    <row r="658" customFormat="false" ht="14.25" hidden="false" customHeight="false" outlineLevel="0" collapsed="false">
      <c r="B658" s="6" t="s">
        <v>2214</v>
      </c>
      <c r="C658" s="2" t="s">
        <v>2215</v>
      </c>
      <c r="D658" s="2" t="s">
        <v>1014</v>
      </c>
      <c r="E658" s="2" t="s">
        <v>2107</v>
      </c>
      <c r="F658" s="6" t="n">
        <v>2000</v>
      </c>
      <c r="G658" s="2" t="s">
        <v>2216</v>
      </c>
      <c r="H658" s="2" t="s">
        <v>1629</v>
      </c>
    </row>
    <row r="659" customFormat="false" ht="14.25" hidden="false" customHeight="false" outlineLevel="0" collapsed="false">
      <c r="B659" s="6" t="s">
        <v>2217</v>
      </c>
      <c r="C659" s="2" t="s">
        <v>2218</v>
      </c>
      <c r="D659" s="2" t="s">
        <v>2219</v>
      </c>
      <c r="E659" s="2" t="s">
        <v>2107</v>
      </c>
      <c r="F659" s="6" t="n">
        <v>2007</v>
      </c>
      <c r="G659" s="2" t="s">
        <v>2220</v>
      </c>
      <c r="H659" s="2" t="s">
        <v>82</v>
      </c>
    </row>
    <row r="660" customFormat="false" ht="14.25" hidden="false" customHeight="false" outlineLevel="0" collapsed="false">
      <c r="B660" s="7" t="s">
        <v>2221</v>
      </c>
      <c r="C660" s="1" t="s">
        <v>2222</v>
      </c>
      <c r="D660" s="1" t="s">
        <v>2223</v>
      </c>
      <c r="E660" s="1" t="s">
        <v>2107</v>
      </c>
      <c r="F660" s="7" t="n">
        <v>2007</v>
      </c>
      <c r="G660" s="1" t="s">
        <v>2224</v>
      </c>
      <c r="H660" s="1" t="s">
        <v>50</v>
      </c>
    </row>
    <row r="661" customFormat="false" ht="14.25" hidden="false" customHeight="false" outlineLevel="0" collapsed="false">
      <c r="B661" s="7" t="s">
        <v>2225</v>
      </c>
      <c r="C661" s="1" t="s">
        <v>2226</v>
      </c>
      <c r="D661" s="1" t="s">
        <v>2223</v>
      </c>
      <c r="E661" s="1" t="s">
        <v>2107</v>
      </c>
      <c r="F661" s="7" t="n">
        <v>2006</v>
      </c>
      <c r="G661" s="1" t="s">
        <v>2227</v>
      </c>
      <c r="H661" s="1" t="s">
        <v>2228</v>
      </c>
    </row>
    <row r="662" customFormat="false" ht="14.25" hidden="false" customHeight="false" outlineLevel="0" collapsed="false">
      <c r="B662" s="6" t="s">
        <v>2229</v>
      </c>
      <c r="C662" s="2" t="s">
        <v>2230</v>
      </c>
      <c r="D662" s="2" t="s">
        <v>1014</v>
      </c>
      <c r="E662" s="2" t="s">
        <v>2107</v>
      </c>
      <c r="F662" s="6" t="n">
        <v>2007</v>
      </c>
      <c r="G662" s="2" t="s">
        <v>2231</v>
      </c>
      <c r="H662" s="2" t="s">
        <v>50</v>
      </c>
    </row>
    <row r="663" customFormat="false" ht="14.25" hidden="false" customHeight="false" outlineLevel="0" collapsed="false">
      <c r="B663" s="6" t="s">
        <v>2232</v>
      </c>
      <c r="C663" s="2" t="s">
        <v>2233</v>
      </c>
      <c r="D663" s="2" t="s">
        <v>1014</v>
      </c>
      <c r="E663" s="2" t="s">
        <v>2107</v>
      </c>
      <c r="F663" s="6" t="n">
        <v>2000</v>
      </c>
      <c r="G663" s="2"/>
      <c r="H663" s="2" t="s">
        <v>2234</v>
      </c>
    </row>
    <row r="664" customFormat="false" ht="14.25" hidden="false" customHeight="false" outlineLevel="0" collapsed="false">
      <c r="B664" s="6" t="s">
        <v>2235</v>
      </c>
      <c r="C664" s="2" t="s">
        <v>2236</v>
      </c>
      <c r="D664" s="2" t="s">
        <v>2237</v>
      </c>
      <c r="E664" s="2" t="s">
        <v>2107</v>
      </c>
      <c r="F664" s="6" t="n">
        <v>2004</v>
      </c>
      <c r="G664" s="2" t="s">
        <v>2238</v>
      </c>
      <c r="H664" s="2" t="s">
        <v>2238</v>
      </c>
    </row>
    <row r="665" customFormat="false" ht="14.25" hidden="false" customHeight="false" outlineLevel="0" collapsed="false">
      <c r="B665" s="7" t="s">
        <v>2239</v>
      </c>
      <c r="C665" s="1" t="s">
        <v>2240</v>
      </c>
      <c r="D665" s="1" t="s">
        <v>1014</v>
      </c>
      <c r="E665" s="1" t="s">
        <v>2107</v>
      </c>
      <c r="F665" s="7" t="n">
        <v>2009</v>
      </c>
      <c r="G665" s="1" t="s">
        <v>2241</v>
      </c>
      <c r="H665" s="1" t="s">
        <v>709</v>
      </c>
    </row>
    <row r="666" customFormat="false" ht="14.25" hidden="false" customHeight="false" outlineLevel="0" collapsed="false">
      <c r="A666" s="2"/>
      <c r="B666" s="6" t="s">
        <v>2242</v>
      </c>
      <c r="C666" s="2" t="s">
        <v>2243</v>
      </c>
      <c r="D666" s="2" t="s">
        <v>1014</v>
      </c>
      <c r="E666" s="2" t="s">
        <v>2107</v>
      </c>
      <c r="F666" s="6" t="n">
        <v>2007</v>
      </c>
      <c r="G666" s="2" t="s">
        <v>2244</v>
      </c>
      <c r="H666" s="2" t="s">
        <v>50</v>
      </c>
    </row>
    <row r="667" customFormat="false" ht="14.25" hidden="false" customHeight="false" outlineLevel="0" collapsed="false">
      <c r="B667" s="7" t="s">
        <v>2245</v>
      </c>
      <c r="C667" s="1" t="s">
        <v>2246</v>
      </c>
      <c r="D667" s="2" t="s">
        <v>1014</v>
      </c>
      <c r="E667" s="2" t="s">
        <v>2107</v>
      </c>
      <c r="F667" s="1" t="n">
        <v>2007</v>
      </c>
      <c r="G667" s="1" t="s">
        <v>2227</v>
      </c>
      <c r="H667" s="1" t="s">
        <v>1329</v>
      </c>
    </row>
    <row r="668" customFormat="false" ht="14.25" hidden="false" customHeight="false" outlineLevel="0" collapsed="false">
      <c r="B668" s="6" t="s">
        <v>2247</v>
      </c>
      <c r="C668" s="2" t="s">
        <v>2248</v>
      </c>
      <c r="D668" s="2" t="s">
        <v>2249</v>
      </c>
      <c r="E668" s="2" t="s">
        <v>2107</v>
      </c>
      <c r="F668" s="6" t="n">
        <v>2000</v>
      </c>
      <c r="G668" s="2" t="s">
        <v>191</v>
      </c>
      <c r="H668" s="2" t="s">
        <v>82</v>
      </c>
    </row>
    <row r="669" customFormat="false" ht="14.25" hidden="false" customHeight="false" outlineLevel="0" collapsed="false">
      <c r="B669" s="6" t="s">
        <v>2250</v>
      </c>
      <c r="C669" s="2" t="s">
        <v>2251</v>
      </c>
      <c r="D669" s="2" t="s">
        <v>2249</v>
      </c>
      <c r="E669" s="2" t="s">
        <v>2107</v>
      </c>
      <c r="F669" s="6" t="n">
        <v>2000</v>
      </c>
      <c r="G669" s="2" t="s">
        <v>2252</v>
      </c>
      <c r="H669" s="2" t="s">
        <v>303</v>
      </c>
    </row>
    <row r="670" customFormat="false" ht="14.25" hidden="false" customHeight="false" outlineLevel="0" collapsed="false">
      <c r="B670" s="6" t="s">
        <v>2253</v>
      </c>
      <c r="C670" s="2" t="s">
        <v>2254</v>
      </c>
      <c r="D670" s="2" t="s">
        <v>2249</v>
      </c>
      <c r="E670" s="2" t="s">
        <v>2107</v>
      </c>
      <c r="F670" s="6" t="n">
        <v>2000</v>
      </c>
      <c r="G670" s="2" t="s">
        <v>2255</v>
      </c>
      <c r="H670" s="2" t="s">
        <v>220</v>
      </c>
    </row>
    <row r="671" customFormat="false" ht="14.25" hidden="false" customHeight="false" outlineLevel="0" collapsed="false">
      <c r="B671" s="6" t="s">
        <v>2256</v>
      </c>
      <c r="C671" s="2" t="s">
        <v>2257</v>
      </c>
      <c r="D671" s="2" t="s">
        <v>2249</v>
      </c>
      <c r="E671" s="2" t="s">
        <v>2107</v>
      </c>
      <c r="F671" s="6" t="n">
        <v>2000</v>
      </c>
      <c r="G671" s="2"/>
      <c r="H671" s="2" t="s">
        <v>220</v>
      </c>
    </row>
    <row r="672" customFormat="false" ht="14.25" hidden="false" customHeight="false" outlineLevel="0" collapsed="false">
      <c r="B672" s="6" t="s">
        <v>2258</v>
      </c>
      <c r="C672" s="2" t="s">
        <v>2259</v>
      </c>
      <c r="D672" s="2" t="s">
        <v>2249</v>
      </c>
      <c r="E672" s="2" t="s">
        <v>2107</v>
      </c>
      <c r="F672" s="6" t="n">
        <v>2000</v>
      </c>
      <c r="G672" s="2" t="s">
        <v>2260</v>
      </c>
      <c r="H672" s="2" t="s">
        <v>244</v>
      </c>
    </row>
    <row r="673" customFormat="false" ht="14.25" hidden="false" customHeight="false" outlineLevel="0" collapsed="false">
      <c r="B673" s="6" t="s">
        <v>2261</v>
      </c>
      <c r="C673" s="2" t="s">
        <v>2262</v>
      </c>
      <c r="D673" s="2" t="s">
        <v>2249</v>
      </c>
      <c r="E673" s="2" t="s">
        <v>2107</v>
      </c>
      <c r="F673" s="6" t="n">
        <v>2000</v>
      </c>
      <c r="G673" s="2" t="s">
        <v>928</v>
      </c>
      <c r="H673" s="2" t="s">
        <v>303</v>
      </c>
    </row>
    <row r="674" customFormat="false" ht="15.75" hidden="false" customHeight="true" outlineLevel="0" collapsed="false">
      <c r="B674" s="6" t="s">
        <v>2263</v>
      </c>
      <c r="C674" s="2" t="s">
        <v>2264</v>
      </c>
      <c r="D674" s="2" t="s">
        <v>2249</v>
      </c>
      <c r="E674" s="2" t="s">
        <v>2107</v>
      </c>
      <c r="F674" s="6" t="n">
        <v>2000</v>
      </c>
      <c r="G674" s="2" t="s">
        <v>1488</v>
      </c>
      <c r="H674" s="2" t="s">
        <v>244</v>
      </c>
    </row>
    <row r="675" customFormat="false" ht="14.25" hidden="false" customHeight="false" outlineLevel="0" collapsed="false">
      <c r="B675" s="7" t="s">
        <v>2265</v>
      </c>
      <c r="C675" s="1" t="s">
        <v>2266</v>
      </c>
      <c r="D675" s="1" t="s">
        <v>1923</v>
      </c>
      <c r="E675" s="1" t="s">
        <v>2107</v>
      </c>
      <c r="F675" s="7" t="n">
        <v>2000</v>
      </c>
      <c r="G675" s="1" t="s">
        <v>2267</v>
      </c>
      <c r="H675" s="1" t="s">
        <v>147</v>
      </c>
    </row>
    <row r="676" customFormat="false" ht="14.25" hidden="false" customHeight="false" outlineLevel="0" collapsed="false">
      <c r="B676" s="6" t="s">
        <v>2268</v>
      </c>
      <c r="C676" s="2" t="s">
        <v>2269</v>
      </c>
      <c r="D676" s="2" t="s">
        <v>1923</v>
      </c>
      <c r="E676" s="2" t="s">
        <v>2107</v>
      </c>
      <c r="F676" s="6" t="n">
        <v>2000</v>
      </c>
      <c r="G676" s="2" t="s">
        <v>2270</v>
      </c>
      <c r="H676" s="2" t="s">
        <v>118</v>
      </c>
    </row>
    <row r="677" customFormat="false" ht="14.25" hidden="false" customHeight="false" outlineLevel="0" collapsed="false">
      <c r="B677" s="6" t="s">
        <v>2271</v>
      </c>
      <c r="C677" s="2" t="s">
        <v>2272</v>
      </c>
      <c r="D677" s="2" t="s">
        <v>1923</v>
      </c>
      <c r="E677" s="2" t="s">
        <v>2107</v>
      </c>
      <c r="F677" s="6" t="n">
        <v>2000</v>
      </c>
      <c r="G677" s="2" t="s">
        <v>2273</v>
      </c>
      <c r="H677" s="2" t="s">
        <v>1730</v>
      </c>
    </row>
    <row r="678" customFormat="false" ht="14.25" hidden="false" customHeight="false" outlineLevel="0" collapsed="false">
      <c r="B678" s="6" t="s">
        <v>2274</v>
      </c>
      <c r="C678" s="2" t="s">
        <v>2275</v>
      </c>
      <c r="D678" s="2" t="s">
        <v>1923</v>
      </c>
      <c r="E678" s="2" t="s">
        <v>2107</v>
      </c>
      <c r="F678" s="6" t="n">
        <v>2000</v>
      </c>
      <c r="G678" s="2" t="s">
        <v>2276</v>
      </c>
      <c r="H678" s="2" t="s">
        <v>82</v>
      </c>
    </row>
    <row r="679" customFormat="false" ht="14.25" hidden="false" customHeight="false" outlineLevel="0" collapsed="false">
      <c r="B679" s="6" t="s">
        <v>2277</v>
      </c>
      <c r="C679" s="2" t="s">
        <v>2278</v>
      </c>
      <c r="D679" s="2" t="s">
        <v>1923</v>
      </c>
      <c r="E679" s="2" t="s">
        <v>2107</v>
      </c>
      <c r="F679" s="6" t="n">
        <v>2000</v>
      </c>
      <c r="G679" s="2" t="s">
        <v>2279</v>
      </c>
      <c r="H679" s="2" t="s">
        <v>303</v>
      </c>
    </row>
    <row r="680" customFormat="false" ht="14.25" hidden="false" customHeight="false" outlineLevel="0" collapsed="false">
      <c r="B680" s="6" t="s">
        <v>2280</v>
      </c>
      <c r="C680" s="2" t="s">
        <v>2281</v>
      </c>
      <c r="D680" s="2" t="s">
        <v>1923</v>
      </c>
      <c r="E680" s="2" t="s">
        <v>2107</v>
      </c>
      <c r="F680" s="6" t="n">
        <v>2000</v>
      </c>
      <c r="G680" s="2" t="s">
        <v>2282</v>
      </c>
      <c r="H680" s="2" t="s">
        <v>704</v>
      </c>
    </row>
    <row r="681" customFormat="false" ht="14.25" hidden="false" customHeight="false" outlineLevel="0" collapsed="false">
      <c r="B681" s="6" t="s">
        <v>2283</v>
      </c>
      <c r="C681" s="2" t="s">
        <v>2284</v>
      </c>
      <c r="D681" s="2" t="s">
        <v>1923</v>
      </c>
      <c r="E681" s="2" t="s">
        <v>2107</v>
      </c>
      <c r="F681" s="6" t="n">
        <v>2001</v>
      </c>
      <c r="G681" s="2" t="s">
        <v>2285</v>
      </c>
      <c r="H681" s="2" t="s">
        <v>255</v>
      </c>
    </row>
    <row r="682" customFormat="false" ht="14.25" hidden="false" customHeight="false" outlineLevel="0" collapsed="false">
      <c r="B682" s="6" t="s">
        <v>2286</v>
      </c>
      <c r="C682" s="2" t="s">
        <v>2287</v>
      </c>
      <c r="D682" s="2" t="s">
        <v>2288</v>
      </c>
      <c r="E682" s="2" t="s">
        <v>2107</v>
      </c>
      <c r="F682" s="6" t="n">
        <v>2000</v>
      </c>
      <c r="G682" s="2" t="s">
        <v>2289</v>
      </c>
      <c r="H682" s="2" t="s">
        <v>220</v>
      </c>
    </row>
    <row r="683" customFormat="false" ht="14.25" hidden="false" customHeight="false" outlineLevel="0" collapsed="false">
      <c r="B683" s="7" t="s">
        <v>2290</v>
      </c>
      <c r="C683" s="1" t="s">
        <v>2291</v>
      </c>
      <c r="D683" s="1" t="s">
        <v>2292</v>
      </c>
      <c r="E683" s="1" t="s">
        <v>2107</v>
      </c>
      <c r="F683" s="7" t="n">
        <v>2009</v>
      </c>
      <c r="G683" s="1" t="s">
        <v>2293</v>
      </c>
      <c r="H683" s="1" t="s">
        <v>2294</v>
      </c>
    </row>
    <row r="684" customFormat="false" ht="14.25" hidden="false" customHeight="false" outlineLevel="0" collapsed="false">
      <c r="B684" s="7" t="s">
        <v>2295</v>
      </c>
      <c r="C684" s="1" t="s">
        <v>2296</v>
      </c>
      <c r="D684" s="1" t="s">
        <v>2292</v>
      </c>
      <c r="E684" s="1" t="s">
        <v>2107</v>
      </c>
      <c r="F684" s="7" t="n">
        <v>2007</v>
      </c>
      <c r="G684" s="1" t="s">
        <v>2297</v>
      </c>
      <c r="H684" s="1" t="s">
        <v>2298</v>
      </c>
    </row>
    <row r="685" customFormat="false" ht="14.25" hidden="false" customHeight="false" outlineLevel="0" collapsed="false">
      <c r="B685" s="7" t="s">
        <v>2299</v>
      </c>
      <c r="C685" s="1" t="s">
        <v>2300</v>
      </c>
      <c r="D685" s="1" t="s">
        <v>2301</v>
      </c>
      <c r="E685" s="1" t="s">
        <v>2107</v>
      </c>
      <c r="F685" s="7" t="n">
        <v>2010</v>
      </c>
      <c r="G685" s="1" t="s">
        <v>2302</v>
      </c>
      <c r="H685" s="1" t="s">
        <v>433</v>
      </c>
    </row>
    <row r="686" customFormat="false" ht="14.25" hidden="false" customHeight="false" outlineLevel="0" collapsed="false">
      <c r="B686" s="7" t="s">
        <v>2303</v>
      </c>
      <c r="C686" s="1" t="s">
        <v>2304</v>
      </c>
      <c r="D686" s="1" t="s">
        <v>2301</v>
      </c>
      <c r="E686" s="1" t="s">
        <v>2107</v>
      </c>
      <c r="F686" s="7" t="n">
        <v>2009</v>
      </c>
      <c r="G686" s="1" t="s">
        <v>2305</v>
      </c>
      <c r="H686" s="1" t="s">
        <v>50</v>
      </c>
    </row>
    <row r="687" customFormat="false" ht="14.25" hidden="false" customHeight="false" outlineLevel="0" collapsed="false">
      <c r="B687" s="7" t="s">
        <v>2306</v>
      </c>
      <c r="C687" s="1" t="s">
        <v>2307</v>
      </c>
      <c r="D687" s="1" t="s">
        <v>2301</v>
      </c>
      <c r="E687" s="1" t="s">
        <v>2107</v>
      </c>
      <c r="F687" s="7" t="n">
        <v>2010</v>
      </c>
      <c r="G687" s="1" t="s">
        <v>2308</v>
      </c>
      <c r="H687" s="1" t="s">
        <v>50</v>
      </c>
    </row>
    <row r="688" customFormat="false" ht="14.25" hidden="false" customHeight="false" outlineLevel="0" collapsed="false">
      <c r="B688" s="7" t="s">
        <v>2309</v>
      </c>
      <c r="C688" s="1" t="s">
        <v>2310</v>
      </c>
      <c r="D688" s="1" t="s">
        <v>2301</v>
      </c>
      <c r="E688" s="1" t="s">
        <v>2107</v>
      </c>
      <c r="F688" s="7" t="n">
        <v>2009</v>
      </c>
      <c r="G688" s="1" t="s">
        <v>2311</v>
      </c>
      <c r="H688" s="1" t="s">
        <v>82</v>
      </c>
    </row>
    <row r="689" customFormat="false" ht="14.25" hidden="false" customHeight="false" outlineLevel="0" collapsed="false">
      <c r="B689" s="7" t="s">
        <v>2312</v>
      </c>
      <c r="C689" s="1" t="s">
        <v>2313</v>
      </c>
      <c r="D689" s="1" t="s">
        <v>2301</v>
      </c>
      <c r="E689" s="1" t="s">
        <v>2107</v>
      </c>
      <c r="F689" s="7" t="n">
        <v>2011</v>
      </c>
      <c r="G689" s="1" t="s">
        <v>2314</v>
      </c>
      <c r="H689" s="1" t="s">
        <v>82</v>
      </c>
    </row>
    <row r="690" customFormat="false" ht="14.25" hidden="false" customHeight="false" outlineLevel="0" collapsed="false">
      <c r="B690" s="7" t="s">
        <v>2315</v>
      </c>
      <c r="C690" s="1" t="s">
        <v>2316</v>
      </c>
      <c r="D690" s="1" t="s">
        <v>2301</v>
      </c>
      <c r="E690" s="1" t="s">
        <v>2107</v>
      </c>
      <c r="F690" s="7" t="n">
        <v>2009</v>
      </c>
    </row>
    <row r="691" customFormat="false" ht="14.25" hidden="false" customHeight="false" outlineLevel="0" collapsed="false">
      <c r="B691" s="7" t="s">
        <v>2317</v>
      </c>
      <c r="C691" s="1" t="s">
        <v>2318</v>
      </c>
      <c r="D691" s="1" t="s">
        <v>2301</v>
      </c>
      <c r="E691" s="1" t="s">
        <v>2107</v>
      </c>
      <c r="F691" s="7" t="n">
        <v>2010</v>
      </c>
      <c r="G691" s="1" t="s">
        <v>2319</v>
      </c>
      <c r="H691" s="1" t="s">
        <v>1479</v>
      </c>
    </row>
    <row r="692" customFormat="false" ht="14.25" hidden="false" customHeight="false" outlineLevel="0" collapsed="false">
      <c r="B692" s="7" t="s">
        <v>2320</v>
      </c>
      <c r="C692" s="1" t="s">
        <v>2321</v>
      </c>
      <c r="F692" s="7"/>
    </row>
    <row r="693" customFormat="false" ht="14.25" hidden="false" customHeight="false" outlineLevel="0" collapsed="false">
      <c r="B693" s="7" t="s">
        <v>2322</v>
      </c>
      <c r="C693" s="1" t="s">
        <v>2323</v>
      </c>
      <c r="D693" s="1" t="s">
        <v>2324</v>
      </c>
      <c r="E693" s="1" t="s">
        <v>2107</v>
      </c>
      <c r="F693" s="7" t="n">
        <v>2015</v>
      </c>
      <c r="G693" s="1" t="s">
        <v>2325</v>
      </c>
      <c r="H693" s="1" t="s">
        <v>50</v>
      </c>
    </row>
    <row r="694" customFormat="false" ht="14.25" hidden="false" customHeight="false" outlineLevel="0" collapsed="false">
      <c r="B694" s="7" t="s">
        <v>2326</v>
      </c>
      <c r="C694" s="1" t="s">
        <v>2327</v>
      </c>
      <c r="D694" s="1" t="s">
        <v>2324</v>
      </c>
      <c r="E694" s="1" t="s">
        <v>2107</v>
      </c>
      <c r="F694" s="7" t="n">
        <v>2015</v>
      </c>
      <c r="G694" s="1" t="s">
        <v>2328</v>
      </c>
      <c r="H694" s="1" t="s">
        <v>50</v>
      </c>
    </row>
    <row r="695" customFormat="false" ht="14.25" hidden="false" customHeight="false" outlineLevel="0" collapsed="false">
      <c r="B695" s="19" t="s">
        <v>2329</v>
      </c>
      <c r="C695" s="1" t="s">
        <v>2330</v>
      </c>
      <c r="D695" s="1" t="s">
        <v>2324</v>
      </c>
      <c r="E695" s="1" t="s">
        <v>2107</v>
      </c>
      <c r="F695" s="7" t="n">
        <v>2015</v>
      </c>
      <c r="G695" s="1" t="s">
        <v>2331</v>
      </c>
      <c r="H695" s="1" t="s">
        <v>50</v>
      </c>
    </row>
    <row r="696" customFormat="false" ht="14.25" hidden="false" customHeight="false" outlineLevel="0" collapsed="false">
      <c r="B696" s="19" t="s">
        <v>2332</v>
      </c>
      <c r="C696" s="1" t="s">
        <v>2333</v>
      </c>
      <c r="D696" s="1" t="s">
        <v>2324</v>
      </c>
      <c r="E696" s="1" t="s">
        <v>2107</v>
      </c>
      <c r="F696" s="7" t="n">
        <v>2015</v>
      </c>
      <c r="G696" s="1" t="s">
        <v>1446</v>
      </c>
      <c r="H696" s="1" t="s">
        <v>50</v>
      </c>
    </row>
    <row r="697" customFormat="false" ht="14.25" hidden="false" customHeight="false" outlineLevel="0" collapsed="false">
      <c r="B697" s="7" t="s">
        <v>2334</v>
      </c>
      <c r="C697" s="1" t="s">
        <v>2335</v>
      </c>
      <c r="D697" s="1" t="s">
        <v>2336</v>
      </c>
      <c r="E697" s="1" t="s">
        <v>2107</v>
      </c>
      <c r="F697" s="7" t="n">
        <v>2013</v>
      </c>
      <c r="G697" s="1" t="s">
        <v>2337</v>
      </c>
      <c r="H697" s="1" t="s">
        <v>50</v>
      </c>
    </row>
    <row r="698" customFormat="false" ht="14.25" hidden="false" customHeight="false" outlineLevel="0" collapsed="false">
      <c r="B698" s="7" t="s">
        <v>2338</v>
      </c>
      <c r="C698" s="1" t="s">
        <v>2339</v>
      </c>
      <c r="D698" s="1" t="s">
        <v>2336</v>
      </c>
      <c r="E698" s="1" t="s">
        <v>2107</v>
      </c>
      <c r="F698" s="7" t="n">
        <v>2012</v>
      </c>
      <c r="G698" s="1" t="s">
        <v>2340</v>
      </c>
      <c r="H698" s="1" t="s">
        <v>50</v>
      </c>
    </row>
    <row r="699" customFormat="false" ht="14.25" hidden="false" customHeight="false" outlineLevel="0" collapsed="false">
      <c r="B699" s="7" t="s">
        <v>2341</v>
      </c>
      <c r="C699" s="1" t="s">
        <v>2342</v>
      </c>
      <c r="D699" s="1" t="s">
        <v>2336</v>
      </c>
      <c r="E699" s="1" t="s">
        <v>2107</v>
      </c>
      <c r="F699" s="7" t="n">
        <v>2012</v>
      </c>
      <c r="G699" s="1" t="s">
        <v>2343</v>
      </c>
      <c r="H699" s="1" t="s">
        <v>2344</v>
      </c>
    </row>
    <row r="700" customFormat="false" ht="14.25" hidden="false" customHeight="false" outlineLevel="0" collapsed="false">
      <c r="B700" s="7" t="s">
        <v>2345</v>
      </c>
      <c r="C700" s="1" t="s">
        <v>2346</v>
      </c>
      <c r="D700" s="1" t="s">
        <v>2336</v>
      </c>
      <c r="E700" s="1" t="s">
        <v>2107</v>
      </c>
      <c r="F700" s="7" t="n">
        <v>2012</v>
      </c>
      <c r="G700" s="1" t="s">
        <v>2325</v>
      </c>
      <c r="H700" s="1" t="s">
        <v>50</v>
      </c>
    </row>
    <row r="701" customFormat="false" ht="14.25" hidden="false" customHeight="false" outlineLevel="0" collapsed="false">
      <c r="B701" s="7" t="s">
        <v>2347</v>
      </c>
      <c r="C701" s="1" t="s">
        <v>2348</v>
      </c>
      <c r="D701" s="1" t="s">
        <v>2336</v>
      </c>
      <c r="E701" s="1" t="s">
        <v>2107</v>
      </c>
      <c r="F701" s="7" t="n">
        <v>2012</v>
      </c>
      <c r="G701" s="1" t="s">
        <v>2349</v>
      </c>
      <c r="H701" s="1" t="s">
        <v>1479</v>
      </c>
    </row>
    <row r="702" customFormat="false" ht="14.25" hidden="false" customHeight="false" outlineLevel="0" collapsed="false">
      <c r="B702" s="7" t="s">
        <v>2350</v>
      </c>
      <c r="C702" s="1" t="s">
        <v>2351</v>
      </c>
      <c r="D702" s="1" t="s">
        <v>2336</v>
      </c>
      <c r="E702" s="1" t="s">
        <v>2107</v>
      </c>
      <c r="F702" s="7" t="n">
        <v>2012</v>
      </c>
      <c r="G702" s="1" t="s">
        <v>2352</v>
      </c>
      <c r="H702" s="1" t="s">
        <v>2344</v>
      </c>
    </row>
    <row r="703" customFormat="false" ht="14.25" hidden="false" customHeight="false" outlineLevel="0" collapsed="false">
      <c r="B703" s="7" t="s">
        <v>2353</v>
      </c>
      <c r="C703" s="1" t="s">
        <v>2354</v>
      </c>
      <c r="D703" s="1" t="s">
        <v>2355</v>
      </c>
      <c r="E703" s="1" t="s">
        <v>2107</v>
      </c>
      <c r="F703" s="7" t="n">
        <v>2013</v>
      </c>
      <c r="G703" s="1" t="s">
        <v>2325</v>
      </c>
      <c r="H703" s="1" t="s">
        <v>50</v>
      </c>
    </row>
    <row r="704" customFormat="false" ht="14.25" hidden="false" customHeight="false" outlineLevel="0" collapsed="false">
      <c r="B704" s="7" t="s">
        <v>2356</v>
      </c>
      <c r="C704" s="1" t="s">
        <v>2354</v>
      </c>
      <c r="D704" s="1" t="s">
        <v>2357</v>
      </c>
      <c r="E704" s="1" t="s">
        <v>2107</v>
      </c>
      <c r="F704" s="7" t="n">
        <v>2013</v>
      </c>
      <c r="G704" s="1" t="s">
        <v>2252</v>
      </c>
      <c r="H704" s="1" t="s">
        <v>188</v>
      </c>
    </row>
    <row r="705" customFormat="false" ht="14.25" hidden="false" customHeight="false" outlineLevel="0" collapsed="false">
      <c r="B705" s="7" t="s">
        <v>2358</v>
      </c>
      <c r="C705" s="1" t="s">
        <v>2359</v>
      </c>
      <c r="D705" s="1" t="s">
        <v>2357</v>
      </c>
      <c r="E705" s="1" t="s">
        <v>2107</v>
      </c>
      <c r="F705" s="7" t="n">
        <v>2014</v>
      </c>
      <c r="G705" s="1" t="s">
        <v>2360</v>
      </c>
      <c r="H705" s="1" t="s">
        <v>188</v>
      </c>
    </row>
    <row r="706" customFormat="false" ht="14.25" hidden="false" customHeight="false" outlineLevel="0" collapsed="false">
      <c r="B706" s="7" t="s">
        <v>2361</v>
      </c>
      <c r="C706" s="1" t="s">
        <v>2362</v>
      </c>
      <c r="D706" s="1" t="s">
        <v>2363</v>
      </c>
      <c r="E706" s="1" t="s">
        <v>2107</v>
      </c>
      <c r="F706" s="1" t="n">
        <v>2012</v>
      </c>
      <c r="G706" s="1" t="s">
        <v>2305</v>
      </c>
      <c r="H706" s="1" t="s">
        <v>188</v>
      </c>
    </row>
    <row r="707" customFormat="false" ht="14.25" hidden="false" customHeight="false" outlineLevel="0" collapsed="false">
      <c r="B707" s="7" t="s">
        <v>2364</v>
      </c>
      <c r="C707" s="1" t="s">
        <v>2365</v>
      </c>
      <c r="D707" s="1" t="s">
        <v>2366</v>
      </c>
      <c r="E707" s="1" t="s">
        <v>2107</v>
      </c>
      <c r="F707" s="7" t="n">
        <v>1997</v>
      </c>
      <c r="G707" s="1" t="s">
        <v>2367</v>
      </c>
      <c r="H707" s="1" t="s">
        <v>2368</v>
      </c>
    </row>
    <row r="708" customFormat="false" ht="14.25" hidden="false" customHeight="false" outlineLevel="0" collapsed="false">
      <c r="B708" s="7" t="s">
        <v>2369</v>
      </c>
      <c r="C708" s="1" t="s">
        <v>2370</v>
      </c>
      <c r="D708" s="1" t="s">
        <v>2366</v>
      </c>
      <c r="E708" s="1" t="s">
        <v>2107</v>
      </c>
      <c r="F708" s="7" t="n">
        <v>1997</v>
      </c>
      <c r="G708" s="1" t="s">
        <v>2371</v>
      </c>
      <c r="H708" s="1" t="s">
        <v>704</v>
      </c>
    </row>
    <row r="709" customFormat="false" ht="14.25" hidden="false" customHeight="false" outlineLevel="0" collapsed="false">
      <c r="B709" s="6" t="s">
        <v>2372</v>
      </c>
      <c r="C709" s="2" t="s">
        <v>2373</v>
      </c>
      <c r="D709" s="2" t="s">
        <v>1982</v>
      </c>
      <c r="E709" s="2" t="s">
        <v>2107</v>
      </c>
      <c r="F709" s="6" t="n">
        <v>1997</v>
      </c>
      <c r="G709" s="2" t="s">
        <v>2374</v>
      </c>
      <c r="H709" s="2" t="s">
        <v>82</v>
      </c>
    </row>
    <row r="710" customFormat="false" ht="14.25" hidden="false" customHeight="false" outlineLevel="0" collapsed="false">
      <c r="B710" s="6" t="s">
        <v>2375</v>
      </c>
      <c r="C710" s="2" t="s">
        <v>2376</v>
      </c>
      <c r="D710" s="2" t="s">
        <v>1982</v>
      </c>
      <c r="E710" s="2" t="s">
        <v>2107</v>
      </c>
      <c r="F710" s="6" t="n">
        <v>1997</v>
      </c>
      <c r="G710" s="2" t="s">
        <v>2377</v>
      </c>
      <c r="H710" s="2" t="s">
        <v>82</v>
      </c>
    </row>
    <row r="711" customFormat="false" ht="14.25" hidden="false" customHeight="false" outlineLevel="0" collapsed="false">
      <c r="B711" s="6" t="s">
        <v>2378</v>
      </c>
      <c r="C711" s="2" t="s">
        <v>2379</v>
      </c>
      <c r="D711" s="2" t="s">
        <v>2380</v>
      </c>
      <c r="E711" s="2" t="s">
        <v>2107</v>
      </c>
      <c r="F711" s="6" t="n">
        <v>1999</v>
      </c>
      <c r="G711" s="2" t="s">
        <v>2381</v>
      </c>
      <c r="H711" s="2" t="s">
        <v>704</v>
      </c>
    </row>
    <row r="712" customFormat="false" ht="14.25" hidden="false" customHeight="false" outlineLevel="0" collapsed="false">
      <c r="B712" s="6" t="s">
        <v>2382</v>
      </c>
      <c r="C712" s="2" t="s">
        <v>2383</v>
      </c>
      <c r="D712" s="2" t="s">
        <v>2380</v>
      </c>
      <c r="E712" s="2" t="s">
        <v>2107</v>
      </c>
      <c r="F712" s="6" t="n">
        <v>1999</v>
      </c>
      <c r="G712" s="2" t="s">
        <v>2384</v>
      </c>
      <c r="H712" s="2" t="s">
        <v>303</v>
      </c>
    </row>
    <row r="713" customFormat="false" ht="14.25" hidden="false" customHeight="false" outlineLevel="0" collapsed="false">
      <c r="B713" s="7" t="s">
        <v>2385</v>
      </c>
      <c r="C713" s="1" t="s">
        <v>2386</v>
      </c>
      <c r="D713" s="1" t="s">
        <v>2387</v>
      </c>
      <c r="E713" s="1" t="s">
        <v>2107</v>
      </c>
      <c r="F713" s="7" t="n">
        <v>2006</v>
      </c>
      <c r="H713" s="1" t="s">
        <v>220</v>
      </c>
    </row>
    <row r="714" customFormat="false" ht="14.25" hidden="false" customHeight="false" outlineLevel="0" collapsed="false">
      <c r="B714" s="7" t="s">
        <v>2388</v>
      </c>
      <c r="C714" s="1" t="s">
        <v>2386</v>
      </c>
      <c r="D714" s="1" t="s">
        <v>2387</v>
      </c>
      <c r="E714" s="1" t="s">
        <v>2107</v>
      </c>
      <c r="F714" s="7" t="n">
        <v>2006</v>
      </c>
      <c r="H714" s="1" t="s">
        <v>220</v>
      </c>
    </row>
    <row r="715" customFormat="false" ht="14.25" hidden="false" customHeight="false" outlineLevel="0" collapsed="false">
      <c r="B715" s="7" t="s">
        <v>2389</v>
      </c>
      <c r="C715" s="1" t="s">
        <v>2390</v>
      </c>
      <c r="D715" s="1" t="s">
        <v>2387</v>
      </c>
      <c r="E715" s="1" t="s">
        <v>2107</v>
      </c>
      <c r="F715" s="7" t="n">
        <v>2006</v>
      </c>
      <c r="H715" s="1" t="s">
        <v>220</v>
      </c>
    </row>
    <row r="716" customFormat="false" ht="14.25" hidden="false" customHeight="false" outlineLevel="0" collapsed="false">
      <c r="B716" s="7" t="s">
        <v>2391</v>
      </c>
      <c r="C716" s="1" t="s">
        <v>2392</v>
      </c>
      <c r="D716" s="1" t="s">
        <v>2387</v>
      </c>
      <c r="E716" s="1" t="s">
        <v>2107</v>
      </c>
      <c r="F716" s="7" t="n">
        <v>2007</v>
      </c>
      <c r="G716" s="1" t="s">
        <v>2393</v>
      </c>
      <c r="H716" s="1" t="s">
        <v>2394</v>
      </c>
    </row>
    <row r="717" customFormat="false" ht="14.25" hidden="false" customHeight="false" outlineLevel="0" collapsed="false">
      <c r="B717" s="7" t="s">
        <v>2395</v>
      </c>
      <c r="C717" s="1" t="s">
        <v>2396</v>
      </c>
      <c r="D717" s="1" t="s">
        <v>2387</v>
      </c>
      <c r="E717" s="1" t="s">
        <v>2107</v>
      </c>
      <c r="F717" s="7" t="n">
        <v>2007</v>
      </c>
      <c r="G717" s="1" t="s">
        <v>2397</v>
      </c>
      <c r="H717" s="1" t="s">
        <v>2197</v>
      </c>
    </row>
    <row r="718" customFormat="false" ht="14.25" hidden="false" customHeight="false" outlineLevel="0" collapsed="false">
      <c r="B718" s="7" t="s">
        <v>2398</v>
      </c>
      <c r="C718" s="1" t="s">
        <v>2399</v>
      </c>
      <c r="D718" s="1" t="s">
        <v>2387</v>
      </c>
      <c r="E718" s="1" t="s">
        <v>2107</v>
      </c>
      <c r="F718" s="7" t="n">
        <v>2007</v>
      </c>
      <c r="G718" s="1" t="s">
        <v>2302</v>
      </c>
      <c r="H718" s="1" t="s">
        <v>433</v>
      </c>
    </row>
    <row r="719" customFormat="false" ht="14.25" hidden="false" customHeight="false" outlineLevel="0" collapsed="false">
      <c r="B719" s="7" t="s">
        <v>2400</v>
      </c>
      <c r="C719" s="1" t="s">
        <v>2401</v>
      </c>
      <c r="D719" s="1" t="s">
        <v>2387</v>
      </c>
      <c r="E719" s="1" t="s">
        <v>2107</v>
      </c>
      <c r="F719" s="7" t="n">
        <v>2007</v>
      </c>
      <c r="G719" s="1" t="s">
        <v>2402</v>
      </c>
      <c r="H719" s="1" t="s">
        <v>2197</v>
      </c>
    </row>
    <row r="720" customFormat="false" ht="14.25" hidden="false" customHeight="false" outlineLevel="0" collapsed="false">
      <c r="B720" s="7" t="s">
        <v>2403</v>
      </c>
      <c r="C720" s="1" t="s">
        <v>2404</v>
      </c>
      <c r="D720" s="1" t="s">
        <v>2387</v>
      </c>
      <c r="E720" s="1" t="s">
        <v>2107</v>
      </c>
      <c r="F720" s="7" t="n">
        <v>2007</v>
      </c>
      <c r="G720" s="1" t="s">
        <v>2405</v>
      </c>
      <c r="H720" s="1" t="s">
        <v>50</v>
      </c>
    </row>
    <row r="721" customFormat="false" ht="14.25" hidden="false" customHeight="false" outlineLevel="0" collapsed="false">
      <c r="B721" s="7" t="s">
        <v>2406</v>
      </c>
      <c r="C721" s="1" t="s">
        <v>2407</v>
      </c>
      <c r="D721" s="1" t="s">
        <v>2387</v>
      </c>
      <c r="E721" s="1" t="s">
        <v>2107</v>
      </c>
      <c r="F721" s="7" t="n">
        <v>2007</v>
      </c>
      <c r="G721" s="1" t="s">
        <v>2260</v>
      </c>
      <c r="H721" s="1" t="s">
        <v>928</v>
      </c>
    </row>
    <row r="722" customFormat="false" ht="14.25" hidden="false" customHeight="false" outlineLevel="0" collapsed="false">
      <c r="B722" s="7" t="s">
        <v>2408</v>
      </c>
      <c r="C722" s="1" t="s">
        <v>2409</v>
      </c>
      <c r="D722" s="1" t="s">
        <v>2387</v>
      </c>
      <c r="E722" s="1" t="s">
        <v>2107</v>
      </c>
      <c r="F722" s="7" t="n">
        <v>2007</v>
      </c>
      <c r="G722" s="1" t="s">
        <v>2410</v>
      </c>
      <c r="H722" s="1" t="s">
        <v>50</v>
      </c>
    </row>
    <row r="723" customFormat="false" ht="14.25" hidden="false" customHeight="false" outlineLevel="0" collapsed="false">
      <c r="B723" s="7" t="s">
        <v>2411</v>
      </c>
      <c r="C723" s="1" t="s">
        <v>2412</v>
      </c>
      <c r="D723" s="1" t="s">
        <v>2387</v>
      </c>
      <c r="E723" s="1" t="s">
        <v>2107</v>
      </c>
      <c r="F723" s="7" t="n">
        <v>2007</v>
      </c>
      <c r="G723" s="1" t="s">
        <v>2413</v>
      </c>
      <c r="H723" s="1" t="s">
        <v>2197</v>
      </c>
    </row>
    <row r="724" customFormat="false" ht="14.25" hidden="false" customHeight="false" outlineLevel="0" collapsed="false">
      <c r="B724" s="7" t="s">
        <v>2414</v>
      </c>
      <c r="C724" s="1" t="s">
        <v>2415</v>
      </c>
      <c r="D724" s="1" t="s">
        <v>2387</v>
      </c>
      <c r="E724" s="1" t="s">
        <v>2107</v>
      </c>
      <c r="F724" s="7" t="n">
        <v>2007</v>
      </c>
      <c r="G724" s="1" t="s">
        <v>2416</v>
      </c>
      <c r="H724" s="1" t="s">
        <v>220</v>
      </c>
    </row>
    <row r="725" customFormat="false" ht="14.25" hidden="false" customHeight="false" outlineLevel="0" collapsed="false">
      <c r="B725" s="7" t="s">
        <v>2417</v>
      </c>
      <c r="C725" s="1" t="s">
        <v>2399</v>
      </c>
      <c r="D725" s="1" t="s">
        <v>2387</v>
      </c>
      <c r="E725" s="1" t="s">
        <v>2107</v>
      </c>
      <c r="F725" s="7" t="n">
        <v>2007</v>
      </c>
      <c r="G725" s="1" t="s">
        <v>2302</v>
      </c>
      <c r="H725" s="1" t="s">
        <v>433</v>
      </c>
    </row>
    <row r="726" customFormat="false" ht="14.25" hidden="false" customHeight="false" outlineLevel="0" collapsed="false">
      <c r="B726" s="7" t="s">
        <v>2418</v>
      </c>
      <c r="C726" s="1" t="s">
        <v>2419</v>
      </c>
      <c r="D726" s="1" t="s">
        <v>2387</v>
      </c>
      <c r="E726" s="1" t="s">
        <v>2107</v>
      </c>
      <c r="F726" s="7" t="n">
        <v>2007</v>
      </c>
      <c r="G726" s="1" t="s">
        <v>2091</v>
      </c>
      <c r="H726" s="1" t="s">
        <v>82</v>
      </c>
    </row>
    <row r="727" customFormat="false" ht="14.25" hidden="false" customHeight="false" outlineLevel="0" collapsed="false">
      <c r="B727" s="7" t="s">
        <v>2420</v>
      </c>
      <c r="C727" s="1" t="s">
        <v>2421</v>
      </c>
      <c r="D727" s="1" t="s">
        <v>2387</v>
      </c>
      <c r="E727" s="1" t="s">
        <v>2107</v>
      </c>
      <c r="F727" s="7" t="n">
        <v>2007</v>
      </c>
      <c r="G727" s="1" t="s">
        <v>2422</v>
      </c>
      <c r="H727" s="1" t="s">
        <v>82</v>
      </c>
    </row>
    <row r="728" customFormat="false" ht="14.25" hidden="false" customHeight="false" outlineLevel="0" collapsed="false">
      <c r="B728" s="7" t="s">
        <v>2423</v>
      </c>
      <c r="C728" s="1" t="s">
        <v>2424</v>
      </c>
      <c r="D728" s="1" t="s">
        <v>2387</v>
      </c>
      <c r="E728" s="1" t="s">
        <v>2107</v>
      </c>
      <c r="F728" s="7" t="n">
        <v>2007</v>
      </c>
      <c r="G728" s="1" t="s">
        <v>2397</v>
      </c>
      <c r="H728" s="1" t="s">
        <v>104</v>
      </c>
    </row>
    <row r="729" customFormat="false" ht="14.25" hidden="false" customHeight="false" outlineLevel="0" collapsed="false">
      <c r="B729" s="7" t="s">
        <v>2425</v>
      </c>
      <c r="C729" s="1" t="s">
        <v>2426</v>
      </c>
      <c r="D729" s="1" t="s">
        <v>2387</v>
      </c>
      <c r="E729" s="1" t="s">
        <v>2107</v>
      </c>
      <c r="F729" s="7" t="n">
        <v>2008</v>
      </c>
      <c r="G729" s="1" t="s">
        <v>2393</v>
      </c>
      <c r="H729" s="1" t="s">
        <v>244</v>
      </c>
    </row>
    <row r="730" customFormat="false" ht="14.25" hidden="false" customHeight="false" outlineLevel="0" collapsed="false">
      <c r="B730" s="7" t="s">
        <v>2427</v>
      </c>
      <c r="C730" s="1" t="s">
        <v>2428</v>
      </c>
      <c r="D730" s="1" t="s">
        <v>2387</v>
      </c>
      <c r="E730" s="1" t="s">
        <v>2107</v>
      </c>
      <c r="F730" s="7" t="n">
        <v>2007</v>
      </c>
      <c r="G730" s="1" t="s">
        <v>2260</v>
      </c>
      <c r="H730" s="1" t="s">
        <v>50</v>
      </c>
    </row>
    <row r="731" customFormat="false" ht="14.25" hidden="false" customHeight="false" outlineLevel="0" collapsed="false">
      <c r="B731" s="6" t="s">
        <v>2429</v>
      </c>
      <c r="C731" s="2" t="s">
        <v>2430</v>
      </c>
      <c r="D731" s="2" t="s">
        <v>2431</v>
      </c>
      <c r="E731" s="2" t="s">
        <v>2107</v>
      </c>
      <c r="F731" s="6" t="n">
        <v>2003</v>
      </c>
      <c r="G731" s="2" t="s">
        <v>2432</v>
      </c>
      <c r="H731" s="2" t="s">
        <v>2433</v>
      </c>
    </row>
    <row r="732" customFormat="false" ht="14.25" hidden="false" customHeight="false" outlineLevel="0" collapsed="false">
      <c r="B732" s="7" t="s">
        <v>2434</v>
      </c>
      <c r="C732" s="1" t="s">
        <v>2435</v>
      </c>
      <c r="D732" s="1" t="s">
        <v>2436</v>
      </c>
      <c r="E732" s="1" t="s">
        <v>2107</v>
      </c>
      <c r="F732" s="7" t="n">
        <v>2005</v>
      </c>
      <c r="G732" s="1" t="s">
        <v>2437</v>
      </c>
      <c r="H732" s="1" t="s">
        <v>244</v>
      </c>
    </row>
    <row r="733" customFormat="false" ht="14.25" hidden="false" customHeight="false" outlineLevel="0" collapsed="false">
      <c r="B733" s="7" t="s">
        <v>2438</v>
      </c>
      <c r="C733" s="1" t="s">
        <v>2439</v>
      </c>
      <c r="D733" s="1" t="s">
        <v>2436</v>
      </c>
      <c r="E733" s="1" t="s">
        <v>2107</v>
      </c>
      <c r="F733" s="7" t="n">
        <v>2005</v>
      </c>
      <c r="G733" s="1" t="s">
        <v>2440</v>
      </c>
      <c r="H733" s="1" t="s">
        <v>556</v>
      </c>
    </row>
    <row r="734" customFormat="false" ht="14.25" hidden="false" customHeight="false" outlineLevel="0" collapsed="false">
      <c r="B734" s="7" t="s">
        <v>2441</v>
      </c>
      <c r="C734" s="1" t="s">
        <v>2442</v>
      </c>
      <c r="D734" s="1" t="s">
        <v>2431</v>
      </c>
      <c r="E734" s="1" t="s">
        <v>2107</v>
      </c>
      <c r="F734" s="7" t="n">
        <v>2004</v>
      </c>
      <c r="G734" s="1" t="s">
        <v>2443</v>
      </c>
      <c r="H734" s="1" t="s">
        <v>50</v>
      </c>
    </row>
    <row r="735" customFormat="false" ht="14.25" hidden="false" customHeight="false" outlineLevel="0" collapsed="false">
      <c r="B735" s="7" t="s">
        <v>2444</v>
      </c>
      <c r="C735" s="1" t="s">
        <v>2445</v>
      </c>
      <c r="D735" s="1" t="s">
        <v>2431</v>
      </c>
      <c r="E735" s="1" t="s">
        <v>2107</v>
      </c>
      <c r="F735" s="7" t="n">
        <v>2005</v>
      </c>
      <c r="G735" s="1" t="s">
        <v>1446</v>
      </c>
      <c r="H735" s="1" t="s">
        <v>50</v>
      </c>
    </row>
    <row r="736" customFormat="false" ht="14.25" hidden="false" customHeight="false" outlineLevel="0" collapsed="false">
      <c r="B736" s="7" t="s">
        <v>2446</v>
      </c>
      <c r="C736" s="1" t="s">
        <v>2447</v>
      </c>
      <c r="D736" s="1" t="s">
        <v>2431</v>
      </c>
      <c r="E736" s="1" t="s">
        <v>2107</v>
      </c>
      <c r="F736" s="7" t="n">
        <v>2005</v>
      </c>
      <c r="G736" s="1" t="s">
        <v>2448</v>
      </c>
      <c r="H736" s="1" t="s">
        <v>50</v>
      </c>
    </row>
    <row r="737" customFormat="false" ht="14.25" hidden="false" customHeight="false" outlineLevel="0" collapsed="false">
      <c r="B737" s="7" t="s">
        <v>2449</v>
      </c>
      <c r="C737" s="1" t="s">
        <v>2450</v>
      </c>
      <c r="D737" s="1" t="s">
        <v>2431</v>
      </c>
      <c r="E737" s="1" t="s">
        <v>2107</v>
      </c>
      <c r="F737" s="7" t="n">
        <v>2005</v>
      </c>
      <c r="G737" s="1" t="s">
        <v>2451</v>
      </c>
      <c r="H737" s="1" t="s">
        <v>50</v>
      </c>
    </row>
    <row r="738" customFormat="false" ht="14.25" hidden="false" customHeight="false" outlineLevel="0" collapsed="false">
      <c r="B738" s="7" t="s">
        <v>2452</v>
      </c>
      <c r="C738" s="1" t="s">
        <v>2453</v>
      </c>
      <c r="D738" s="1" t="s">
        <v>2431</v>
      </c>
      <c r="E738" s="1" t="s">
        <v>2107</v>
      </c>
      <c r="F738" s="7" t="n">
        <v>2005</v>
      </c>
      <c r="G738" s="1" t="s">
        <v>2454</v>
      </c>
      <c r="H738" s="1" t="s">
        <v>50</v>
      </c>
    </row>
    <row r="739" customFormat="false" ht="14.25" hidden="false" customHeight="false" outlineLevel="0" collapsed="false">
      <c r="B739" s="7" t="s">
        <v>2455</v>
      </c>
      <c r="C739" s="1" t="s">
        <v>2456</v>
      </c>
      <c r="D739" s="1" t="s">
        <v>2457</v>
      </c>
      <c r="E739" s="1" t="s">
        <v>2107</v>
      </c>
      <c r="F739" s="7" t="n">
        <v>2004</v>
      </c>
      <c r="G739" s="1" t="s">
        <v>191</v>
      </c>
      <c r="H739" s="1" t="s">
        <v>82</v>
      </c>
    </row>
    <row r="740" customFormat="false" ht="14.25" hidden="false" customHeight="false" outlineLevel="0" collapsed="false">
      <c r="B740" s="7" t="s">
        <v>2458</v>
      </c>
      <c r="C740" s="1" t="s">
        <v>2459</v>
      </c>
      <c r="D740" s="1" t="s">
        <v>2431</v>
      </c>
      <c r="E740" s="1" t="s">
        <v>2107</v>
      </c>
      <c r="F740" s="7" t="n">
        <v>2006</v>
      </c>
      <c r="G740" s="1" t="s">
        <v>2460</v>
      </c>
      <c r="H740" s="1" t="s">
        <v>50</v>
      </c>
    </row>
    <row r="741" customFormat="false" ht="14.25" hidden="false" customHeight="false" outlineLevel="0" collapsed="false">
      <c r="B741" s="7" t="s">
        <v>2461</v>
      </c>
      <c r="C741" s="1" t="s">
        <v>2462</v>
      </c>
      <c r="D741" s="1" t="s">
        <v>2431</v>
      </c>
      <c r="E741" s="1" t="s">
        <v>2107</v>
      </c>
      <c r="F741" s="7" t="n">
        <v>2006</v>
      </c>
      <c r="G741" s="1" t="s">
        <v>2463</v>
      </c>
      <c r="H741" s="1" t="s">
        <v>50</v>
      </c>
    </row>
    <row r="742" customFormat="false" ht="14.25" hidden="false" customHeight="false" outlineLevel="0" collapsed="false">
      <c r="B742" s="7" t="s">
        <v>2464</v>
      </c>
      <c r="C742" s="1" t="s">
        <v>2465</v>
      </c>
      <c r="D742" s="1" t="s">
        <v>2431</v>
      </c>
      <c r="E742" s="1" t="s">
        <v>2107</v>
      </c>
      <c r="F742" s="7" t="n">
        <v>2003</v>
      </c>
      <c r="G742" s="1" t="s">
        <v>2466</v>
      </c>
      <c r="H742" s="1" t="s">
        <v>2467</v>
      </c>
    </row>
    <row r="743" customFormat="false" ht="14.25" hidden="false" customHeight="false" outlineLevel="0" collapsed="false">
      <c r="B743" s="7" t="s">
        <v>2468</v>
      </c>
      <c r="C743" s="1" t="s">
        <v>2469</v>
      </c>
      <c r="D743" s="2" t="s">
        <v>2431</v>
      </c>
      <c r="E743" s="2" t="s">
        <v>2107</v>
      </c>
      <c r="F743" s="7" t="n">
        <v>2005</v>
      </c>
      <c r="G743" s="1" t="s">
        <v>2470</v>
      </c>
      <c r="H743" s="1" t="s">
        <v>1479</v>
      </c>
    </row>
    <row r="744" customFormat="false" ht="14.25" hidden="false" customHeight="false" outlineLevel="0" collapsed="false">
      <c r="B744" s="6" t="s">
        <v>2471</v>
      </c>
      <c r="C744" s="2" t="s">
        <v>2472</v>
      </c>
      <c r="D744" s="2"/>
      <c r="E744" s="2" t="s">
        <v>2473</v>
      </c>
      <c r="F744" s="6" t="n">
        <v>2003</v>
      </c>
      <c r="G744" s="2" t="s">
        <v>2474</v>
      </c>
      <c r="H744" s="2" t="s">
        <v>2475</v>
      </c>
    </row>
    <row r="745" customFormat="false" ht="14.25" hidden="false" customHeight="false" outlineLevel="0" collapsed="false">
      <c r="B745" s="7" t="s">
        <v>2476</v>
      </c>
      <c r="C745" s="1" t="s">
        <v>2477</v>
      </c>
      <c r="D745" s="1" t="s">
        <v>2478</v>
      </c>
      <c r="E745" s="1" t="s">
        <v>2473</v>
      </c>
      <c r="F745" s="7" t="n">
        <v>1998</v>
      </c>
      <c r="G745" s="1" t="s">
        <v>2479</v>
      </c>
      <c r="H745" s="1" t="s">
        <v>704</v>
      </c>
    </row>
    <row r="746" customFormat="false" ht="14.25" hidden="false" customHeight="false" outlineLevel="0" collapsed="false">
      <c r="B746" s="6" t="s">
        <v>2480</v>
      </c>
      <c r="C746" s="2" t="s">
        <v>2481</v>
      </c>
      <c r="D746" s="2"/>
      <c r="E746" s="2" t="s">
        <v>2482</v>
      </c>
      <c r="F746" s="6" t="n">
        <v>2004</v>
      </c>
      <c r="G746" s="2" t="s">
        <v>1309</v>
      </c>
      <c r="H746" s="2" t="s">
        <v>50</v>
      </c>
    </row>
    <row r="747" customFormat="false" ht="14.25" hidden="false" customHeight="false" outlineLevel="0" collapsed="false">
      <c r="B747" s="7" t="s">
        <v>2483</v>
      </c>
      <c r="C747" s="1" t="s">
        <v>2484</v>
      </c>
      <c r="D747" s="1" t="s">
        <v>2485</v>
      </c>
      <c r="E747" s="1" t="s">
        <v>2482</v>
      </c>
      <c r="F747" s="7" t="n">
        <v>1998</v>
      </c>
      <c r="G747" s="1" t="s">
        <v>2486</v>
      </c>
      <c r="H747" s="1" t="s">
        <v>157</v>
      </c>
    </row>
    <row r="748" customFormat="false" ht="14.25" hidden="false" customHeight="false" outlineLevel="0" collapsed="false">
      <c r="B748" s="7" t="s">
        <v>2487</v>
      </c>
      <c r="C748" s="1" t="s">
        <v>2488</v>
      </c>
      <c r="D748" s="1" t="s">
        <v>2485</v>
      </c>
      <c r="E748" s="1" t="s">
        <v>2482</v>
      </c>
      <c r="F748" s="7" t="n">
        <v>1999</v>
      </c>
      <c r="G748" s="1" t="s">
        <v>2489</v>
      </c>
      <c r="H748" s="1" t="s">
        <v>255</v>
      </c>
    </row>
    <row r="749" customFormat="false" ht="14.25" hidden="false" customHeight="false" outlineLevel="0" collapsed="false">
      <c r="B749" s="7" t="s">
        <v>2490</v>
      </c>
      <c r="C749" s="1" t="s">
        <v>2491</v>
      </c>
      <c r="E749" s="1" t="s">
        <v>2482</v>
      </c>
      <c r="F749" s="7" t="n">
        <v>2000</v>
      </c>
      <c r="G749" s="1" t="s">
        <v>2492</v>
      </c>
      <c r="H749" s="1" t="s">
        <v>2493</v>
      </c>
    </row>
    <row r="750" customFormat="false" ht="14.25" hidden="false" customHeight="false" outlineLevel="0" collapsed="false">
      <c r="B750" s="7" t="s">
        <v>2494</v>
      </c>
      <c r="C750" s="1" t="s">
        <v>2495</v>
      </c>
      <c r="E750" s="1" t="s">
        <v>2482</v>
      </c>
      <c r="F750" s="7" t="n">
        <v>2000</v>
      </c>
      <c r="G750" s="1" t="s">
        <v>2496</v>
      </c>
      <c r="H750" s="1" t="s">
        <v>704</v>
      </c>
    </row>
    <row r="751" customFormat="false" ht="14.25" hidden="false" customHeight="false" outlineLevel="0" collapsed="false">
      <c r="B751" s="7" t="s">
        <v>2497</v>
      </c>
      <c r="C751" s="1" t="s">
        <v>2498</v>
      </c>
      <c r="D751" s="1" t="s">
        <v>2485</v>
      </c>
      <c r="E751" s="1" t="s">
        <v>2482</v>
      </c>
      <c r="F751" s="7" t="n">
        <v>2003</v>
      </c>
      <c r="G751" s="1" t="s">
        <v>2499</v>
      </c>
      <c r="H751" s="1" t="s">
        <v>82</v>
      </c>
    </row>
    <row r="752" customFormat="false" ht="14.25" hidden="false" customHeight="false" outlineLevel="0" collapsed="false">
      <c r="B752" s="6" t="s">
        <v>2500</v>
      </c>
      <c r="C752" s="2" t="s">
        <v>2501</v>
      </c>
      <c r="D752" s="2" t="s">
        <v>2485</v>
      </c>
      <c r="E752" s="2" t="s">
        <v>2482</v>
      </c>
      <c r="F752" s="6" t="n">
        <v>1999</v>
      </c>
      <c r="G752" s="2" t="s">
        <v>2502</v>
      </c>
      <c r="H752" s="2" t="s">
        <v>1527</v>
      </c>
    </row>
    <row r="753" customFormat="false" ht="14.25" hidden="false" customHeight="false" outlineLevel="0" collapsed="false">
      <c r="B753" s="6" t="s">
        <v>2503</v>
      </c>
      <c r="C753" s="2" t="s">
        <v>2504</v>
      </c>
      <c r="D753" s="2"/>
      <c r="E753" s="2" t="s">
        <v>2482</v>
      </c>
      <c r="F753" s="6" t="n">
        <v>1999</v>
      </c>
      <c r="G753" s="2" t="s">
        <v>2505</v>
      </c>
      <c r="H753" s="2" t="s">
        <v>1527</v>
      </c>
    </row>
    <row r="754" customFormat="false" ht="14.25" hidden="false" customHeight="false" outlineLevel="0" collapsed="false">
      <c r="B754" s="6" t="s">
        <v>2506</v>
      </c>
      <c r="C754" s="2" t="s">
        <v>2507</v>
      </c>
      <c r="D754" s="2" t="s">
        <v>2508</v>
      </c>
      <c r="E754" s="2" t="s">
        <v>2482</v>
      </c>
      <c r="F754" s="6" t="n">
        <v>2006</v>
      </c>
      <c r="G754" s="2" t="s">
        <v>2509</v>
      </c>
      <c r="H754" s="2" t="s">
        <v>82</v>
      </c>
    </row>
    <row r="755" customFormat="false" ht="14.25" hidden="false" customHeight="false" outlineLevel="0" collapsed="false">
      <c r="B755" s="7" t="s">
        <v>2510</v>
      </c>
      <c r="C755" s="1" t="s">
        <v>2511</v>
      </c>
      <c r="D755" s="1" t="s">
        <v>2512</v>
      </c>
      <c r="E755" s="1" t="s">
        <v>2482</v>
      </c>
      <c r="F755" s="7" t="n">
        <v>1997</v>
      </c>
      <c r="H755" s="1" t="s">
        <v>704</v>
      </c>
    </row>
    <row r="756" customFormat="false" ht="14.25" hidden="false" customHeight="false" outlineLevel="0" collapsed="false">
      <c r="B756" s="7" t="s">
        <v>2513</v>
      </c>
      <c r="C756" s="1" t="s">
        <v>2514</v>
      </c>
      <c r="D756" s="1" t="s">
        <v>2512</v>
      </c>
      <c r="E756" s="1" t="s">
        <v>2482</v>
      </c>
      <c r="F756" s="7" t="n">
        <v>1997</v>
      </c>
      <c r="H756" s="1" t="s">
        <v>220</v>
      </c>
    </row>
    <row r="757" customFormat="false" ht="14.25" hidden="false" customHeight="false" outlineLevel="0" collapsed="false">
      <c r="B757" s="6" t="s">
        <v>2515</v>
      </c>
      <c r="C757" s="2" t="s">
        <v>2516</v>
      </c>
      <c r="D757" s="2" t="s">
        <v>2517</v>
      </c>
      <c r="E757" s="2" t="s">
        <v>2482</v>
      </c>
      <c r="F757" s="6" t="n">
        <v>2000</v>
      </c>
      <c r="G757" s="2" t="s">
        <v>2518</v>
      </c>
      <c r="H757" s="2" t="s">
        <v>82</v>
      </c>
    </row>
    <row r="758" customFormat="false" ht="14.25" hidden="false" customHeight="false" outlineLevel="0" collapsed="false">
      <c r="B758" s="6" t="s">
        <v>2519</v>
      </c>
      <c r="C758" s="2" t="s">
        <v>2520</v>
      </c>
      <c r="D758" s="2" t="s">
        <v>2517</v>
      </c>
      <c r="E758" s="2" t="s">
        <v>2482</v>
      </c>
      <c r="F758" s="6" t="n">
        <v>1997</v>
      </c>
      <c r="G758" s="2" t="s">
        <v>2521</v>
      </c>
      <c r="H758" s="2" t="s">
        <v>220</v>
      </c>
    </row>
    <row r="759" customFormat="false" ht="14.25" hidden="false" customHeight="false" outlineLevel="0" collapsed="false">
      <c r="B759" s="7" t="s">
        <v>2522</v>
      </c>
      <c r="C759" s="1" t="s">
        <v>2523</v>
      </c>
      <c r="D759" s="1" t="s">
        <v>2524</v>
      </c>
      <c r="E759" s="1" t="s">
        <v>2482</v>
      </c>
      <c r="F759" s="7" t="n">
        <v>2005</v>
      </c>
      <c r="G759" s="1" t="s">
        <v>2525</v>
      </c>
      <c r="H759" s="1" t="s">
        <v>82</v>
      </c>
    </row>
    <row r="760" customFormat="false" ht="14.25" hidden="false" customHeight="false" outlineLevel="0" collapsed="false">
      <c r="B760" s="7" t="s">
        <v>2526</v>
      </c>
      <c r="C760" s="1" t="s">
        <v>2527</v>
      </c>
      <c r="D760" s="1" t="s">
        <v>2524</v>
      </c>
      <c r="E760" s="1" t="s">
        <v>2482</v>
      </c>
      <c r="F760" s="7" t="n">
        <v>2005</v>
      </c>
      <c r="G760" s="1" t="s">
        <v>2528</v>
      </c>
      <c r="H760" s="1" t="s">
        <v>82</v>
      </c>
    </row>
    <row r="761" customFormat="false" ht="14.25" hidden="false" customHeight="false" outlineLevel="0" collapsed="false">
      <c r="B761" s="7" t="s">
        <v>2529</v>
      </c>
      <c r="C761" s="1" t="s">
        <v>2530</v>
      </c>
      <c r="D761" s="1" t="s">
        <v>2531</v>
      </c>
      <c r="E761" s="1" t="s">
        <v>2482</v>
      </c>
      <c r="F761" s="7" t="n">
        <v>2005</v>
      </c>
      <c r="G761" s="1" t="s">
        <v>2532</v>
      </c>
      <c r="H761" s="1" t="s">
        <v>50</v>
      </c>
    </row>
    <row r="762" customFormat="false" ht="14.25" hidden="false" customHeight="false" outlineLevel="0" collapsed="false">
      <c r="B762" s="6" t="s">
        <v>2533</v>
      </c>
      <c r="C762" s="2" t="s">
        <v>2534</v>
      </c>
      <c r="D762" s="2" t="s">
        <v>2535</v>
      </c>
      <c r="E762" s="2" t="s">
        <v>2482</v>
      </c>
      <c r="F762" s="6" t="n">
        <v>2002</v>
      </c>
      <c r="G762" s="2" t="s">
        <v>2536</v>
      </c>
      <c r="H762" s="2" t="s">
        <v>220</v>
      </c>
    </row>
    <row r="763" customFormat="false" ht="14.25" hidden="false" customHeight="false" outlineLevel="0" collapsed="false">
      <c r="B763" s="6" t="s">
        <v>2537</v>
      </c>
      <c r="C763" s="2" t="s">
        <v>2538</v>
      </c>
      <c r="D763" s="2" t="s">
        <v>2535</v>
      </c>
      <c r="E763" s="2" t="s">
        <v>2482</v>
      </c>
      <c r="F763" s="6" t="n">
        <v>2003</v>
      </c>
      <c r="G763" s="2" t="s">
        <v>2539</v>
      </c>
      <c r="H763" s="2" t="s">
        <v>220</v>
      </c>
    </row>
    <row r="764" customFormat="false" ht="14.25" hidden="false" customHeight="false" outlineLevel="0" collapsed="false">
      <c r="B764" s="7" t="s">
        <v>2540</v>
      </c>
      <c r="C764" s="2" t="s">
        <v>2541</v>
      </c>
      <c r="D764" s="2" t="s">
        <v>2535</v>
      </c>
      <c r="E764" s="2" t="s">
        <v>2482</v>
      </c>
      <c r="F764" s="6" t="n">
        <v>2001</v>
      </c>
      <c r="G764" s="2"/>
      <c r="H764" s="2" t="s">
        <v>220</v>
      </c>
    </row>
    <row r="765" customFormat="false" ht="14.25" hidden="false" customHeight="false" outlineLevel="0" collapsed="false">
      <c r="B765" s="6" t="s">
        <v>2542</v>
      </c>
      <c r="C765" s="2" t="s">
        <v>2543</v>
      </c>
      <c r="D765" s="2" t="s">
        <v>2517</v>
      </c>
      <c r="E765" s="1" t="s">
        <v>2482</v>
      </c>
      <c r="F765" s="6" t="n">
        <v>1998</v>
      </c>
      <c r="G765" s="2" t="s">
        <v>2544</v>
      </c>
      <c r="H765" s="2" t="s">
        <v>2545</v>
      </c>
    </row>
    <row r="766" customFormat="false" ht="14.25" hidden="false" customHeight="false" outlineLevel="0" collapsed="false">
      <c r="B766" s="7" t="s">
        <v>2546</v>
      </c>
      <c r="C766" s="2" t="s">
        <v>2547</v>
      </c>
      <c r="D766" s="2" t="s">
        <v>2517</v>
      </c>
      <c r="E766" s="1" t="s">
        <v>2482</v>
      </c>
      <c r="F766" s="6" t="n">
        <v>1998</v>
      </c>
      <c r="G766" s="2" t="s">
        <v>2544</v>
      </c>
      <c r="H766" s="2" t="s">
        <v>2545</v>
      </c>
    </row>
    <row r="767" customFormat="false" ht="14.25" hidden="false" customHeight="false" outlineLevel="0" collapsed="false">
      <c r="B767" s="7" t="s">
        <v>2548</v>
      </c>
      <c r="C767" s="1" t="s">
        <v>2549</v>
      </c>
      <c r="D767" s="1" t="s">
        <v>2550</v>
      </c>
      <c r="E767" s="1" t="s">
        <v>2551</v>
      </c>
      <c r="F767" s="7" t="n">
        <v>2002</v>
      </c>
      <c r="G767" s="1" t="s">
        <v>2536</v>
      </c>
      <c r="H767" s="1" t="s">
        <v>220</v>
      </c>
    </row>
    <row r="768" customFormat="false" ht="14.25" hidden="false" customHeight="false" outlineLevel="0" collapsed="false">
      <c r="B768" s="7" t="s">
        <v>2552</v>
      </c>
      <c r="C768" s="1" t="s">
        <v>2553</v>
      </c>
      <c r="D768" s="1" t="s">
        <v>2554</v>
      </c>
      <c r="E768" s="1" t="s">
        <v>2551</v>
      </c>
      <c r="F768" s="7" t="n">
        <v>2000</v>
      </c>
      <c r="G768" s="1" t="s">
        <v>2555</v>
      </c>
      <c r="H768" s="1" t="s">
        <v>64</v>
      </c>
    </row>
    <row r="769" customFormat="false" ht="14.25" hidden="false" customHeight="false" outlineLevel="0" collapsed="false">
      <c r="B769" s="7" t="s">
        <v>2556</v>
      </c>
      <c r="C769" s="1" t="s">
        <v>2557</v>
      </c>
      <c r="D769" s="1" t="s">
        <v>2554</v>
      </c>
      <c r="E769" s="1" t="s">
        <v>2551</v>
      </c>
      <c r="F769" s="7" t="n">
        <v>2000</v>
      </c>
      <c r="G769" s="1" t="s">
        <v>2558</v>
      </c>
      <c r="H769" s="1" t="s">
        <v>82</v>
      </c>
    </row>
    <row r="770" customFormat="false" ht="14.25" hidden="false" customHeight="false" outlineLevel="0" collapsed="false">
      <c r="B770" s="7" t="s">
        <v>2559</v>
      </c>
      <c r="C770" s="1" t="s">
        <v>2560</v>
      </c>
      <c r="D770" s="1" t="s">
        <v>2554</v>
      </c>
      <c r="E770" s="1" t="s">
        <v>2551</v>
      </c>
      <c r="F770" s="7" t="n">
        <v>2000</v>
      </c>
      <c r="G770" s="1" t="s">
        <v>291</v>
      </c>
      <c r="H770" s="1" t="s">
        <v>709</v>
      </c>
    </row>
    <row r="771" customFormat="false" ht="14.25" hidden="false" customHeight="false" outlineLevel="0" collapsed="false">
      <c r="B771" s="7" t="s">
        <v>2561</v>
      </c>
      <c r="C771" s="1" t="s">
        <v>2562</v>
      </c>
      <c r="D771" s="1" t="s">
        <v>2563</v>
      </c>
      <c r="E771" s="1" t="s">
        <v>2482</v>
      </c>
      <c r="F771" s="7" t="n">
        <v>1999</v>
      </c>
      <c r="G771" s="1" t="s">
        <v>2564</v>
      </c>
      <c r="H771" s="1" t="s">
        <v>82</v>
      </c>
    </row>
    <row r="772" customFormat="false" ht="14.25" hidden="false" customHeight="false" outlineLevel="0" collapsed="false">
      <c r="B772" s="6" t="s">
        <v>2565</v>
      </c>
      <c r="C772" s="2" t="s">
        <v>2566</v>
      </c>
      <c r="D772" s="2" t="s">
        <v>2567</v>
      </c>
      <c r="E772" s="2" t="s">
        <v>2482</v>
      </c>
      <c r="F772" s="6" t="n">
        <v>2004</v>
      </c>
      <c r="G772" s="2" t="s">
        <v>2568</v>
      </c>
      <c r="H772" s="2" t="s">
        <v>2197</v>
      </c>
    </row>
    <row r="773" customFormat="false" ht="14.25" hidden="false" customHeight="false" outlineLevel="0" collapsed="false">
      <c r="B773" s="7" t="s">
        <v>2569</v>
      </c>
      <c r="C773" s="1" t="s">
        <v>2570</v>
      </c>
      <c r="D773" s="1" t="s">
        <v>2567</v>
      </c>
      <c r="E773" s="1" t="s">
        <v>2482</v>
      </c>
      <c r="F773" s="7" t="n">
        <v>1997</v>
      </c>
      <c r="G773" s="1" t="s">
        <v>2571</v>
      </c>
      <c r="H773" s="1" t="s">
        <v>704</v>
      </c>
    </row>
    <row r="774" customFormat="false" ht="14.25" hidden="false" customHeight="false" outlineLevel="0" collapsed="false">
      <c r="B774" s="6" t="s">
        <v>2572</v>
      </c>
      <c r="C774" s="2" t="s">
        <v>2573</v>
      </c>
      <c r="D774" s="2" t="s">
        <v>2567</v>
      </c>
      <c r="E774" s="2" t="s">
        <v>2482</v>
      </c>
      <c r="F774" s="6" t="n">
        <v>2000</v>
      </c>
      <c r="G774" s="2" t="s">
        <v>2574</v>
      </c>
      <c r="H774" s="2" t="s">
        <v>104</v>
      </c>
    </row>
    <row r="775" customFormat="false" ht="14.25" hidden="false" customHeight="false" outlineLevel="0" collapsed="false">
      <c r="B775" s="6" t="s">
        <v>2575</v>
      </c>
      <c r="C775" s="2" t="s">
        <v>2576</v>
      </c>
      <c r="D775" s="2" t="s">
        <v>2577</v>
      </c>
      <c r="E775" s="2" t="s">
        <v>2482</v>
      </c>
      <c r="F775" s="6" t="n">
        <v>2000</v>
      </c>
      <c r="G775" s="2" t="s">
        <v>2578</v>
      </c>
      <c r="H775" s="2" t="s">
        <v>244</v>
      </c>
    </row>
    <row r="776" customFormat="false" ht="14.25" hidden="false" customHeight="false" outlineLevel="0" collapsed="false">
      <c r="B776" s="6" t="s">
        <v>2579</v>
      </c>
      <c r="C776" s="2" t="s">
        <v>2580</v>
      </c>
      <c r="D776" s="2" t="s">
        <v>2577</v>
      </c>
      <c r="E776" s="2" t="s">
        <v>2482</v>
      </c>
      <c r="F776" s="6" t="n">
        <v>2000</v>
      </c>
      <c r="G776" s="2" t="s">
        <v>2581</v>
      </c>
      <c r="H776" s="2" t="s">
        <v>118</v>
      </c>
    </row>
    <row r="777" customFormat="false" ht="14.25" hidden="false" customHeight="false" outlineLevel="0" collapsed="false">
      <c r="B777" s="6" t="s">
        <v>2582</v>
      </c>
      <c r="C777" s="2" t="s">
        <v>2583</v>
      </c>
      <c r="D777" s="2" t="s">
        <v>2577</v>
      </c>
      <c r="E777" s="2" t="s">
        <v>2482</v>
      </c>
      <c r="F777" s="6" t="n">
        <v>2001</v>
      </c>
      <c r="G777" s="2" t="s">
        <v>2584</v>
      </c>
      <c r="H777" s="2" t="s">
        <v>1527</v>
      </c>
    </row>
    <row r="778" customFormat="false" ht="14.25" hidden="false" customHeight="false" outlineLevel="0" collapsed="false">
      <c r="B778" s="6" t="s">
        <v>2585</v>
      </c>
      <c r="C778" s="2" t="s">
        <v>2586</v>
      </c>
      <c r="D778" s="2" t="s">
        <v>2577</v>
      </c>
      <c r="E778" s="2" t="s">
        <v>2482</v>
      </c>
      <c r="F778" s="6" t="n">
        <v>1998</v>
      </c>
      <c r="G778" s="2" t="s">
        <v>2584</v>
      </c>
      <c r="H778" s="2" t="s">
        <v>1527</v>
      </c>
    </row>
    <row r="779" customFormat="false" ht="14.25" hidden="false" customHeight="false" outlineLevel="0" collapsed="false">
      <c r="B779" s="6" t="s">
        <v>2587</v>
      </c>
      <c r="C779" s="2" t="s">
        <v>2588</v>
      </c>
      <c r="D779" s="2" t="s">
        <v>2577</v>
      </c>
      <c r="E779" s="2" t="s">
        <v>2482</v>
      </c>
      <c r="F779" s="6" t="n">
        <v>2004</v>
      </c>
      <c r="G779" s="2" t="s">
        <v>1086</v>
      </c>
      <c r="H779" s="2" t="s">
        <v>50</v>
      </c>
    </row>
    <row r="780" customFormat="false" ht="14.25" hidden="false" customHeight="false" outlineLevel="0" collapsed="false">
      <c r="B780" s="6" t="s">
        <v>2589</v>
      </c>
      <c r="C780" s="2" t="s">
        <v>2590</v>
      </c>
      <c r="D780" s="2" t="s">
        <v>2567</v>
      </c>
      <c r="E780" s="2" t="s">
        <v>2482</v>
      </c>
      <c r="F780" s="6" t="n">
        <v>2001</v>
      </c>
      <c r="G780" s="2" t="s">
        <v>2591</v>
      </c>
      <c r="H780" s="2" t="s">
        <v>151</v>
      </c>
    </row>
    <row r="781" customFormat="false" ht="14.25" hidden="false" customHeight="false" outlineLevel="0" collapsed="false">
      <c r="B781" s="7" t="s">
        <v>2592</v>
      </c>
      <c r="C781" s="1" t="s">
        <v>2593</v>
      </c>
      <c r="D781" s="1" t="s">
        <v>2594</v>
      </c>
      <c r="E781" s="1" t="s">
        <v>2482</v>
      </c>
      <c r="F781" s="7" t="n">
        <v>2006</v>
      </c>
      <c r="G781" s="1" t="s">
        <v>2595</v>
      </c>
      <c r="H781" s="1" t="s">
        <v>2545</v>
      </c>
    </row>
    <row r="782" customFormat="false" ht="14.25" hidden="false" customHeight="false" outlineLevel="0" collapsed="false">
      <c r="B782" s="6" t="s">
        <v>2596</v>
      </c>
      <c r="C782" s="2" t="s">
        <v>2597</v>
      </c>
      <c r="D782" s="2" t="s">
        <v>2598</v>
      </c>
      <c r="E782" s="2" t="s">
        <v>2482</v>
      </c>
      <c r="F782" s="6" t="n">
        <v>2003</v>
      </c>
      <c r="G782" s="3"/>
      <c r="H782" s="2" t="s">
        <v>1891</v>
      </c>
    </row>
    <row r="783" customFormat="false" ht="14.25" hidden="false" customHeight="false" outlineLevel="0" collapsed="false">
      <c r="B783" s="6" t="s">
        <v>2599</v>
      </c>
      <c r="C783" s="1" t="s">
        <v>2600</v>
      </c>
      <c r="D783" s="1" t="s">
        <v>2601</v>
      </c>
      <c r="E783" s="1" t="s">
        <v>2551</v>
      </c>
      <c r="F783" s="7" t="n">
        <v>2003</v>
      </c>
      <c r="G783" s="1" t="s">
        <v>2602</v>
      </c>
      <c r="H783" s="1" t="s">
        <v>220</v>
      </c>
    </row>
    <row r="784" customFormat="false" ht="14.25" hidden="false" customHeight="false" outlineLevel="0" collapsed="false">
      <c r="B784" s="7" t="s">
        <v>2603</v>
      </c>
      <c r="C784" s="1" t="s">
        <v>2604</v>
      </c>
      <c r="D784" s="1" t="s">
        <v>2605</v>
      </c>
      <c r="E784" s="1" t="s">
        <v>2482</v>
      </c>
      <c r="F784" s="7" t="n">
        <v>2000</v>
      </c>
      <c r="G784" s="1" t="s">
        <v>2606</v>
      </c>
      <c r="H784" s="1" t="s">
        <v>1219</v>
      </c>
    </row>
    <row r="785" customFormat="false" ht="14.25" hidden="false" customHeight="false" outlineLevel="0" collapsed="false">
      <c r="B785" s="7" t="s">
        <v>2607</v>
      </c>
      <c r="C785" s="2" t="s">
        <v>2608</v>
      </c>
      <c r="D785" s="1" t="s">
        <v>2609</v>
      </c>
      <c r="E785" s="1" t="s">
        <v>2482</v>
      </c>
      <c r="F785" s="7" t="n">
        <v>2000</v>
      </c>
      <c r="G785" s="1" t="s">
        <v>2610</v>
      </c>
      <c r="H785" s="1" t="s">
        <v>82</v>
      </c>
    </row>
    <row r="786" customFormat="false" ht="14.25" hidden="false" customHeight="false" outlineLevel="0" collapsed="false">
      <c r="B786" s="6" t="s">
        <v>2611</v>
      </c>
      <c r="C786" s="2" t="s">
        <v>2612</v>
      </c>
      <c r="D786" s="2" t="s">
        <v>2613</v>
      </c>
      <c r="E786" s="2" t="s">
        <v>2482</v>
      </c>
      <c r="F786" s="6" t="n">
        <v>2000</v>
      </c>
      <c r="G786" s="2" t="s">
        <v>2614</v>
      </c>
      <c r="H786" s="2" t="s">
        <v>118</v>
      </c>
    </row>
    <row r="787" customFormat="false" ht="14.25" hidden="false" customHeight="false" outlineLevel="0" collapsed="false">
      <c r="B787" s="6" t="s">
        <v>2615</v>
      </c>
      <c r="C787" s="2" t="s">
        <v>2616</v>
      </c>
      <c r="D787" s="2" t="s">
        <v>2617</v>
      </c>
      <c r="E787" s="2" t="s">
        <v>2482</v>
      </c>
      <c r="F787" s="6" t="n">
        <v>1999</v>
      </c>
      <c r="G787" s="2" t="s">
        <v>2618</v>
      </c>
      <c r="H787" s="2" t="s">
        <v>82</v>
      </c>
    </row>
    <row r="788" customFormat="false" ht="14.25" hidden="false" customHeight="false" outlineLevel="0" collapsed="false">
      <c r="B788" s="6" t="s">
        <v>2619</v>
      </c>
      <c r="C788" s="2" t="s">
        <v>2620</v>
      </c>
      <c r="D788" s="2" t="s">
        <v>2617</v>
      </c>
      <c r="E788" s="2" t="s">
        <v>2482</v>
      </c>
      <c r="F788" s="6" t="n">
        <v>1997</v>
      </c>
      <c r="G788" s="2" t="s">
        <v>2621</v>
      </c>
      <c r="H788" s="2" t="s">
        <v>82</v>
      </c>
    </row>
    <row r="789" customFormat="false" ht="14.25" hidden="false" customHeight="false" outlineLevel="0" collapsed="false">
      <c r="B789" s="6" t="s">
        <v>2622</v>
      </c>
      <c r="C789" s="2" t="s">
        <v>2623</v>
      </c>
      <c r="D789" s="2" t="s">
        <v>2624</v>
      </c>
      <c r="E789" s="2" t="s">
        <v>2482</v>
      </c>
      <c r="F789" s="6" t="n">
        <v>2002</v>
      </c>
      <c r="G789" s="2" t="s">
        <v>2625</v>
      </c>
      <c r="H789" s="2" t="s">
        <v>82</v>
      </c>
    </row>
    <row r="790" customFormat="false" ht="14.25" hidden="false" customHeight="false" outlineLevel="0" collapsed="false">
      <c r="B790" s="6" t="s">
        <v>2626</v>
      </c>
      <c r="C790" s="2" t="s">
        <v>2627</v>
      </c>
      <c r="D790" s="2" t="s">
        <v>2628</v>
      </c>
      <c r="E790" s="2" t="s">
        <v>2482</v>
      </c>
      <c r="F790" s="6" t="n">
        <v>2003</v>
      </c>
      <c r="G790" s="2" t="s">
        <v>2629</v>
      </c>
      <c r="H790" s="2" t="s">
        <v>50</v>
      </c>
    </row>
    <row r="791" customFormat="false" ht="14.25" hidden="false" customHeight="false" outlineLevel="0" collapsed="false">
      <c r="B791" s="6" t="s">
        <v>2630</v>
      </c>
      <c r="C791" s="2" t="s">
        <v>2631</v>
      </c>
      <c r="D791" s="2" t="s">
        <v>2617</v>
      </c>
      <c r="E791" s="2" t="s">
        <v>2482</v>
      </c>
      <c r="F791" s="6" t="n">
        <v>2003</v>
      </c>
      <c r="G791" s="2" t="s">
        <v>2632</v>
      </c>
      <c r="H791" s="2" t="s">
        <v>82</v>
      </c>
    </row>
    <row r="792" customFormat="false" ht="14.25" hidden="false" customHeight="false" outlineLevel="0" collapsed="false">
      <c r="B792" s="6" t="s">
        <v>2633</v>
      </c>
      <c r="C792" s="2" t="s">
        <v>2634</v>
      </c>
      <c r="D792" s="2" t="s">
        <v>2617</v>
      </c>
      <c r="E792" s="2" t="s">
        <v>2482</v>
      </c>
      <c r="F792" s="6" t="n">
        <v>2003</v>
      </c>
      <c r="G792" s="2" t="s">
        <v>2635</v>
      </c>
      <c r="H792" s="2" t="s">
        <v>82</v>
      </c>
    </row>
    <row r="793" customFormat="false" ht="14.25" hidden="false" customHeight="false" outlineLevel="0" collapsed="false">
      <c r="A793" s="1" t="s">
        <v>751</v>
      </c>
      <c r="B793" s="6" t="s">
        <v>2636</v>
      </c>
      <c r="C793" s="2" t="s">
        <v>2637</v>
      </c>
      <c r="D793" s="2" t="s">
        <v>2638</v>
      </c>
      <c r="E793" s="2" t="s">
        <v>2482</v>
      </c>
      <c r="F793" s="6" t="n">
        <v>1996</v>
      </c>
      <c r="G793" s="2" t="s">
        <v>2639</v>
      </c>
      <c r="H793" s="2" t="s">
        <v>2640</v>
      </c>
    </row>
    <row r="794" customFormat="false" ht="14.25" hidden="false" customHeight="false" outlineLevel="0" collapsed="false">
      <c r="B794" s="6" t="s">
        <v>2641</v>
      </c>
      <c r="C794" s="2" t="s">
        <v>2642</v>
      </c>
      <c r="D794" s="2" t="s">
        <v>2617</v>
      </c>
      <c r="E794" s="2" t="s">
        <v>2482</v>
      </c>
      <c r="F794" s="6" t="n">
        <v>2002</v>
      </c>
      <c r="G794" s="2" t="s">
        <v>2643</v>
      </c>
      <c r="H794" s="2" t="s">
        <v>82</v>
      </c>
    </row>
    <row r="795" customFormat="false" ht="14.25" hidden="false" customHeight="false" outlineLevel="0" collapsed="false">
      <c r="B795" s="6" t="s">
        <v>2644</v>
      </c>
      <c r="C795" s="2" t="s">
        <v>2645</v>
      </c>
      <c r="D795" s="2" t="s">
        <v>2617</v>
      </c>
      <c r="E795" s="2" t="s">
        <v>2482</v>
      </c>
      <c r="F795" s="6" t="n">
        <v>2002</v>
      </c>
      <c r="G795" s="2" t="s">
        <v>2646</v>
      </c>
      <c r="H795" s="2" t="s">
        <v>17</v>
      </c>
    </row>
    <row r="796" customFormat="false" ht="14.25" hidden="false" customHeight="false" outlineLevel="0" collapsed="false">
      <c r="B796" s="7" t="s">
        <v>2647</v>
      </c>
      <c r="C796" s="1" t="s">
        <v>2648</v>
      </c>
      <c r="D796" s="1" t="s">
        <v>2649</v>
      </c>
      <c r="E796" s="1" t="s">
        <v>2482</v>
      </c>
      <c r="F796" s="7" t="n">
        <v>1997</v>
      </c>
      <c r="G796" s="1" t="s">
        <v>2650</v>
      </c>
      <c r="H796" s="1" t="s">
        <v>157</v>
      </c>
    </row>
    <row r="797" customFormat="false" ht="14.25" hidden="false" customHeight="false" outlineLevel="0" collapsed="false">
      <c r="B797" s="7" t="s">
        <v>2651</v>
      </c>
      <c r="C797" s="1" t="s">
        <v>2652</v>
      </c>
      <c r="D797" s="1" t="s">
        <v>2653</v>
      </c>
      <c r="E797" s="1" t="s">
        <v>2482</v>
      </c>
      <c r="F797" s="7" t="n">
        <v>1999</v>
      </c>
      <c r="G797" s="1" t="s">
        <v>2654</v>
      </c>
      <c r="H797" s="1" t="s">
        <v>704</v>
      </c>
    </row>
    <row r="798" customFormat="false" ht="14.25" hidden="false" customHeight="false" outlineLevel="0" collapsed="false">
      <c r="B798" s="7" t="s">
        <v>2655</v>
      </c>
      <c r="C798" s="1" t="s">
        <v>2656</v>
      </c>
      <c r="D798" s="1" t="s">
        <v>2657</v>
      </c>
      <c r="E798" s="1" t="s">
        <v>2482</v>
      </c>
      <c r="F798" s="7" t="n">
        <v>1998</v>
      </c>
      <c r="G798" s="1" t="s">
        <v>2650</v>
      </c>
      <c r="H798" s="1" t="s">
        <v>157</v>
      </c>
    </row>
    <row r="799" customFormat="false" ht="14.25" hidden="false" customHeight="false" outlineLevel="0" collapsed="false">
      <c r="B799" s="6" t="s">
        <v>2658</v>
      </c>
      <c r="C799" s="2" t="s">
        <v>2659</v>
      </c>
      <c r="D799" s="2" t="s">
        <v>2649</v>
      </c>
      <c r="E799" s="2" t="s">
        <v>2482</v>
      </c>
      <c r="F799" s="6" t="n">
        <v>1998</v>
      </c>
      <c r="G799" s="2" t="s">
        <v>2660</v>
      </c>
      <c r="H799" s="2" t="s">
        <v>50</v>
      </c>
    </row>
    <row r="800" customFormat="false" ht="14.25" hidden="false" customHeight="false" outlineLevel="0" collapsed="false">
      <c r="B800" s="6" t="s">
        <v>2661</v>
      </c>
      <c r="C800" s="2" t="s">
        <v>2662</v>
      </c>
      <c r="D800" s="2" t="s">
        <v>2649</v>
      </c>
      <c r="E800" s="2" t="s">
        <v>2482</v>
      </c>
      <c r="F800" s="6" t="n">
        <v>2000</v>
      </c>
      <c r="G800" s="2" t="s">
        <v>2663</v>
      </c>
      <c r="H800" s="2" t="s">
        <v>82</v>
      </c>
    </row>
    <row r="801" customFormat="false" ht="14.25" hidden="false" customHeight="false" outlineLevel="0" collapsed="false">
      <c r="B801" s="6" t="s">
        <v>2664</v>
      </c>
      <c r="C801" s="2" t="s">
        <v>2665</v>
      </c>
      <c r="D801" s="2" t="s">
        <v>2666</v>
      </c>
      <c r="E801" s="2" t="s">
        <v>2482</v>
      </c>
      <c r="F801" s="6" t="n">
        <v>2000</v>
      </c>
      <c r="G801" s="2" t="s">
        <v>2667</v>
      </c>
      <c r="H801" s="2" t="s">
        <v>82</v>
      </c>
    </row>
    <row r="802" customFormat="false" ht="14.25" hidden="false" customHeight="false" outlineLevel="0" collapsed="false">
      <c r="B802" s="6" t="s">
        <v>2668</v>
      </c>
      <c r="C802" s="2" t="s">
        <v>2669</v>
      </c>
      <c r="D802" s="2" t="s">
        <v>2649</v>
      </c>
      <c r="E802" s="2" t="s">
        <v>2482</v>
      </c>
      <c r="F802" s="6" t="n">
        <v>2000</v>
      </c>
      <c r="G802" s="2" t="s">
        <v>2670</v>
      </c>
      <c r="H802" s="2" t="s">
        <v>709</v>
      </c>
    </row>
    <row r="803" customFormat="false" ht="14.25" hidden="false" customHeight="false" outlineLevel="0" collapsed="false">
      <c r="B803" s="6" t="s">
        <v>2671</v>
      </c>
      <c r="C803" s="2" t="s">
        <v>2672</v>
      </c>
      <c r="D803" s="2" t="s">
        <v>2649</v>
      </c>
      <c r="E803" s="2" t="s">
        <v>2482</v>
      </c>
      <c r="F803" s="6" t="n">
        <v>2002</v>
      </c>
      <c r="G803" s="2" t="s">
        <v>2673</v>
      </c>
      <c r="H803" s="2" t="s">
        <v>50</v>
      </c>
    </row>
    <row r="804" customFormat="false" ht="14.25" hidden="false" customHeight="false" outlineLevel="0" collapsed="false">
      <c r="B804" s="6" t="s">
        <v>2674</v>
      </c>
      <c r="C804" s="2" t="s">
        <v>2675</v>
      </c>
      <c r="D804" s="2" t="s">
        <v>2649</v>
      </c>
      <c r="E804" s="2" t="s">
        <v>2482</v>
      </c>
      <c r="F804" s="6" t="n">
        <v>2002</v>
      </c>
      <c r="G804" s="2" t="s">
        <v>2676</v>
      </c>
      <c r="H804" s="2" t="s">
        <v>82</v>
      </c>
    </row>
    <row r="805" customFormat="false" ht="14.25" hidden="false" customHeight="false" outlineLevel="0" collapsed="false">
      <c r="B805" s="6" t="s">
        <v>2677</v>
      </c>
      <c r="C805" s="2" t="s">
        <v>2678</v>
      </c>
      <c r="D805" s="2" t="s">
        <v>2649</v>
      </c>
      <c r="E805" s="2" t="s">
        <v>2482</v>
      </c>
      <c r="F805" s="6" t="n">
        <v>2002</v>
      </c>
      <c r="G805" s="2" t="s">
        <v>2679</v>
      </c>
      <c r="H805" s="2" t="s">
        <v>82</v>
      </c>
    </row>
    <row r="806" customFormat="false" ht="14.25" hidden="false" customHeight="false" outlineLevel="0" collapsed="false">
      <c r="B806" s="6" t="s">
        <v>2680</v>
      </c>
      <c r="C806" s="2" t="s">
        <v>2681</v>
      </c>
      <c r="D806" s="2" t="s">
        <v>2649</v>
      </c>
      <c r="E806" s="2" t="s">
        <v>2482</v>
      </c>
      <c r="F806" s="6" t="n">
        <v>2002</v>
      </c>
      <c r="G806" s="2" t="s">
        <v>2682</v>
      </c>
      <c r="H806" s="2" t="s">
        <v>82</v>
      </c>
    </row>
    <row r="807" customFormat="false" ht="14.25" hidden="false" customHeight="false" outlineLevel="0" collapsed="false">
      <c r="B807" s="6" t="s">
        <v>2683</v>
      </c>
      <c r="C807" s="2" t="s">
        <v>2684</v>
      </c>
      <c r="D807" s="2" t="s">
        <v>2649</v>
      </c>
      <c r="E807" s="2" t="s">
        <v>2482</v>
      </c>
      <c r="F807" s="6" t="n">
        <v>2001</v>
      </c>
      <c r="G807" s="2" t="s">
        <v>2685</v>
      </c>
      <c r="H807" s="2" t="s">
        <v>118</v>
      </c>
    </row>
    <row r="808" customFormat="false" ht="14.25" hidden="false" customHeight="false" outlineLevel="0" collapsed="false">
      <c r="B808" s="6" t="s">
        <v>2686</v>
      </c>
      <c r="C808" s="2" t="s">
        <v>2687</v>
      </c>
      <c r="D808" s="2" t="s">
        <v>2649</v>
      </c>
      <c r="E808" s="2" t="s">
        <v>2482</v>
      </c>
      <c r="F808" s="6" t="n">
        <v>2002</v>
      </c>
      <c r="G808" s="2" t="s">
        <v>2688</v>
      </c>
      <c r="H808" s="2" t="s">
        <v>2689</v>
      </c>
    </row>
    <row r="809" customFormat="false" ht="14.25" hidden="false" customHeight="false" outlineLevel="0" collapsed="false">
      <c r="B809" s="6" t="s">
        <v>2690</v>
      </c>
      <c r="C809" s="2" t="s">
        <v>2691</v>
      </c>
      <c r="D809" s="2" t="s">
        <v>2692</v>
      </c>
      <c r="E809" s="2" t="s">
        <v>2482</v>
      </c>
      <c r="F809" s="6" t="n">
        <v>2000</v>
      </c>
      <c r="G809" s="2" t="s">
        <v>2693</v>
      </c>
      <c r="H809" s="2" t="s">
        <v>2298</v>
      </c>
    </row>
    <row r="810" customFormat="false" ht="14.25" hidden="false" customHeight="false" outlineLevel="0" collapsed="false">
      <c r="A810" s="1" t="s">
        <v>751</v>
      </c>
      <c r="B810" s="6" t="s">
        <v>2694</v>
      </c>
      <c r="C810" s="2" t="s">
        <v>2695</v>
      </c>
      <c r="D810" s="2" t="s">
        <v>2649</v>
      </c>
      <c r="E810" s="2" t="s">
        <v>2482</v>
      </c>
      <c r="F810" s="6" t="n">
        <v>1996</v>
      </c>
      <c r="G810" s="2" t="s">
        <v>2696</v>
      </c>
      <c r="H810" s="2" t="s">
        <v>244</v>
      </c>
    </row>
    <row r="811" customFormat="false" ht="14.25" hidden="false" customHeight="false" outlineLevel="0" collapsed="false">
      <c r="B811" s="6" t="s">
        <v>2697</v>
      </c>
      <c r="C811" s="2" t="s">
        <v>2675</v>
      </c>
      <c r="D811" s="2" t="s">
        <v>2649</v>
      </c>
      <c r="E811" s="2" t="s">
        <v>2482</v>
      </c>
      <c r="F811" s="6" t="n">
        <v>1997</v>
      </c>
      <c r="G811" s="2" t="s">
        <v>2676</v>
      </c>
      <c r="H811" s="2" t="s">
        <v>82</v>
      </c>
    </row>
    <row r="812" customFormat="false" ht="14.25" hidden="false" customHeight="false" outlineLevel="0" collapsed="false">
      <c r="B812" s="6" t="s">
        <v>2698</v>
      </c>
      <c r="C812" s="2" t="s">
        <v>2699</v>
      </c>
      <c r="D812" s="2" t="s">
        <v>2649</v>
      </c>
      <c r="E812" s="2" t="s">
        <v>2482</v>
      </c>
      <c r="F812" s="6" t="n">
        <v>1997</v>
      </c>
      <c r="G812" s="2" t="s">
        <v>2700</v>
      </c>
      <c r="H812" s="2" t="s">
        <v>704</v>
      </c>
    </row>
    <row r="813" customFormat="false" ht="14.25" hidden="false" customHeight="false" outlineLevel="0" collapsed="false">
      <c r="B813" s="6" t="s">
        <v>2701</v>
      </c>
      <c r="C813" s="2" t="s">
        <v>2702</v>
      </c>
      <c r="D813" s="2" t="s">
        <v>2649</v>
      </c>
      <c r="E813" s="2" t="s">
        <v>2482</v>
      </c>
      <c r="F813" s="6" t="n">
        <v>2002</v>
      </c>
      <c r="G813" s="2" t="s">
        <v>2682</v>
      </c>
      <c r="H813" s="2" t="s">
        <v>437</v>
      </c>
    </row>
    <row r="814" customFormat="false" ht="14.25" hidden="false" customHeight="false" outlineLevel="0" collapsed="false">
      <c r="B814" s="6" t="s">
        <v>2703</v>
      </c>
      <c r="C814" s="2" t="s">
        <v>2704</v>
      </c>
      <c r="D814" s="2" t="s">
        <v>2649</v>
      </c>
      <c r="E814" s="2" t="s">
        <v>2482</v>
      </c>
      <c r="F814" s="6" t="n">
        <v>2003</v>
      </c>
      <c r="G814" s="2" t="s">
        <v>2705</v>
      </c>
      <c r="H814" s="2" t="s">
        <v>1527</v>
      </c>
    </row>
    <row r="815" customFormat="false" ht="14.25" hidden="false" customHeight="false" outlineLevel="0" collapsed="false">
      <c r="B815" s="6" t="s">
        <v>2706</v>
      </c>
      <c r="C815" s="2" t="s">
        <v>2707</v>
      </c>
      <c r="D815" s="2" t="s">
        <v>2649</v>
      </c>
      <c r="E815" s="2" t="s">
        <v>2482</v>
      </c>
      <c r="F815" s="6" t="n">
        <v>2003</v>
      </c>
      <c r="G815" s="2" t="s">
        <v>2708</v>
      </c>
      <c r="H815" s="2" t="s">
        <v>82</v>
      </c>
    </row>
    <row r="816" customFormat="false" ht="14.25" hidden="false" customHeight="false" outlineLevel="0" collapsed="false">
      <c r="B816" s="7" t="s">
        <v>2709</v>
      </c>
      <c r="C816" s="1" t="s">
        <v>2710</v>
      </c>
      <c r="D816" s="1" t="s">
        <v>2711</v>
      </c>
      <c r="E816" s="1" t="s">
        <v>2482</v>
      </c>
      <c r="F816" s="7" t="n">
        <v>2005</v>
      </c>
      <c r="G816" s="1" t="s">
        <v>2712</v>
      </c>
      <c r="H816" s="1" t="s">
        <v>2713</v>
      </c>
    </row>
    <row r="817" customFormat="false" ht="14.25" hidden="false" customHeight="false" outlineLevel="0" collapsed="false">
      <c r="B817" s="7" t="s">
        <v>2714</v>
      </c>
      <c r="C817" s="1" t="s">
        <v>2715</v>
      </c>
      <c r="D817" s="1" t="s">
        <v>2716</v>
      </c>
      <c r="E817" s="1" t="s">
        <v>2482</v>
      </c>
      <c r="F817" s="7" t="n">
        <v>2007</v>
      </c>
      <c r="G817" s="1" t="s">
        <v>2717</v>
      </c>
      <c r="H817" s="1" t="s">
        <v>82</v>
      </c>
    </row>
    <row r="818" customFormat="false" ht="14.25" hidden="false" customHeight="false" outlineLevel="0" collapsed="false">
      <c r="B818" s="6" t="s">
        <v>2718</v>
      </c>
      <c r="C818" s="2" t="s">
        <v>2719</v>
      </c>
      <c r="D818" s="2" t="s">
        <v>2716</v>
      </c>
      <c r="E818" s="2" t="s">
        <v>2482</v>
      </c>
      <c r="F818" s="6" t="n">
        <v>2002</v>
      </c>
      <c r="G818" s="2" t="s">
        <v>2676</v>
      </c>
      <c r="H818" s="2" t="s">
        <v>82</v>
      </c>
    </row>
    <row r="819" customFormat="false" ht="14.25" hidden="false" customHeight="false" outlineLevel="0" collapsed="false">
      <c r="B819" s="7" t="s">
        <v>2720</v>
      </c>
      <c r="C819" s="1" t="s">
        <v>2721</v>
      </c>
      <c r="D819" s="1" t="s">
        <v>2649</v>
      </c>
      <c r="E819" s="1" t="s">
        <v>2482</v>
      </c>
      <c r="F819" s="7" t="n">
        <v>2005</v>
      </c>
      <c r="G819" s="1" t="s">
        <v>2722</v>
      </c>
      <c r="H819" s="1" t="s">
        <v>1565</v>
      </c>
    </row>
    <row r="820" customFormat="false" ht="14.25" hidden="false" customHeight="false" outlineLevel="0" collapsed="false">
      <c r="B820" s="6" t="s">
        <v>2723</v>
      </c>
      <c r="C820" s="2" t="s">
        <v>2724</v>
      </c>
      <c r="D820" s="2" t="s">
        <v>2716</v>
      </c>
      <c r="E820" s="2" t="s">
        <v>2482</v>
      </c>
      <c r="F820" s="6" t="n">
        <v>2001</v>
      </c>
      <c r="G820" s="2" t="s">
        <v>2725</v>
      </c>
      <c r="H820" s="2" t="s">
        <v>244</v>
      </c>
    </row>
    <row r="821" customFormat="false" ht="14.25" hidden="false" customHeight="false" outlineLevel="0" collapsed="false">
      <c r="B821" s="6" t="s">
        <v>2726</v>
      </c>
      <c r="C821" s="2" t="s">
        <v>2727</v>
      </c>
      <c r="D821" s="2" t="s">
        <v>2716</v>
      </c>
      <c r="E821" s="2" t="s">
        <v>2482</v>
      </c>
      <c r="F821" s="6" t="n">
        <v>1998</v>
      </c>
      <c r="G821" s="2" t="s">
        <v>2728</v>
      </c>
      <c r="H821" s="2" t="s">
        <v>303</v>
      </c>
    </row>
    <row r="822" customFormat="false" ht="14.25" hidden="false" customHeight="false" outlineLevel="0" collapsed="false">
      <c r="B822" s="6" t="s">
        <v>2729</v>
      </c>
      <c r="C822" s="2" t="s">
        <v>2730</v>
      </c>
      <c r="D822" s="2" t="s">
        <v>2649</v>
      </c>
      <c r="E822" s="2" t="s">
        <v>2482</v>
      </c>
      <c r="F822" s="6" t="n">
        <v>1997</v>
      </c>
      <c r="G822" s="2" t="s">
        <v>2731</v>
      </c>
      <c r="H822" s="2" t="s">
        <v>2368</v>
      </c>
    </row>
    <row r="823" customFormat="false" ht="14.25" hidden="false" customHeight="false" outlineLevel="0" collapsed="false">
      <c r="B823" s="7" t="s">
        <v>2732</v>
      </c>
      <c r="C823" s="1" t="s">
        <v>2733</v>
      </c>
      <c r="D823" s="1" t="s">
        <v>2734</v>
      </c>
      <c r="E823" s="1" t="s">
        <v>2482</v>
      </c>
      <c r="F823" s="7" t="n">
        <v>2000</v>
      </c>
      <c r="G823" s="1" t="s">
        <v>2735</v>
      </c>
      <c r="H823" s="1" t="s">
        <v>704</v>
      </c>
    </row>
    <row r="824" customFormat="false" ht="14.25" hidden="false" customHeight="false" outlineLevel="0" collapsed="false">
      <c r="B824" s="7" t="s">
        <v>2736</v>
      </c>
      <c r="C824" s="1" t="s">
        <v>2737</v>
      </c>
      <c r="D824" s="1" t="s">
        <v>2649</v>
      </c>
      <c r="E824" s="1" t="s">
        <v>2482</v>
      </c>
      <c r="F824" s="7" t="n">
        <v>2000</v>
      </c>
      <c r="G824" s="1" t="s">
        <v>2738</v>
      </c>
      <c r="H824" s="1" t="s">
        <v>82</v>
      </c>
    </row>
    <row r="825" customFormat="false" ht="14.25" hidden="false" customHeight="false" outlineLevel="0" collapsed="false">
      <c r="B825" s="7" t="s">
        <v>2739</v>
      </c>
      <c r="C825" s="1" t="s">
        <v>2740</v>
      </c>
      <c r="D825" s="1" t="s">
        <v>2649</v>
      </c>
      <c r="E825" s="1" t="s">
        <v>2482</v>
      </c>
      <c r="F825" s="7" t="n">
        <v>2000</v>
      </c>
      <c r="G825" s="1" t="s">
        <v>2676</v>
      </c>
      <c r="H825" s="1" t="s">
        <v>82</v>
      </c>
    </row>
    <row r="826" customFormat="false" ht="14.25" hidden="false" customHeight="false" outlineLevel="0" collapsed="false">
      <c r="B826" s="7" t="s">
        <v>2741</v>
      </c>
      <c r="C826" s="1" t="s">
        <v>2675</v>
      </c>
      <c r="D826" s="1" t="s">
        <v>2649</v>
      </c>
      <c r="E826" s="1" t="s">
        <v>2482</v>
      </c>
      <c r="F826" s="7" t="n">
        <v>1999</v>
      </c>
      <c r="G826" s="1" t="s">
        <v>2676</v>
      </c>
      <c r="H826" s="1" t="s">
        <v>82</v>
      </c>
    </row>
    <row r="827" customFormat="false" ht="14.25" hidden="false" customHeight="false" outlineLevel="0" collapsed="false">
      <c r="B827" s="7" t="s">
        <v>2742</v>
      </c>
      <c r="C827" s="1" t="s">
        <v>2743</v>
      </c>
      <c r="D827" s="1" t="s">
        <v>2744</v>
      </c>
      <c r="E827" s="1" t="s">
        <v>2551</v>
      </c>
      <c r="F827" s="7" t="n">
        <v>2007</v>
      </c>
      <c r="G827" s="1" t="s">
        <v>2717</v>
      </c>
      <c r="H827" s="1" t="s">
        <v>82</v>
      </c>
    </row>
    <row r="828" customFormat="false" ht="14.25" hidden="false" customHeight="false" outlineLevel="0" collapsed="false">
      <c r="B828" s="7" t="s">
        <v>2745</v>
      </c>
      <c r="C828" s="1" t="s">
        <v>2746</v>
      </c>
      <c r="D828" s="1" t="s">
        <v>2747</v>
      </c>
      <c r="E828" s="1" t="s">
        <v>2482</v>
      </c>
      <c r="F828" s="7" t="n">
        <v>2001</v>
      </c>
      <c r="G828" s="1" t="s">
        <v>2748</v>
      </c>
      <c r="H828" s="1" t="s">
        <v>2749</v>
      </c>
    </row>
    <row r="829" customFormat="false" ht="14.25" hidden="false" customHeight="false" outlineLevel="0" collapsed="false">
      <c r="B829" s="7" t="s">
        <v>2750</v>
      </c>
      <c r="C829" s="1" t="s">
        <v>2751</v>
      </c>
      <c r="D829" s="1" t="s">
        <v>2747</v>
      </c>
      <c r="E829" s="1" t="s">
        <v>2482</v>
      </c>
      <c r="F829" s="7" t="n">
        <v>2002</v>
      </c>
      <c r="G829" s="1" t="s">
        <v>2752</v>
      </c>
      <c r="H829" s="1" t="s">
        <v>2753</v>
      </c>
    </row>
    <row r="830" customFormat="false" ht="14.25" hidden="false" customHeight="false" outlineLevel="0" collapsed="false">
      <c r="B830" s="7" t="s">
        <v>2754</v>
      </c>
      <c r="C830" s="1" t="s">
        <v>2755</v>
      </c>
      <c r="D830" s="1" t="s">
        <v>2747</v>
      </c>
      <c r="E830" s="1" t="s">
        <v>2482</v>
      </c>
      <c r="F830" s="7" t="n">
        <v>2001</v>
      </c>
      <c r="G830" s="1" t="s">
        <v>2756</v>
      </c>
      <c r="H830" s="1" t="s">
        <v>556</v>
      </c>
    </row>
    <row r="831" customFormat="false" ht="14.25" hidden="false" customHeight="false" outlineLevel="0" collapsed="false">
      <c r="B831" s="6" t="s">
        <v>2757</v>
      </c>
      <c r="C831" s="2" t="s">
        <v>2758</v>
      </c>
      <c r="D831" s="2" t="s">
        <v>2759</v>
      </c>
      <c r="E831" s="2" t="s">
        <v>2482</v>
      </c>
      <c r="F831" s="6" t="n">
        <v>2003</v>
      </c>
      <c r="G831" s="2" t="s">
        <v>2760</v>
      </c>
      <c r="H831" s="2" t="s">
        <v>157</v>
      </c>
    </row>
    <row r="832" customFormat="false" ht="14.25" hidden="false" customHeight="false" outlineLevel="0" collapsed="false">
      <c r="B832" s="7" t="s">
        <v>2761</v>
      </c>
      <c r="C832" s="1" t="s">
        <v>2762</v>
      </c>
      <c r="E832" s="1" t="s">
        <v>2763</v>
      </c>
      <c r="F832" s="7" t="n">
        <v>2002</v>
      </c>
      <c r="G832" s="1" t="s">
        <v>2764</v>
      </c>
      <c r="H832" s="1" t="s">
        <v>118</v>
      </c>
    </row>
    <row r="833" customFormat="false" ht="14.25" hidden="false" customHeight="false" outlineLevel="0" collapsed="false">
      <c r="B833" s="7" t="s">
        <v>2765</v>
      </c>
      <c r="C833" s="1" t="s">
        <v>2766</v>
      </c>
      <c r="E833" s="1" t="s">
        <v>2763</v>
      </c>
      <c r="F833" s="7" t="n">
        <v>2002</v>
      </c>
      <c r="G833" s="1" t="s">
        <v>2767</v>
      </c>
      <c r="H833" s="1" t="s">
        <v>118</v>
      </c>
    </row>
    <row r="834" customFormat="false" ht="14.25" hidden="false" customHeight="false" outlineLevel="0" collapsed="false">
      <c r="B834" s="7" t="s">
        <v>2768</v>
      </c>
      <c r="C834" s="1" t="s">
        <v>2769</v>
      </c>
      <c r="D834" s="1" t="s">
        <v>2770</v>
      </c>
      <c r="E834" s="1" t="s">
        <v>2771</v>
      </c>
      <c r="F834" s="7" t="n">
        <v>2009</v>
      </c>
      <c r="G834" s="1" t="s">
        <v>2772</v>
      </c>
      <c r="H834" s="1" t="s">
        <v>279</v>
      </c>
    </row>
    <row r="835" customFormat="false" ht="14.25" hidden="false" customHeight="false" outlineLevel="0" collapsed="false">
      <c r="B835" s="7" t="s">
        <v>2773</v>
      </c>
      <c r="C835" s="1" t="s">
        <v>2774</v>
      </c>
      <c r="D835" s="1" t="s">
        <v>2770</v>
      </c>
      <c r="E835" s="1" t="s">
        <v>2771</v>
      </c>
      <c r="F835" s="7" t="n">
        <v>2004</v>
      </c>
      <c r="G835" s="1" t="s">
        <v>2775</v>
      </c>
      <c r="H835" s="1" t="s">
        <v>220</v>
      </c>
    </row>
    <row r="836" customFormat="false" ht="14.25" hidden="false" customHeight="false" outlineLevel="0" collapsed="false">
      <c r="B836" s="7" t="s">
        <v>2776</v>
      </c>
      <c r="C836" s="1" t="s">
        <v>2777</v>
      </c>
      <c r="D836" s="1" t="s">
        <v>2770</v>
      </c>
      <c r="E836" s="1" t="s">
        <v>2771</v>
      </c>
      <c r="F836" s="7" t="n">
        <v>2003</v>
      </c>
      <c r="G836" s="1" t="s">
        <v>2778</v>
      </c>
      <c r="H836" s="1" t="s">
        <v>2779</v>
      </c>
    </row>
    <row r="837" customFormat="false" ht="14.25" hidden="false" customHeight="false" outlineLevel="0" collapsed="false">
      <c r="B837" s="7" t="s">
        <v>2780</v>
      </c>
      <c r="C837" s="1" t="s">
        <v>2781</v>
      </c>
      <c r="D837" s="1" t="s">
        <v>2770</v>
      </c>
      <c r="E837" s="1" t="s">
        <v>2771</v>
      </c>
      <c r="F837" s="7" t="n">
        <v>2005</v>
      </c>
      <c r="G837" s="1" t="s">
        <v>2778</v>
      </c>
      <c r="H837" s="1" t="s">
        <v>2779</v>
      </c>
    </row>
    <row r="838" customFormat="false" ht="14.25" hidden="false" customHeight="false" outlineLevel="0" collapsed="false">
      <c r="B838" s="7" t="s">
        <v>2782</v>
      </c>
      <c r="C838" s="1" t="s">
        <v>2783</v>
      </c>
      <c r="D838" s="1" t="s">
        <v>2770</v>
      </c>
      <c r="E838" s="1" t="s">
        <v>2771</v>
      </c>
      <c r="F838" s="7" t="n">
        <v>2003</v>
      </c>
      <c r="H838" s="1" t="s">
        <v>220</v>
      </c>
    </row>
    <row r="839" customFormat="false" ht="14.25" hidden="false" customHeight="false" outlineLevel="0" collapsed="false">
      <c r="B839" s="7" t="s">
        <v>2784</v>
      </c>
      <c r="C839" s="1" t="s">
        <v>2785</v>
      </c>
      <c r="D839" s="1" t="s">
        <v>2770</v>
      </c>
      <c r="E839" s="1" t="s">
        <v>2771</v>
      </c>
      <c r="F839" s="7" t="n">
        <v>2003</v>
      </c>
      <c r="G839" s="1" t="s">
        <v>2786</v>
      </c>
      <c r="H839" s="1" t="s">
        <v>220</v>
      </c>
    </row>
    <row r="840" customFormat="false" ht="14.25" hidden="false" customHeight="false" outlineLevel="0" collapsed="false">
      <c r="B840" s="7" t="s">
        <v>2787</v>
      </c>
      <c r="C840" s="1" t="s">
        <v>2788</v>
      </c>
      <c r="E840" s="1" t="s">
        <v>2789</v>
      </c>
      <c r="F840" s="7" t="n">
        <v>1998</v>
      </c>
      <c r="G840" s="1" t="s">
        <v>2790</v>
      </c>
      <c r="H840" s="1" t="s">
        <v>82</v>
      </c>
    </row>
    <row r="841" customFormat="false" ht="14.25" hidden="false" customHeight="false" outlineLevel="0" collapsed="false">
      <c r="B841" s="7" t="s">
        <v>2791</v>
      </c>
      <c r="C841" s="1" t="s">
        <v>2792</v>
      </c>
      <c r="E841" s="1" t="s">
        <v>2789</v>
      </c>
      <c r="F841" s="7" t="n">
        <v>1998</v>
      </c>
      <c r="G841" s="1" t="s">
        <v>2793</v>
      </c>
      <c r="H841" s="1" t="s">
        <v>1660</v>
      </c>
    </row>
    <row r="842" customFormat="false" ht="14.25" hidden="false" customHeight="false" outlineLevel="0" collapsed="false">
      <c r="B842" s="6" t="s">
        <v>2794</v>
      </c>
      <c r="C842" s="2" t="s">
        <v>2795</v>
      </c>
      <c r="D842" s="2"/>
      <c r="E842" s="2" t="s">
        <v>2789</v>
      </c>
      <c r="F842" s="6" t="n">
        <v>2001</v>
      </c>
      <c r="G842" s="2" t="s">
        <v>2796</v>
      </c>
      <c r="H842" s="2" t="s">
        <v>118</v>
      </c>
    </row>
    <row r="843" customFormat="false" ht="14.25" hidden="false" customHeight="false" outlineLevel="0" collapsed="false">
      <c r="B843" s="6" t="s">
        <v>2797</v>
      </c>
      <c r="C843" s="2" t="s">
        <v>2798</v>
      </c>
      <c r="D843" s="2"/>
      <c r="E843" s="2" t="s">
        <v>2789</v>
      </c>
      <c r="F843" s="6" t="n">
        <v>2001</v>
      </c>
      <c r="G843" s="2" t="s">
        <v>2799</v>
      </c>
      <c r="H843" s="2" t="s">
        <v>118</v>
      </c>
    </row>
    <row r="844" customFormat="false" ht="14.25" hidden="false" customHeight="false" outlineLevel="0" collapsed="false">
      <c r="B844" s="6" t="s">
        <v>2800</v>
      </c>
      <c r="C844" s="2" t="s">
        <v>2801</v>
      </c>
      <c r="D844" s="2"/>
      <c r="E844" s="2" t="s">
        <v>2789</v>
      </c>
      <c r="F844" s="6" t="n">
        <v>2002</v>
      </c>
      <c r="G844" s="2" t="s">
        <v>2802</v>
      </c>
      <c r="H844" s="2" t="s">
        <v>1527</v>
      </c>
    </row>
    <row r="845" customFormat="false" ht="14.25" hidden="false" customHeight="false" outlineLevel="0" collapsed="false">
      <c r="B845" s="6" t="s">
        <v>2803</v>
      </c>
      <c r="C845" s="2" t="s">
        <v>2804</v>
      </c>
      <c r="D845" s="2"/>
      <c r="E845" s="2" t="s">
        <v>2789</v>
      </c>
      <c r="F845" s="6" t="n">
        <v>2002</v>
      </c>
      <c r="G845" s="2" t="s">
        <v>2805</v>
      </c>
      <c r="H845" s="2" t="s">
        <v>1527</v>
      </c>
    </row>
    <row r="846" customFormat="false" ht="14.25" hidden="false" customHeight="false" outlineLevel="0" collapsed="false">
      <c r="B846" s="6" t="s">
        <v>2806</v>
      </c>
      <c r="C846" s="2" t="s">
        <v>2807</v>
      </c>
      <c r="D846" s="2"/>
      <c r="E846" s="2" t="s">
        <v>2789</v>
      </c>
      <c r="F846" s="6" t="n">
        <v>2004</v>
      </c>
      <c r="G846" s="2" t="s">
        <v>2808</v>
      </c>
      <c r="H846" s="2" t="s">
        <v>104</v>
      </c>
    </row>
    <row r="847" customFormat="false" ht="14.25" hidden="false" customHeight="false" outlineLevel="0" collapsed="false">
      <c r="B847" s="6" t="s">
        <v>2809</v>
      </c>
      <c r="C847" s="2" t="s">
        <v>2810</v>
      </c>
      <c r="D847" s="2"/>
      <c r="E847" s="2" t="s">
        <v>2789</v>
      </c>
      <c r="F847" s="6" t="n">
        <v>2001</v>
      </c>
      <c r="G847" s="2" t="s">
        <v>2811</v>
      </c>
      <c r="H847" s="2" t="s">
        <v>118</v>
      </c>
    </row>
    <row r="848" customFormat="false" ht="14.25" hidden="false" customHeight="false" outlineLevel="0" collapsed="false">
      <c r="B848" s="6" t="s">
        <v>2812</v>
      </c>
      <c r="C848" s="2" t="s">
        <v>2813</v>
      </c>
      <c r="D848" s="2"/>
      <c r="E848" s="2" t="s">
        <v>2789</v>
      </c>
      <c r="F848" s="6" t="n">
        <v>2000</v>
      </c>
      <c r="G848" s="2" t="s">
        <v>2814</v>
      </c>
      <c r="H848" s="2" t="s">
        <v>255</v>
      </c>
    </row>
    <row r="849" customFormat="false" ht="14.25" hidden="false" customHeight="false" outlineLevel="0" collapsed="false">
      <c r="B849" s="7" t="s">
        <v>2815</v>
      </c>
      <c r="C849" s="2" t="s">
        <v>2816</v>
      </c>
      <c r="D849" s="2"/>
      <c r="E849" s="2" t="s">
        <v>2789</v>
      </c>
      <c r="F849" s="6" t="n">
        <v>2002</v>
      </c>
      <c r="G849" s="2" t="s">
        <v>2817</v>
      </c>
      <c r="H849" s="2" t="s">
        <v>118</v>
      </c>
    </row>
    <row r="850" customFormat="false" ht="14.25" hidden="false" customHeight="false" outlineLevel="0" collapsed="false">
      <c r="B850" s="19" t="s">
        <v>2818</v>
      </c>
      <c r="C850" s="2" t="s">
        <v>2819</v>
      </c>
      <c r="D850" s="2"/>
      <c r="E850" s="2" t="s">
        <v>2789</v>
      </c>
      <c r="F850" s="6" t="n">
        <v>2001</v>
      </c>
      <c r="G850" s="2" t="s">
        <v>2820</v>
      </c>
      <c r="H850" s="2" t="s">
        <v>118</v>
      </c>
    </row>
    <row r="851" customFormat="false" ht="14.25" hidden="false" customHeight="false" outlineLevel="0" collapsed="false">
      <c r="B851" s="6" t="s">
        <v>2821</v>
      </c>
      <c r="C851" s="2" t="s">
        <v>2822</v>
      </c>
      <c r="D851" s="2"/>
      <c r="E851" s="2" t="s">
        <v>2789</v>
      </c>
      <c r="F851" s="6" t="n">
        <v>2001</v>
      </c>
      <c r="G851" s="2" t="s">
        <v>2823</v>
      </c>
      <c r="H851" s="2" t="s">
        <v>50</v>
      </c>
    </row>
    <row r="852" customFormat="false" ht="14.25" hidden="false" customHeight="false" outlineLevel="0" collapsed="false">
      <c r="B852" s="6" t="s">
        <v>2824</v>
      </c>
      <c r="C852" s="2" t="s">
        <v>2825</v>
      </c>
      <c r="D852" s="2"/>
      <c r="E852" s="2" t="s">
        <v>2789</v>
      </c>
      <c r="F852" s="6" t="n">
        <v>2003</v>
      </c>
      <c r="G852" s="2" t="s">
        <v>2826</v>
      </c>
      <c r="H852" s="2" t="s">
        <v>2827</v>
      </c>
    </row>
    <row r="853" customFormat="false" ht="14.25" hidden="false" customHeight="false" outlineLevel="0" collapsed="false">
      <c r="B853" s="7" t="s">
        <v>2828</v>
      </c>
      <c r="C853" s="2" t="s">
        <v>2829</v>
      </c>
      <c r="D853" s="2"/>
      <c r="E853" s="2" t="s">
        <v>2789</v>
      </c>
      <c r="F853" s="6" t="n">
        <v>2004</v>
      </c>
      <c r="G853" s="2" t="s">
        <v>2830</v>
      </c>
      <c r="H853" s="2" t="s">
        <v>82</v>
      </c>
    </row>
    <row r="854" customFormat="false" ht="14.25" hidden="false" customHeight="false" outlineLevel="0" collapsed="false">
      <c r="B854" s="6" t="s">
        <v>2831</v>
      </c>
      <c r="C854" s="2" t="s">
        <v>2832</v>
      </c>
      <c r="D854" s="2"/>
      <c r="E854" s="2" t="s">
        <v>2789</v>
      </c>
      <c r="F854" s="6" t="n">
        <v>2004</v>
      </c>
      <c r="G854" s="2" t="s">
        <v>2833</v>
      </c>
      <c r="H854" s="2" t="s">
        <v>2834</v>
      </c>
    </row>
    <row r="855" customFormat="false" ht="14.25" hidden="false" customHeight="false" outlineLevel="0" collapsed="false">
      <c r="B855" s="6" t="s">
        <v>2835</v>
      </c>
      <c r="C855" s="2" t="s">
        <v>2836</v>
      </c>
      <c r="D855" s="2"/>
      <c r="E855" s="2" t="s">
        <v>2789</v>
      </c>
      <c r="F855" s="6" t="n">
        <v>2004</v>
      </c>
      <c r="G855" s="2" t="s">
        <v>2837</v>
      </c>
      <c r="H855" s="2" t="s">
        <v>118</v>
      </c>
    </row>
    <row r="856" customFormat="false" ht="14.25" hidden="false" customHeight="false" outlineLevel="0" collapsed="false">
      <c r="B856" s="7" t="s">
        <v>2838</v>
      </c>
      <c r="C856" s="2" t="s">
        <v>2839</v>
      </c>
      <c r="D856" s="2"/>
      <c r="E856" s="2" t="s">
        <v>2789</v>
      </c>
      <c r="F856" s="6" t="n">
        <v>2004</v>
      </c>
      <c r="G856" s="2" t="s">
        <v>2840</v>
      </c>
      <c r="H856" s="2" t="s">
        <v>2841</v>
      </c>
    </row>
    <row r="857" customFormat="false" ht="14.25" hidden="false" customHeight="false" outlineLevel="0" collapsed="false">
      <c r="B857" s="19" t="s">
        <v>2842</v>
      </c>
      <c r="C857" s="2" t="s">
        <v>2843</v>
      </c>
      <c r="D857" s="2"/>
      <c r="E857" s="2" t="s">
        <v>2789</v>
      </c>
      <c r="F857" s="6" t="n">
        <v>2004</v>
      </c>
      <c r="G857" s="2" t="s">
        <v>2844</v>
      </c>
      <c r="H857" s="2" t="s">
        <v>161</v>
      </c>
    </row>
    <row r="858" customFormat="false" ht="14.25" hidden="false" customHeight="false" outlineLevel="0" collapsed="false">
      <c r="B858" s="6" t="s">
        <v>2845</v>
      </c>
      <c r="C858" s="2" t="s">
        <v>2846</v>
      </c>
      <c r="D858" s="2"/>
      <c r="E858" s="2" t="s">
        <v>2789</v>
      </c>
      <c r="F858" s="6" t="n">
        <v>2005</v>
      </c>
      <c r="G858" s="2" t="s">
        <v>2847</v>
      </c>
      <c r="H858" s="2" t="s">
        <v>1329</v>
      </c>
    </row>
    <row r="859" customFormat="false" ht="14.25" hidden="false" customHeight="false" outlineLevel="0" collapsed="false">
      <c r="B859" s="6" t="s">
        <v>2848</v>
      </c>
      <c r="C859" s="2" t="s">
        <v>2849</v>
      </c>
      <c r="D859" s="2" t="s">
        <v>2850</v>
      </c>
      <c r="E859" s="2" t="s">
        <v>2851</v>
      </c>
      <c r="F859" s="6" t="n">
        <v>1997</v>
      </c>
      <c r="G859" s="2" t="s">
        <v>2852</v>
      </c>
      <c r="H859" s="2" t="s">
        <v>220</v>
      </c>
    </row>
    <row r="860" customFormat="false" ht="14.25" hidden="false" customHeight="false" outlineLevel="0" collapsed="false">
      <c r="B860" s="6" t="s">
        <v>2853</v>
      </c>
      <c r="C860" s="2" t="s">
        <v>2854</v>
      </c>
      <c r="D860" s="2" t="s">
        <v>2855</v>
      </c>
      <c r="E860" s="2" t="s">
        <v>2851</v>
      </c>
      <c r="F860" s="6" t="n">
        <v>1999</v>
      </c>
      <c r="G860" s="2" t="s">
        <v>2856</v>
      </c>
      <c r="H860" s="2" t="s">
        <v>303</v>
      </c>
    </row>
    <row r="861" customFormat="false" ht="14.25" hidden="false" customHeight="false" outlineLevel="0" collapsed="false">
      <c r="B861" s="6" t="s">
        <v>2857</v>
      </c>
      <c r="C861" s="2" t="s">
        <v>2858</v>
      </c>
      <c r="D861" s="2" t="s">
        <v>2859</v>
      </c>
      <c r="E861" s="2" t="s">
        <v>2851</v>
      </c>
      <c r="F861" s="2" t="n">
        <v>2003</v>
      </c>
      <c r="G861" s="2" t="s">
        <v>954</v>
      </c>
      <c r="H861" s="2" t="s">
        <v>556</v>
      </c>
    </row>
    <row r="862" customFormat="false" ht="14.25" hidden="false" customHeight="false" outlineLevel="0" collapsed="false">
      <c r="B862" s="6" t="s">
        <v>2860</v>
      </c>
      <c r="C862" s="2" t="s">
        <v>2861</v>
      </c>
      <c r="D862" s="2" t="s">
        <v>2862</v>
      </c>
      <c r="E862" s="2" t="s">
        <v>2851</v>
      </c>
      <c r="F862" s="6" t="n">
        <v>2003</v>
      </c>
      <c r="G862" s="2" t="s">
        <v>2863</v>
      </c>
      <c r="H862" s="2" t="s">
        <v>1041</v>
      </c>
    </row>
    <row r="863" customFormat="false" ht="14.25" hidden="false" customHeight="false" outlineLevel="0" collapsed="false">
      <c r="B863" s="7" t="s">
        <v>2864</v>
      </c>
      <c r="C863" s="1" t="s">
        <v>2865</v>
      </c>
      <c r="D863" s="1" t="s">
        <v>2866</v>
      </c>
      <c r="E863" s="1" t="s">
        <v>2851</v>
      </c>
      <c r="F863" s="7" t="n">
        <v>2005</v>
      </c>
      <c r="G863" s="1" t="s">
        <v>909</v>
      </c>
      <c r="H863" s="1" t="s">
        <v>82</v>
      </c>
    </row>
    <row r="864" customFormat="false" ht="14.25" hidden="false" customHeight="false" outlineLevel="0" collapsed="false">
      <c r="B864" s="7" t="s">
        <v>2867</v>
      </c>
      <c r="C864" s="1" t="s">
        <v>2868</v>
      </c>
      <c r="D864" s="1" t="s">
        <v>2866</v>
      </c>
      <c r="E864" s="1" t="s">
        <v>2851</v>
      </c>
      <c r="F864" s="7" t="n">
        <v>2005</v>
      </c>
      <c r="G864" s="1" t="s">
        <v>2869</v>
      </c>
      <c r="H864" s="1" t="s">
        <v>82</v>
      </c>
    </row>
    <row r="865" customFormat="false" ht="14.25" hidden="false" customHeight="false" outlineLevel="0" collapsed="false">
      <c r="B865" s="7" t="s">
        <v>2870</v>
      </c>
      <c r="C865" s="1" t="s">
        <v>2865</v>
      </c>
      <c r="D865" s="1" t="s">
        <v>2866</v>
      </c>
      <c r="E865" s="1" t="s">
        <v>2851</v>
      </c>
      <c r="F865" s="7" t="n">
        <v>2005</v>
      </c>
      <c r="G865" s="1" t="s">
        <v>909</v>
      </c>
      <c r="H865" s="1" t="s">
        <v>82</v>
      </c>
    </row>
    <row r="866" customFormat="false" ht="14.25" hidden="false" customHeight="false" outlineLevel="0" collapsed="false">
      <c r="B866" s="6" t="s">
        <v>2871</v>
      </c>
      <c r="C866" s="2" t="s">
        <v>2872</v>
      </c>
      <c r="D866" s="2" t="s">
        <v>2855</v>
      </c>
      <c r="E866" s="2" t="s">
        <v>2851</v>
      </c>
      <c r="F866" s="6" t="n">
        <v>1999</v>
      </c>
      <c r="G866" s="2" t="s">
        <v>2873</v>
      </c>
      <c r="H866" s="2" t="s">
        <v>82</v>
      </c>
    </row>
    <row r="867" customFormat="false" ht="14.25" hidden="false" customHeight="false" outlineLevel="0" collapsed="false">
      <c r="B867" s="7" t="s">
        <v>2874</v>
      </c>
      <c r="C867" s="1" t="s">
        <v>2875</v>
      </c>
      <c r="D867" s="1" t="s">
        <v>2862</v>
      </c>
      <c r="E867" s="1" t="s">
        <v>2851</v>
      </c>
      <c r="F867" s="7" t="n">
        <v>2005</v>
      </c>
      <c r="G867" s="1" t="s">
        <v>2876</v>
      </c>
      <c r="H867" s="1" t="s">
        <v>50</v>
      </c>
    </row>
    <row r="868" customFormat="false" ht="14.25" hidden="false" customHeight="false" outlineLevel="0" collapsed="false">
      <c r="B868" s="6" t="s">
        <v>2877</v>
      </c>
      <c r="C868" s="2" t="s">
        <v>2878</v>
      </c>
      <c r="D868" s="2" t="s">
        <v>2866</v>
      </c>
      <c r="E868" s="2" t="s">
        <v>2851</v>
      </c>
      <c r="F868" s="6" t="n">
        <v>2004</v>
      </c>
      <c r="G868" s="2" t="s">
        <v>2879</v>
      </c>
      <c r="H868" s="2" t="s">
        <v>82</v>
      </c>
    </row>
    <row r="869" customFormat="false" ht="14.25" hidden="false" customHeight="false" outlineLevel="0" collapsed="false">
      <c r="B869" s="7" t="s">
        <v>2880</v>
      </c>
      <c r="C869" s="1" t="s">
        <v>2881</v>
      </c>
      <c r="D869" s="1" t="s">
        <v>2862</v>
      </c>
      <c r="E869" s="1" t="s">
        <v>2851</v>
      </c>
      <c r="F869" s="7" t="n">
        <v>2005</v>
      </c>
      <c r="G869" s="1" t="s">
        <v>2882</v>
      </c>
      <c r="H869" s="1" t="s">
        <v>82</v>
      </c>
    </row>
    <row r="870" customFormat="false" ht="14.25" hidden="false" customHeight="false" outlineLevel="0" collapsed="false">
      <c r="B870" s="7" t="s">
        <v>2883</v>
      </c>
      <c r="C870" s="1" t="s">
        <v>2884</v>
      </c>
      <c r="E870" s="1" t="s">
        <v>2851</v>
      </c>
      <c r="F870" s="7" t="n">
        <v>2005</v>
      </c>
      <c r="G870" s="1" t="s">
        <v>2885</v>
      </c>
      <c r="H870" s="1" t="s">
        <v>2886</v>
      </c>
    </row>
    <row r="871" customFormat="false" ht="14.25" hidden="false" customHeight="false" outlineLevel="0" collapsed="false">
      <c r="B871" s="7" t="s">
        <v>2887</v>
      </c>
      <c r="C871" s="1" t="s">
        <v>2888</v>
      </c>
      <c r="E871" s="1" t="s">
        <v>2851</v>
      </c>
      <c r="F871" s="7" t="n">
        <v>2006</v>
      </c>
      <c r="G871" s="1" t="s">
        <v>2889</v>
      </c>
      <c r="H871" s="1" t="s">
        <v>50</v>
      </c>
    </row>
    <row r="872" customFormat="false" ht="14.25" hidden="false" customHeight="false" outlineLevel="0" collapsed="false">
      <c r="B872" s="7" t="s">
        <v>2890</v>
      </c>
      <c r="C872" s="1" t="s">
        <v>2891</v>
      </c>
      <c r="E872" s="1" t="s">
        <v>2851</v>
      </c>
      <c r="F872" s="7" t="n">
        <v>2006</v>
      </c>
      <c r="G872" s="1" t="s">
        <v>2892</v>
      </c>
      <c r="H872" s="1" t="s">
        <v>50</v>
      </c>
    </row>
    <row r="873" customFormat="false" ht="14.25" hidden="false" customHeight="false" outlineLevel="0" collapsed="false">
      <c r="B873" s="7" t="s">
        <v>2893</v>
      </c>
      <c r="C873" s="1" t="s">
        <v>2894</v>
      </c>
      <c r="D873" s="1" t="s">
        <v>2859</v>
      </c>
      <c r="E873" s="1" t="s">
        <v>2851</v>
      </c>
      <c r="F873" s="7" t="n">
        <v>2006</v>
      </c>
      <c r="G873" s="1" t="s">
        <v>2895</v>
      </c>
      <c r="H873" s="1" t="s">
        <v>82</v>
      </c>
    </row>
    <row r="874" customFormat="false" ht="14.25" hidden="false" customHeight="false" outlineLevel="0" collapsed="false">
      <c r="B874" s="7" t="s">
        <v>2896</v>
      </c>
      <c r="C874" s="1" t="s">
        <v>2897</v>
      </c>
      <c r="D874" s="1" t="s">
        <v>2850</v>
      </c>
      <c r="E874" s="1" t="s">
        <v>2851</v>
      </c>
      <c r="F874" s="7" t="n">
        <v>1997</v>
      </c>
      <c r="G874" s="1" t="s">
        <v>2898</v>
      </c>
      <c r="H874" s="1" t="s">
        <v>220</v>
      </c>
    </row>
    <row r="875" customFormat="false" ht="14.25" hidden="false" customHeight="false" outlineLevel="0" collapsed="false">
      <c r="B875" s="7" t="s">
        <v>2899</v>
      </c>
      <c r="C875" s="1" t="s">
        <v>2900</v>
      </c>
      <c r="D875" s="1" t="s">
        <v>2850</v>
      </c>
      <c r="E875" s="1" t="s">
        <v>2851</v>
      </c>
      <c r="F875" s="7" t="n">
        <v>1997</v>
      </c>
      <c r="G875" s="1" t="s">
        <v>2901</v>
      </c>
      <c r="H875" s="1" t="s">
        <v>2902</v>
      </c>
    </row>
    <row r="876" customFormat="false" ht="14.25" hidden="false" customHeight="false" outlineLevel="0" collapsed="false">
      <c r="B876" s="7" t="s">
        <v>2903</v>
      </c>
      <c r="C876" s="1" t="s">
        <v>2904</v>
      </c>
      <c r="D876" s="1" t="s">
        <v>2905</v>
      </c>
      <c r="E876" s="1" t="s">
        <v>2851</v>
      </c>
      <c r="F876" s="7" t="n">
        <v>2007</v>
      </c>
      <c r="G876" s="1" t="s">
        <v>2892</v>
      </c>
      <c r="H876" s="1" t="s">
        <v>50</v>
      </c>
    </row>
    <row r="877" customFormat="false" ht="14.25" hidden="false" customHeight="false" outlineLevel="0" collapsed="false">
      <c r="B877" s="7" t="s">
        <v>2906</v>
      </c>
      <c r="C877" s="1" t="s">
        <v>2907</v>
      </c>
      <c r="D877" s="1" t="s">
        <v>2905</v>
      </c>
      <c r="E877" s="1" t="s">
        <v>2851</v>
      </c>
      <c r="F877" s="7" t="n">
        <v>2007</v>
      </c>
      <c r="G877" s="1" t="s">
        <v>2908</v>
      </c>
      <c r="H877" s="1" t="s">
        <v>220</v>
      </c>
    </row>
    <row r="878" customFormat="false" ht="14.25" hidden="false" customHeight="false" outlineLevel="0" collapsed="false">
      <c r="B878" s="7" t="s">
        <v>2909</v>
      </c>
      <c r="C878" s="1" t="s">
        <v>2910</v>
      </c>
      <c r="D878" s="1" t="s">
        <v>2911</v>
      </c>
      <c r="E878" s="1" t="s">
        <v>2851</v>
      </c>
      <c r="F878" s="7" t="n">
        <v>2013</v>
      </c>
      <c r="G878" s="1" t="s">
        <v>2901</v>
      </c>
      <c r="H878" s="1" t="s">
        <v>188</v>
      </c>
    </row>
    <row r="879" customFormat="false" ht="14.25" hidden="false" customHeight="false" outlineLevel="0" collapsed="false">
      <c r="B879" s="7" t="s">
        <v>2912</v>
      </c>
      <c r="C879" s="1" t="s">
        <v>2913</v>
      </c>
      <c r="D879" s="1" t="s">
        <v>2914</v>
      </c>
      <c r="E879" s="1" t="s">
        <v>2851</v>
      </c>
      <c r="F879" s="7" t="n">
        <v>2015</v>
      </c>
      <c r="G879" s="1" t="s">
        <v>2856</v>
      </c>
      <c r="H879" s="1" t="s">
        <v>188</v>
      </c>
    </row>
    <row r="880" customFormat="false" ht="14.25" hidden="false" customHeight="false" outlineLevel="0" collapsed="false">
      <c r="B880" s="7" t="s">
        <v>2915</v>
      </c>
      <c r="C880" s="1" t="s">
        <v>2916</v>
      </c>
      <c r="D880" s="1" t="s">
        <v>2914</v>
      </c>
      <c r="E880" s="1" t="s">
        <v>2851</v>
      </c>
      <c r="F880" s="7" t="n">
        <v>2016</v>
      </c>
      <c r="G880" s="1" t="s">
        <v>2260</v>
      </c>
      <c r="H880" s="1" t="s">
        <v>928</v>
      </c>
    </row>
    <row r="881" customFormat="false" ht="14.25" hidden="false" customHeight="false" outlineLevel="0" collapsed="false">
      <c r="B881" s="7" t="s">
        <v>2917</v>
      </c>
      <c r="C881" s="1" t="s">
        <v>2918</v>
      </c>
      <c r="D881" s="1" t="s">
        <v>2914</v>
      </c>
      <c r="E881" s="1" t="s">
        <v>2851</v>
      </c>
      <c r="F881" s="7" t="n">
        <v>2016</v>
      </c>
      <c r="G881" s="1" t="s">
        <v>2901</v>
      </c>
      <c r="H881" s="1" t="s">
        <v>50</v>
      </c>
    </row>
    <row r="882" customFormat="false" ht="14.25" hidden="false" customHeight="false" outlineLevel="0" collapsed="false">
      <c r="B882" s="6" t="s">
        <v>2919</v>
      </c>
      <c r="C882" s="2" t="s">
        <v>2920</v>
      </c>
      <c r="D882" s="2"/>
      <c r="E882" s="2" t="s">
        <v>2921</v>
      </c>
      <c r="F882" s="6" t="n">
        <v>2001</v>
      </c>
      <c r="G882" s="2" t="s">
        <v>2922</v>
      </c>
      <c r="H882" s="2" t="s">
        <v>82</v>
      </c>
    </row>
    <row r="883" customFormat="false" ht="14.25" hidden="false" customHeight="false" outlineLevel="0" collapsed="false">
      <c r="B883" s="6" t="s">
        <v>2923</v>
      </c>
      <c r="C883" s="2" t="s">
        <v>2924</v>
      </c>
      <c r="D883" s="2"/>
      <c r="E883" s="2" t="s">
        <v>2921</v>
      </c>
      <c r="F883" s="6" t="n">
        <v>2001</v>
      </c>
      <c r="G883" s="2" t="s">
        <v>2925</v>
      </c>
      <c r="H883" s="2" t="s">
        <v>118</v>
      </c>
    </row>
    <row r="884" customFormat="false" ht="14.25" hidden="false" customHeight="false" outlineLevel="0" collapsed="false">
      <c r="B884" s="6" t="s">
        <v>2926</v>
      </c>
      <c r="C884" s="2" t="s">
        <v>2927</v>
      </c>
      <c r="D884" s="2"/>
      <c r="E884" s="2" t="s">
        <v>2921</v>
      </c>
      <c r="F884" s="6" t="n">
        <v>2000</v>
      </c>
      <c r="G884" s="2" t="s">
        <v>2928</v>
      </c>
      <c r="H884" s="2" t="s">
        <v>118</v>
      </c>
    </row>
    <row r="885" customFormat="false" ht="14.25" hidden="false" customHeight="false" outlineLevel="0" collapsed="false">
      <c r="B885" s="6" t="s">
        <v>2929</v>
      </c>
      <c r="C885" s="2" t="s">
        <v>2930</v>
      </c>
      <c r="D885" s="2"/>
      <c r="E885" s="2" t="s">
        <v>2921</v>
      </c>
      <c r="F885" s="6" t="n">
        <v>2003</v>
      </c>
      <c r="G885" s="2" t="s">
        <v>2931</v>
      </c>
      <c r="H885" s="2" t="s">
        <v>147</v>
      </c>
    </row>
    <row r="886" customFormat="false" ht="14.25" hidden="false" customHeight="false" outlineLevel="0" collapsed="false">
      <c r="B886" s="6" t="s">
        <v>2932</v>
      </c>
      <c r="C886" s="2" t="s">
        <v>2933</v>
      </c>
      <c r="D886" s="2"/>
      <c r="E886" s="2" t="s">
        <v>2921</v>
      </c>
      <c r="F886" s="6" t="n">
        <v>2004</v>
      </c>
      <c r="G886" s="2" t="s">
        <v>2934</v>
      </c>
      <c r="H886" s="2" t="s">
        <v>50</v>
      </c>
    </row>
    <row r="887" customFormat="false" ht="14.25" hidden="false" customHeight="false" outlineLevel="0" collapsed="false">
      <c r="B887" s="6" t="s">
        <v>2935</v>
      </c>
      <c r="C887" s="2" t="s">
        <v>2936</v>
      </c>
      <c r="D887" s="2"/>
      <c r="E887" s="2" t="s">
        <v>2921</v>
      </c>
      <c r="F887" s="6" t="n">
        <v>2004</v>
      </c>
      <c r="G887" s="2" t="s">
        <v>2937</v>
      </c>
      <c r="H887" s="2" t="s">
        <v>2938</v>
      </c>
    </row>
    <row r="888" customFormat="false" ht="14.25" hidden="false" customHeight="false" outlineLevel="0" collapsed="false">
      <c r="B888" s="6" t="s">
        <v>2939</v>
      </c>
      <c r="C888" s="2" t="s">
        <v>2940</v>
      </c>
      <c r="D888" s="2" t="s">
        <v>2941</v>
      </c>
      <c r="E888" s="2" t="s">
        <v>2942</v>
      </c>
      <c r="F888" s="6" t="n">
        <v>2001</v>
      </c>
      <c r="G888" s="2" t="s">
        <v>2943</v>
      </c>
      <c r="H888" s="2" t="s">
        <v>220</v>
      </c>
    </row>
    <row r="889" customFormat="false" ht="14.25" hidden="false" customHeight="false" outlineLevel="0" collapsed="false">
      <c r="B889" s="6" t="s">
        <v>2944</v>
      </c>
      <c r="C889" s="2" t="s">
        <v>2945</v>
      </c>
      <c r="D889" s="2" t="s">
        <v>2946</v>
      </c>
      <c r="E889" s="2" t="s">
        <v>2942</v>
      </c>
      <c r="F889" s="6" t="n">
        <v>1999</v>
      </c>
      <c r="G889" s="2" t="s">
        <v>2947</v>
      </c>
      <c r="H889" s="2" t="s">
        <v>1609</v>
      </c>
    </row>
    <row r="890" customFormat="false" ht="14.25" hidden="false" customHeight="false" outlineLevel="0" collapsed="false">
      <c r="B890" s="7" t="s">
        <v>2948</v>
      </c>
      <c r="C890" s="1" t="s">
        <v>2949</v>
      </c>
      <c r="D890" s="1" t="s">
        <v>2950</v>
      </c>
      <c r="E890" s="1" t="s">
        <v>2942</v>
      </c>
      <c r="F890" s="7" t="n">
        <v>2005</v>
      </c>
      <c r="G890" s="1" t="s">
        <v>2951</v>
      </c>
      <c r="H890" s="1" t="s">
        <v>82</v>
      </c>
    </row>
    <row r="891" customFormat="false" ht="14.25" hidden="false" customHeight="false" outlineLevel="0" collapsed="false">
      <c r="B891" s="7" t="s">
        <v>2952</v>
      </c>
      <c r="C891" s="1" t="s">
        <v>2953</v>
      </c>
      <c r="D891" s="1" t="s">
        <v>2954</v>
      </c>
      <c r="E891" s="1" t="s">
        <v>2942</v>
      </c>
      <c r="F891" s="7" t="n">
        <v>2007</v>
      </c>
      <c r="G891" s="1" t="s">
        <v>2955</v>
      </c>
      <c r="H891" s="1" t="s">
        <v>1934</v>
      </c>
    </row>
    <row r="892" customFormat="false" ht="14.25" hidden="false" customHeight="false" outlineLevel="0" collapsed="false">
      <c r="B892" s="7" t="s">
        <v>2956</v>
      </c>
      <c r="C892" s="1" t="s">
        <v>2957</v>
      </c>
      <c r="D892" s="1" t="s">
        <v>2954</v>
      </c>
      <c r="E892" s="1" t="s">
        <v>2942</v>
      </c>
      <c r="F892" s="7" t="n">
        <v>2007</v>
      </c>
      <c r="G892" s="1" t="s">
        <v>1086</v>
      </c>
      <c r="H892" s="1" t="s">
        <v>50</v>
      </c>
    </row>
    <row r="893" customFormat="false" ht="14.25" hidden="false" customHeight="false" outlineLevel="0" collapsed="false">
      <c r="B893" s="7" t="s">
        <v>2958</v>
      </c>
      <c r="C893" s="1" t="s">
        <v>2959</v>
      </c>
      <c r="D893" s="1" t="s">
        <v>2954</v>
      </c>
      <c r="E893" s="1" t="s">
        <v>2942</v>
      </c>
      <c r="F893" s="7" t="n">
        <v>2007</v>
      </c>
      <c r="G893" s="1" t="s">
        <v>2960</v>
      </c>
      <c r="H893" s="1" t="s">
        <v>1479</v>
      </c>
    </row>
    <row r="894" customFormat="false" ht="14.25" hidden="false" customHeight="false" outlineLevel="0" collapsed="false">
      <c r="B894" s="7" t="s">
        <v>2961</v>
      </c>
      <c r="C894" s="1" t="s">
        <v>2962</v>
      </c>
      <c r="D894" s="1" t="s">
        <v>2963</v>
      </c>
      <c r="E894" s="1" t="s">
        <v>2964</v>
      </c>
      <c r="F894" s="7" t="n">
        <v>2000</v>
      </c>
      <c r="G894" s="1" t="s">
        <v>2965</v>
      </c>
      <c r="H894" s="1" t="s">
        <v>279</v>
      </c>
    </row>
    <row r="895" customFormat="false" ht="14.25" hidden="false" customHeight="false" outlineLevel="0" collapsed="false">
      <c r="B895" s="7" t="s">
        <v>2966</v>
      </c>
      <c r="C895" s="1" t="s">
        <v>2967</v>
      </c>
      <c r="D895" s="1" t="s">
        <v>2968</v>
      </c>
      <c r="E895" s="1" t="s">
        <v>2942</v>
      </c>
      <c r="F895" s="7" t="n">
        <v>2016</v>
      </c>
      <c r="G895" s="1" t="s">
        <v>1086</v>
      </c>
      <c r="H895" s="1" t="s">
        <v>50</v>
      </c>
    </row>
    <row r="896" customFormat="false" ht="14.25" hidden="false" customHeight="false" outlineLevel="0" collapsed="false">
      <c r="B896" s="6" t="s">
        <v>2969</v>
      </c>
      <c r="C896" s="2" t="s">
        <v>2970</v>
      </c>
      <c r="D896" s="2"/>
      <c r="E896" s="2" t="s">
        <v>2971</v>
      </c>
      <c r="F896" s="6" t="n">
        <v>2003</v>
      </c>
      <c r="G896" s="2" t="s">
        <v>2972</v>
      </c>
      <c r="H896" s="2" t="s">
        <v>82</v>
      </c>
    </row>
    <row r="897" customFormat="false" ht="14.25" hidden="false" customHeight="false" outlineLevel="0" collapsed="false">
      <c r="B897" s="6" t="s">
        <v>2973</v>
      </c>
      <c r="C897" s="2" t="s">
        <v>2974</v>
      </c>
      <c r="D897" s="20" t="n">
        <v>802.11</v>
      </c>
      <c r="E897" s="2" t="s">
        <v>2971</v>
      </c>
      <c r="F897" s="6" t="n">
        <v>2002</v>
      </c>
      <c r="G897" s="2" t="s">
        <v>2975</v>
      </c>
      <c r="H897" s="2" t="s">
        <v>82</v>
      </c>
    </row>
    <row r="898" customFormat="false" ht="14.25" hidden="false" customHeight="false" outlineLevel="0" collapsed="false">
      <c r="B898" s="6" t="s">
        <v>2976</v>
      </c>
      <c r="C898" s="2" t="s">
        <v>2977</v>
      </c>
      <c r="D898" s="20" t="n">
        <v>802.11</v>
      </c>
      <c r="E898" s="2" t="s">
        <v>2971</v>
      </c>
      <c r="F898" s="6" t="n">
        <v>2003</v>
      </c>
      <c r="G898" s="2" t="s">
        <v>2978</v>
      </c>
      <c r="H898" s="2" t="s">
        <v>82</v>
      </c>
    </row>
    <row r="899" customFormat="false" ht="14.25" hidden="false" customHeight="false" outlineLevel="0" collapsed="false">
      <c r="B899" s="6" t="s">
        <v>2979</v>
      </c>
      <c r="C899" s="2" t="s">
        <v>2980</v>
      </c>
      <c r="D899" s="2"/>
      <c r="E899" s="2" t="s">
        <v>2971</v>
      </c>
      <c r="F899" s="6" t="n">
        <v>2002</v>
      </c>
      <c r="G899" s="2" t="s">
        <v>2981</v>
      </c>
      <c r="H899" s="2" t="s">
        <v>82</v>
      </c>
    </row>
    <row r="900" customFormat="false" ht="14.25" hidden="false" customHeight="false" outlineLevel="0" collapsed="false">
      <c r="B900" s="6" t="s">
        <v>2982</v>
      </c>
      <c r="C900" s="2" t="s">
        <v>2983</v>
      </c>
      <c r="D900" s="2" t="s">
        <v>2984</v>
      </c>
      <c r="E900" s="2" t="s">
        <v>2971</v>
      </c>
      <c r="F900" s="6" t="n">
        <v>2005</v>
      </c>
      <c r="G900" s="2" t="s">
        <v>2985</v>
      </c>
      <c r="H900" s="2" t="s">
        <v>1041</v>
      </c>
    </row>
    <row r="901" customFormat="false" ht="14.25" hidden="false" customHeight="false" outlineLevel="0" collapsed="false">
      <c r="B901" s="6" t="s">
        <v>2986</v>
      </c>
      <c r="C901" s="2" t="s">
        <v>2987</v>
      </c>
      <c r="D901" s="2"/>
      <c r="E901" s="2" t="s">
        <v>2971</v>
      </c>
      <c r="F901" s="6" t="n">
        <v>2005</v>
      </c>
      <c r="G901" s="2" t="s">
        <v>2988</v>
      </c>
      <c r="H901" s="2" t="s">
        <v>50</v>
      </c>
    </row>
    <row r="902" customFormat="false" ht="14.25" hidden="false" customHeight="false" outlineLevel="0" collapsed="false">
      <c r="B902" s="6" t="s">
        <v>2989</v>
      </c>
      <c r="C902" s="2" t="s">
        <v>2990</v>
      </c>
      <c r="D902" s="2"/>
      <c r="E902" s="2" t="s">
        <v>2971</v>
      </c>
      <c r="F902" s="6" t="n">
        <v>2005</v>
      </c>
      <c r="G902" s="2" t="s">
        <v>2991</v>
      </c>
      <c r="H902" s="2" t="s">
        <v>50</v>
      </c>
    </row>
    <row r="903" customFormat="false" ht="14.25" hidden="false" customHeight="false" outlineLevel="0" collapsed="false">
      <c r="B903" s="6" t="s">
        <v>2992</v>
      </c>
      <c r="C903" s="2" t="s">
        <v>2993</v>
      </c>
      <c r="D903" s="20" t="n">
        <v>802.11</v>
      </c>
      <c r="E903" s="2" t="s">
        <v>2971</v>
      </c>
      <c r="F903" s="6" t="n">
        <v>2005</v>
      </c>
      <c r="G903" s="2" t="s">
        <v>2994</v>
      </c>
      <c r="H903" s="2" t="s">
        <v>1041</v>
      </c>
    </row>
    <row r="904" customFormat="false" ht="14.25" hidden="false" customHeight="false" outlineLevel="0" collapsed="false">
      <c r="B904" s="7" t="s">
        <v>2995</v>
      </c>
      <c r="C904" s="1" t="s">
        <v>2996</v>
      </c>
      <c r="E904" s="1" t="s">
        <v>2971</v>
      </c>
      <c r="F904" s="7" t="n">
        <v>2006</v>
      </c>
      <c r="G904" s="1" t="s">
        <v>2997</v>
      </c>
      <c r="H904" s="1" t="s">
        <v>50</v>
      </c>
    </row>
    <row r="905" customFormat="false" ht="14.25" hidden="false" customHeight="false" outlineLevel="0" collapsed="false">
      <c r="B905" s="7" t="s">
        <v>2998</v>
      </c>
      <c r="C905" s="1" t="s">
        <v>2970</v>
      </c>
      <c r="E905" s="1" t="s">
        <v>2971</v>
      </c>
      <c r="F905" s="7" t="n">
        <v>2006</v>
      </c>
      <c r="G905" s="1" t="s">
        <v>2972</v>
      </c>
      <c r="H905" s="1" t="s">
        <v>82</v>
      </c>
    </row>
    <row r="906" customFormat="false" ht="14.25" hidden="false" customHeight="false" outlineLevel="0" collapsed="false">
      <c r="B906" s="7"/>
      <c r="F906" s="7"/>
    </row>
    <row r="907" customFormat="false" ht="14.25" hidden="false" customHeight="false" outlineLevel="0" collapsed="false">
      <c r="B907" s="21"/>
      <c r="C907" s="3"/>
    </row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A101" activeCellId="0" sqref="EA101"/>
    </sheetView>
  </sheetViews>
  <sheetFormatPr defaultColWidth="8.6953125" defaultRowHeight="12.75" zeroHeight="false" outlineLevelRow="0" outlineLevelCol="0"/>
  <sheetData>
    <row r="1" customFormat="false" ht="12.75" hidden="false" customHeight="false" outlineLevel="0" collapsed="false">
      <c r="A1" s="22" t="e">
        <f aca="false">IF('current index'!#ref!,"AAAAABc9OQA=",0)</f>
        <v>#VALUE!</v>
      </c>
      <c r="B1" s="22" t="e">
        <f aca="false">AND('current index'!#ref!,"AAAAABc9OQE=")</f>
        <v>#VALUE!</v>
      </c>
      <c r="C1" s="22" t="e">
        <f aca="false">AND('current index'!#ref!,"AAAAABc9OQI=")</f>
        <v>#VALUE!</v>
      </c>
      <c r="D1" s="22" t="e">
        <f aca="false">AND('current index'!#ref!,"AAAAABc9OQM=")</f>
        <v>#VALUE!</v>
      </c>
      <c r="E1" s="22" t="e">
        <f aca="false">AND('current index'!#ref!,"AAAAABc9OQQ=")</f>
        <v>#VALUE!</v>
      </c>
      <c r="F1" s="22" t="e">
        <f aca="false">AND('current index'!#ref!,"AAAAABc9OQU=")</f>
        <v>#VALUE!</v>
      </c>
      <c r="G1" s="22" t="e">
        <f aca="false">AND('current index'!#ref!,"AAAAABc9OQY=")</f>
        <v>#VALUE!</v>
      </c>
      <c r="H1" s="22" t="e">
        <f aca="false">AND('current index'!#ref!,"AAAAABc9OQc=")</f>
        <v>#VALUE!</v>
      </c>
      <c r="I1" s="22" t="e">
        <f aca="false">AND('current index'!#ref!,"AAAAABc9OQg=")</f>
        <v>#VALUE!</v>
      </c>
      <c r="J1" s="22" t="e">
        <f aca="false">AND('current index'!#ref!,"AAAAABc9OQk=")</f>
        <v>#VALUE!</v>
      </c>
      <c r="K1" s="22" t="e">
        <f aca="false">AND('current index'!#ref!,"AAAAABc9OQo=")</f>
        <v>#VALUE!</v>
      </c>
      <c r="L1" s="22" t="e">
        <f aca="false">IF('current index'!#ref!,"AAAAABc9OQs=",0)</f>
        <v>#VALUE!</v>
      </c>
      <c r="M1" s="22" t="e">
        <f aca="false">AND('current index'!#ref!,"AAAAABc9OQw=")</f>
        <v>#VALUE!</v>
      </c>
      <c r="N1" s="22" t="e">
        <f aca="false">AND('current index'!#ref!,"AAAAABc9OQ0=")</f>
        <v>#VALUE!</v>
      </c>
      <c r="O1" s="22" t="e">
        <f aca="false">AND('current index'!#ref!,"AAAAABc9OQ4=")</f>
        <v>#VALUE!</v>
      </c>
      <c r="P1" s="22" t="e">
        <f aca="false">AND('current index'!#ref!,"AAAAABc9OQ8=")</f>
        <v>#VALUE!</v>
      </c>
      <c r="Q1" s="22" t="e">
        <f aca="false">AND('current index'!#ref!,"AAAAABc9ORA=")</f>
        <v>#VALUE!</v>
      </c>
      <c r="R1" s="22" t="e">
        <f aca="false">AND('current index'!#ref!,"AAAAABc9ORE=")</f>
        <v>#VALUE!</v>
      </c>
      <c r="S1" s="22" t="e">
        <f aca="false">AND('current index'!#ref!,"AAAAABc9ORI=")</f>
        <v>#VALUE!</v>
      </c>
      <c r="T1" s="22" t="e">
        <f aca="false">AND('current index'!#ref!,"AAAAABc9ORM=")</f>
        <v>#VALUE!</v>
      </c>
      <c r="U1" s="22" t="e">
        <f aca="false">AND('current index'!#ref!,"AAAAABc9ORQ=")</f>
        <v>#VALUE!</v>
      </c>
      <c r="V1" s="22" t="e">
        <f aca="false">AND('current index'!#ref!,"AAAAABc9ORU=")</f>
        <v>#VALUE!</v>
      </c>
      <c r="W1" s="22" t="e">
        <f aca="false">IF(#REF!,"AAAAABc9ORY=",0)</f>
        <v>#REF!</v>
      </c>
      <c r="X1" s="22" t="e">
        <f aca="false">AND(#REF!,"AAAAABc9ORc=")</f>
        <v>#VALUE!</v>
      </c>
      <c r="Y1" s="22" t="e">
        <f aca="false">AND('current index'!#ref!,"AAAAABc9ORg=")</f>
        <v>#VALUE!</v>
      </c>
      <c r="Z1" s="22" t="e">
        <f aca="false">AND(#REF!,"AAAAABc9ORk=")</f>
        <v>#VALUE!</v>
      </c>
      <c r="AA1" s="22" t="e">
        <f aca="false">AND(#REF!,"AAAAABc9ORo=")</f>
        <v>#VALUE!</v>
      </c>
      <c r="AB1" s="22" t="e">
        <f aca="false">AND(#REF!,"AAAAABc9ORs=")</f>
        <v>#VALUE!</v>
      </c>
      <c r="AC1" s="22" t="e">
        <f aca="false">AND(#REF!,"AAAAABc9ORw=")</f>
        <v>#VALUE!</v>
      </c>
      <c r="AD1" s="22" t="e">
        <f aca="false">AND(#REF!,"AAAAABc9OR0=")</f>
        <v>#VALUE!</v>
      </c>
      <c r="AE1" s="22" t="e">
        <f aca="false">AND(#REF!,"AAAAABc9OR4=")</f>
        <v>#VALUE!</v>
      </c>
      <c r="AF1" s="22" t="e">
        <f aca="false">AND(#REF!,"AAAAABc9OR8=")</f>
        <v>#VALUE!</v>
      </c>
      <c r="AG1" s="22" t="e">
        <f aca="false">AND(#REF!,"AAAAABc9OSA=")</f>
        <v>#VALUE!</v>
      </c>
      <c r="AH1" s="22" t="e">
        <f aca="false">IF(#REF!,"AAAAABc9OSE=",0)</f>
        <v>#REF!</v>
      </c>
      <c r="AI1" s="22" t="e">
        <f aca="false">AND(#REF!,"AAAAABc9OSI=")</f>
        <v>#VALUE!</v>
      </c>
      <c r="AJ1" s="22" t="e">
        <f aca="false">AND('current index'!#ref!,"AAAAABc9OSM=")</f>
        <v>#VALUE!</v>
      </c>
      <c r="AK1" s="22" t="e">
        <f aca="false">AND(#REF!,"AAAAABc9OSQ=")</f>
        <v>#VALUE!</v>
      </c>
      <c r="AL1" s="22" t="e">
        <f aca="false">AND(#REF!,"AAAAABc9OSU=")</f>
        <v>#VALUE!</v>
      </c>
      <c r="AM1" s="22" t="e">
        <f aca="false">AND(#REF!,"AAAAABc9OSY=")</f>
        <v>#VALUE!</v>
      </c>
      <c r="AN1" s="22" t="e">
        <f aca="false">AND(#REF!,"AAAAABc9OSc=")</f>
        <v>#VALUE!</v>
      </c>
      <c r="AO1" s="22" t="e">
        <f aca="false">AND(#REF!,"AAAAABc9OSg=")</f>
        <v>#VALUE!</v>
      </c>
      <c r="AP1" s="22" t="e">
        <f aca="false">AND(#REF!,"AAAAABc9OSk=")</f>
        <v>#VALUE!</v>
      </c>
      <c r="AQ1" s="22" t="e">
        <f aca="false">AND(#REF!,"AAAAABc9OSo=")</f>
        <v>#VALUE!</v>
      </c>
      <c r="AR1" s="22" t="e">
        <f aca="false">AND(#REF!,"AAAAABc9OSs=")</f>
        <v>#VALUE!</v>
      </c>
      <c r="AS1" s="22" t="e">
        <f aca="false">IF(#REF!,"AAAAABc9OSw=",0)</f>
        <v>#REF!</v>
      </c>
      <c r="AT1" s="22" t="e">
        <f aca="false">AND(#REF!,"AAAAABc9OS0=")</f>
        <v>#VALUE!</v>
      </c>
      <c r="AU1" s="22" t="e">
        <f aca="false">AND('current index'!#ref!,"AAAAABc9OS4=")</f>
        <v>#VALUE!</v>
      </c>
      <c r="AV1" s="22" t="e">
        <f aca="false">AND(#REF!,"AAAAABc9OS8=")</f>
        <v>#VALUE!</v>
      </c>
      <c r="AW1" s="22" t="e">
        <f aca="false">AND(#REF!,"AAAAABc9OTA=")</f>
        <v>#VALUE!</v>
      </c>
      <c r="AX1" s="22" t="e">
        <f aca="false">AND(#REF!,"AAAAABc9OTE=")</f>
        <v>#VALUE!</v>
      </c>
      <c r="AY1" s="22" t="e">
        <f aca="false">AND(#REF!,"AAAAABc9OTI=")</f>
        <v>#VALUE!</v>
      </c>
      <c r="AZ1" s="22" t="e">
        <f aca="false">AND(#REF!,"AAAAABc9OTM=")</f>
        <v>#VALUE!</v>
      </c>
      <c r="BA1" s="22" t="e">
        <f aca="false">AND(#REF!,"AAAAABc9OTQ=")</f>
        <v>#VALUE!</v>
      </c>
      <c r="BB1" s="22" t="e">
        <f aca="false">AND(#REF!,"AAAAABc9OTU=")</f>
        <v>#VALUE!</v>
      </c>
      <c r="BC1" s="22" t="e">
        <f aca="false">AND(#REF!,"AAAAABc9OTY=")</f>
        <v>#VALUE!</v>
      </c>
      <c r="BD1" s="22" t="e">
        <f aca="false">IF('current index'!#ref!,"AAAAABc9OTc=",0)</f>
        <v>#VALUE!</v>
      </c>
      <c r="BE1" s="22" t="e">
        <f aca="false">AND('current index'!#ref!,"AAAAABc9OTg=")</f>
        <v>#VALUE!</v>
      </c>
      <c r="BF1" s="22" t="e">
        <f aca="false">AND('current index'!#ref!,"AAAAABc9OTk=")</f>
        <v>#VALUE!</v>
      </c>
      <c r="BG1" s="22" t="e">
        <f aca="false">AND('current index'!#ref!,"AAAAABc9OTo=")</f>
        <v>#VALUE!</v>
      </c>
      <c r="BH1" s="22" t="e">
        <f aca="false">AND('current index'!#ref!,"AAAAABc9OTs=")</f>
        <v>#VALUE!</v>
      </c>
      <c r="BI1" s="22" t="e">
        <f aca="false">AND('current index'!#ref!,"AAAAABc9OTw=")</f>
        <v>#VALUE!</v>
      </c>
      <c r="BJ1" s="22" t="e">
        <f aca="false">AND('current index'!#ref!,"AAAAABc9OT0=")</f>
        <v>#VALUE!</v>
      </c>
      <c r="BK1" s="22" t="e">
        <f aca="false">AND('current index'!#ref!,"AAAAABc9OT4=")</f>
        <v>#VALUE!</v>
      </c>
      <c r="BL1" s="22" t="e">
        <f aca="false">AND('current index'!#ref!,"AAAAABc9OT8=")</f>
        <v>#VALUE!</v>
      </c>
      <c r="BM1" s="22" t="e">
        <f aca="false">AND('current index'!#ref!,"AAAAABc9OUA=")</f>
        <v>#VALUE!</v>
      </c>
      <c r="BN1" s="22" t="e">
        <f aca="false">AND('current index'!#ref!,"AAAAABc9OUE=")</f>
        <v>#VALUE!</v>
      </c>
      <c r="BO1" s="22" t="e">
        <f aca="false">IF('current index'!#ref!,"AAAAABc9OUI=",0)</f>
        <v>#VALUE!</v>
      </c>
      <c r="BP1" s="22" t="e">
        <f aca="false">AND('current index'!#ref!,"AAAAABc9OUM=")</f>
        <v>#VALUE!</v>
      </c>
      <c r="BQ1" s="22" t="e">
        <f aca="false">AND('current index'!#ref!,"AAAAABc9OUQ=")</f>
        <v>#VALUE!</v>
      </c>
      <c r="BR1" s="22" t="e">
        <f aca="false">AND('current index'!#ref!,"AAAAABc9OUU=")</f>
        <v>#VALUE!</v>
      </c>
      <c r="BS1" s="22" t="e">
        <f aca="false">AND('current index'!#ref!,"AAAAABc9OUY=")</f>
        <v>#VALUE!</v>
      </c>
      <c r="BT1" s="22" t="e">
        <f aca="false">AND('current index'!#ref!,"AAAAABc9OUc=")</f>
        <v>#VALUE!</v>
      </c>
      <c r="BU1" s="22" t="e">
        <f aca="false">AND('current index'!#ref!,"AAAAABc9OUg=")</f>
        <v>#VALUE!</v>
      </c>
      <c r="BV1" s="22" t="e">
        <f aca="false">AND('current index'!#ref!,"AAAAABc9OUk=")</f>
        <v>#VALUE!</v>
      </c>
      <c r="BW1" s="22" t="e">
        <f aca="false">AND('current index'!#ref!,"AAAAABc9OUo=")</f>
        <v>#VALUE!</v>
      </c>
      <c r="BX1" s="22" t="e">
        <f aca="false">AND('current index'!#ref!,"AAAAABc9OUs=")</f>
        <v>#VALUE!</v>
      </c>
      <c r="BY1" s="22" t="e">
        <f aca="false">AND('current index'!#ref!,"AAAAABc9OUw=")</f>
        <v>#VALUE!</v>
      </c>
      <c r="BZ1" s="22" t="n">
        <f aca="false">IF('Current Index'!213:213,"AAAAABc9OU0=",0)</f>
        <v>0</v>
      </c>
      <c r="CA1" s="22" t="e">
        <f aca="false">AND('Current Index'!A213,"AAAAABc9OU4=")</f>
        <v>#VALUE!</v>
      </c>
      <c r="CB1" s="22" t="e">
        <f aca="false">AND('current index'!#ref!,"AAAAABc9OU8=")</f>
        <v>#VALUE!</v>
      </c>
      <c r="CC1" s="22" t="e">
        <f aca="false">AND('Current Index'!B213,"AAAAABc9OVA=")</f>
        <v>#VALUE!</v>
      </c>
      <c r="CD1" s="22" t="e">
        <f aca="false">AND('Current Index'!C213,"AAAAABc9OVE=")</f>
        <v>#VALUE!</v>
      </c>
      <c r="CE1" s="22" t="e">
        <f aca="false">AND('Current Index'!D213,"AAAAABc9OVI=")</f>
        <v>#VALUE!</v>
      </c>
      <c r="CF1" s="22" t="e">
        <f aca="false">AND('Current Index'!E213,"AAAAABc9OVM=")</f>
        <v>#VALUE!</v>
      </c>
      <c r="CG1" s="22" t="e">
        <f aca="false">AND('Current Index'!F213,"AAAAABc9OVQ=")</f>
        <v>#VALUE!</v>
      </c>
      <c r="CH1" s="22" t="e">
        <f aca="false">AND('Current Index'!G213,"AAAAABc9OVU=")</f>
        <v>#VALUE!</v>
      </c>
      <c r="CI1" s="22" t="e">
        <f aca="false">AND('Current Index'!H213,"AAAAABc9OVY=")</f>
        <v>#VALUE!</v>
      </c>
      <c r="CJ1" s="22" t="e">
        <f aca="false">AND('Current Index'!I213,"AAAAABc9OVc=")</f>
        <v>#VALUE!</v>
      </c>
      <c r="CK1" s="22" t="n">
        <f aca="false">IF('Current Index'!632:632,"AAAAABc9OVg=",0)</f>
        <v>0</v>
      </c>
      <c r="CL1" s="22" t="e">
        <f aca="false">AND('Current Index'!A632,"AAAAABc9OVk=")</f>
        <v>#VALUE!</v>
      </c>
      <c r="CM1" s="22" t="e">
        <f aca="false">AND('current index'!#ref!,"AAAAABc9OVo=")</f>
        <v>#VALUE!</v>
      </c>
      <c r="CN1" s="22" t="e">
        <f aca="false">AND('Current Index'!B632,"AAAAABc9OVs=")</f>
        <v>#VALUE!</v>
      </c>
      <c r="CO1" s="22" t="e">
        <f aca="false">AND('Current Index'!C632,"AAAAABc9OVw=")</f>
        <v>#VALUE!</v>
      </c>
      <c r="CP1" s="22" t="e">
        <f aca="false">AND('Current Index'!D632,"AAAAABc9OV0=")</f>
        <v>#VALUE!</v>
      </c>
      <c r="CQ1" s="22" t="e">
        <f aca="false">AND('Current Index'!E632,"AAAAABc9OV4=")</f>
        <v>#VALUE!</v>
      </c>
      <c r="CR1" s="22" t="e">
        <f aca="false">AND('Current Index'!F632,"AAAAABc9OV8=")</f>
        <v>#VALUE!</v>
      </c>
      <c r="CS1" s="22" t="e">
        <f aca="false">AND('Current Index'!G632,"AAAAABc9OWA=")</f>
        <v>#VALUE!</v>
      </c>
      <c r="CT1" s="22" t="e">
        <f aca="false">AND('Current Index'!H632,"AAAAABc9OWE=")</f>
        <v>#VALUE!</v>
      </c>
      <c r="CU1" s="22" t="e">
        <f aca="false">AND('Current Index'!I632,"AAAAABc9OWI=")</f>
        <v>#VALUE!</v>
      </c>
      <c r="CV1" s="22" t="n">
        <f aca="false">IF('Current Index'!644:644,"AAAAABc9OWM=",0)</f>
        <v>0</v>
      </c>
      <c r="CW1" s="22" t="e">
        <f aca="false">AND('Current Index'!A644,"AAAAABc9OWQ=")</f>
        <v>#VALUE!</v>
      </c>
      <c r="CX1" s="22" t="e">
        <f aca="false">AND('current index'!#ref!,"AAAAABc9OWU=")</f>
        <v>#VALUE!</v>
      </c>
      <c r="CY1" s="22" t="e">
        <f aca="false">AND('Current Index'!B644,"AAAAABc9OWY=")</f>
        <v>#VALUE!</v>
      </c>
      <c r="CZ1" s="22" t="e">
        <f aca="false">AND('Current Index'!C644,"AAAAABc9OWc=")</f>
        <v>#VALUE!</v>
      </c>
      <c r="DA1" s="22" t="e">
        <f aca="false">AND('Current Index'!D644,"AAAAABc9OWg=")</f>
        <v>#VALUE!</v>
      </c>
      <c r="DB1" s="22" t="e">
        <f aca="false">AND('Current Index'!E644,"AAAAABc9OWk=")</f>
        <v>#VALUE!</v>
      </c>
      <c r="DC1" s="22" t="e">
        <f aca="false">AND('Current Index'!F644,"AAAAABc9OWo=")</f>
        <v>#VALUE!</v>
      </c>
      <c r="DD1" s="22" t="e">
        <f aca="false">AND('Current Index'!G644,"AAAAABc9OWs=")</f>
        <v>#VALUE!</v>
      </c>
      <c r="DE1" s="22" t="e">
        <f aca="false">AND('Current Index'!H644,"AAAAABc9OWw=")</f>
        <v>#VALUE!</v>
      </c>
      <c r="DF1" s="22" t="e">
        <f aca="false">AND('Current Index'!I644,"AAAAABc9OW0=")</f>
        <v>#VALUE!</v>
      </c>
      <c r="DG1" s="22" t="n">
        <f aca="false">IF('Current Index'!793:793,"AAAAABc9OW4=",0)</f>
        <v>0</v>
      </c>
      <c r="DH1" s="22" t="e">
        <f aca="false">AND('Current Index'!A793,"AAAAABc9OW8=")</f>
        <v>#VALUE!</v>
      </c>
      <c r="DI1" s="22" t="e">
        <f aca="false">AND('current index'!#ref!,"AAAAABc9OXA=")</f>
        <v>#VALUE!</v>
      </c>
      <c r="DJ1" s="22" t="e">
        <f aca="false">AND('Current Index'!B793,"AAAAABc9OXE=")</f>
        <v>#VALUE!</v>
      </c>
      <c r="DK1" s="22" t="e">
        <f aca="false">AND('Current Index'!C793,"AAAAABc9OXI=")</f>
        <v>#VALUE!</v>
      </c>
      <c r="DL1" s="22" t="e">
        <f aca="false">AND('Current Index'!D793,"AAAAABc9OXM=")</f>
        <v>#VALUE!</v>
      </c>
      <c r="DM1" s="22" t="e">
        <f aca="false">AND('Current Index'!E793,"AAAAABc9OXQ=")</f>
        <v>#VALUE!</v>
      </c>
      <c r="DN1" s="22" t="e">
        <f aca="false">AND('Current Index'!F793,"AAAAABc9OXU=")</f>
        <v>#VALUE!</v>
      </c>
      <c r="DO1" s="22" t="e">
        <f aca="false">AND('Current Index'!G793,"AAAAABc9OXY=")</f>
        <v>#VALUE!</v>
      </c>
      <c r="DP1" s="22" t="e">
        <f aca="false">AND('Current Index'!H793,"AAAAABc9OXc=")</f>
        <v>#VALUE!</v>
      </c>
      <c r="DQ1" s="22" t="e">
        <f aca="false">AND('Current Index'!I793,"AAAAABc9OXg=")</f>
        <v>#VALUE!</v>
      </c>
      <c r="DR1" s="22" t="n">
        <f aca="false">IF('Current Index'!810:810,"AAAAABc9OXk=",0)</f>
        <v>0</v>
      </c>
      <c r="DS1" s="22" t="e">
        <f aca="false">AND('Current Index'!A810,"AAAAABc9OXo=")</f>
        <v>#VALUE!</v>
      </c>
      <c r="DT1" s="22" t="e">
        <f aca="false">AND('current index'!#ref!,"AAAAABc9OXs=")</f>
        <v>#VALUE!</v>
      </c>
      <c r="DU1" s="22" t="e">
        <f aca="false">AND('Current Index'!B810,"AAAAABc9OXw=")</f>
        <v>#VALUE!</v>
      </c>
      <c r="DV1" s="22" t="e">
        <f aca="false">AND('Current Index'!C810,"AAAAABc9OX0=")</f>
        <v>#VALUE!</v>
      </c>
      <c r="DW1" s="22" t="e">
        <f aca="false">AND('Current Index'!D810,"AAAAABc9OX4=")</f>
        <v>#VALUE!</v>
      </c>
      <c r="DX1" s="22" t="e">
        <f aca="false">AND('Current Index'!E810,"AAAAABc9OX8=")</f>
        <v>#VALUE!</v>
      </c>
      <c r="DY1" s="22" t="e">
        <f aca="false">AND('Current Index'!F810,"AAAAABc9OYA=")</f>
        <v>#VALUE!</v>
      </c>
      <c r="DZ1" s="22" t="e">
        <f aca="false">AND('Current Index'!G810,"AAAAABc9OYE=")</f>
        <v>#VALUE!</v>
      </c>
      <c r="EA1" s="22" t="e">
        <f aca="false">AND('Current Index'!H810,"AAAAABc9OYI=")</f>
        <v>#VALUE!</v>
      </c>
      <c r="EB1" s="22" t="e">
        <f aca="false">AND('Current Index'!I810,"AAAAABc9OYM=")</f>
        <v>#VALUE!</v>
      </c>
      <c r="EC1" s="22" t="n">
        <f aca="false">IF('Current Index'!1:1,"AAAAABc9OYQ=",0)</f>
        <v>0</v>
      </c>
      <c r="ED1" s="22" t="e">
        <f aca="false">AND('Current Index'!A1,"AAAAABc9OYU=")</f>
        <v>#VALUE!</v>
      </c>
      <c r="EE1" s="22" t="e">
        <f aca="false">AND('current index'!#ref!,"AAAAABc9OYY=")</f>
        <v>#VALUE!</v>
      </c>
      <c r="EF1" s="22" t="e">
        <f aca="false">AND('Current Index'!B1,"AAAAABc9OYc=")</f>
        <v>#VALUE!</v>
      </c>
      <c r="EG1" s="22" t="e">
        <f aca="false">AND('Current Index'!C1,"AAAAABc9OYg=")</f>
        <v>#VALUE!</v>
      </c>
      <c r="EH1" s="22" t="e">
        <f aca="false">AND('Current Index'!D1,"AAAAABc9OYk=")</f>
        <v>#VALUE!</v>
      </c>
      <c r="EI1" s="22" t="e">
        <f aca="false">AND('Current Index'!E1,"AAAAABc9OYo=")</f>
        <v>#VALUE!</v>
      </c>
      <c r="EJ1" s="22" t="e">
        <f aca="false">AND('Current Index'!F1,"AAAAABc9OYs=")</f>
        <v>#VALUE!</v>
      </c>
      <c r="EK1" s="22" t="e">
        <f aca="false">AND('Current Index'!G1,"AAAAABc9OYw=")</f>
        <v>#VALUE!</v>
      </c>
      <c r="EL1" s="22" t="e">
        <f aca="false">AND('Current Index'!H1,"AAAAABc9OY0=")</f>
        <v>#VALUE!</v>
      </c>
      <c r="EM1" s="22" t="e">
        <f aca="false">AND('Current Index'!I1,"AAAAABc9OY4=")</f>
        <v>#VALUE!</v>
      </c>
      <c r="EN1" s="22" t="n">
        <f aca="false">IF('Current Index'!2:2,"AAAAABc9OY8=",0)</f>
        <v>0</v>
      </c>
      <c r="EO1" s="22" t="e">
        <f aca="false">AND('Current Index'!A2,"AAAAABc9OZA=")</f>
        <v>#VALUE!</v>
      </c>
      <c r="EP1" s="22" t="e">
        <f aca="false">AND('current index'!#ref!,"AAAAABc9OZE=")</f>
        <v>#VALUE!</v>
      </c>
      <c r="EQ1" s="22" t="e">
        <f aca="false">AND('Current Index'!B2,"AAAAABc9OZI=")</f>
        <v>#VALUE!</v>
      </c>
      <c r="ER1" s="22" t="e">
        <f aca="false">AND('Current Index'!C2,"AAAAABc9OZM=")</f>
        <v>#VALUE!</v>
      </c>
      <c r="ES1" s="22" t="e">
        <f aca="false">AND('Current Index'!D2,"AAAAABc9OZQ=")</f>
        <v>#VALUE!</v>
      </c>
      <c r="ET1" s="22" t="e">
        <f aca="false">AND('Current Index'!E2,"AAAAABc9OZU=")</f>
        <v>#VALUE!</v>
      </c>
      <c r="EU1" s="22" t="e">
        <f aca="false">AND('Current Index'!F2,"AAAAABc9OZY=")</f>
        <v>#VALUE!</v>
      </c>
      <c r="EV1" s="22" t="e">
        <f aca="false">AND('Current Index'!G2,"AAAAABc9OZc=")</f>
        <v>#VALUE!</v>
      </c>
      <c r="EW1" s="22" t="e">
        <f aca="false">AND('Current Index'!H2,"AAAAABc9OZg=")</f>
        <v>#VALUE!</v>
      </c>
      <c r="EX1" s="22" t="e">
        <f aca="false">AND('Current Index'!I2,"AAAAABc9OZk=")</f>
        <v>#VALUE!</v>
      </c>
      <c r="EY1" s="22" t="n">
        <f aca="false">IF('Current Index'!3:3,"AAAAABc9OZo=",0)</f>
        <v>0</v>
      </c>
      <c r="EZ1" s="22" t="e">
        <f aca="false">AND('Current Index'!A3,"AAAAABc9OZs=")</f>
        <v>#VALUE!</v>
      </c>
      <c r="FA1" s="22" t="e">
        <f aca="false">AND('current index'!#ref!,"AAAAABc9OZw=")</f>
        <v>#VALUE!</v>
      </c>
      <c r="FB1" s="22" t="e">
        <f aca="false">AND('Current Index'!B3,"AAAAABc9OZ0=")</f>
        <v>#VALUE!</v>
      </c>
      <c r="FC1" s="22" t="e">
        <f aca="false">AND('Current Index'!C3,"AAAAABc9OZ4=")</f>
        <v>#VALUE!</v>
      </c>
      <c r="FD1" s="22" t="e">
        <f aca="false">AND('Current Index'!D3,"AAAAABc9OZ8=")</f>
        <v>#VALUE!</v>
      </c>
      <c r="FE1" s="22" t="e">
        <f aca="false">AND('Current Index'!E3,"AAAAABc9OaA=")</f>
        <v>#VALUE!</v>
      </c>
      <c r="FF1" s="22" t="e">
        <f aca="false">AND('Current Index'!F3,"AAAAABc9OaE=")</f>
        <v>#VALUE!</v>
      </c>
      <c r="FG1" s="22" t="e">
        <f aca="false">AND('Current Index'!G3,"AAAAABc9OaI=")</f>
        <v>#VALUE!</v>
      </c>
      <c r="FH1" s="22" t="e">
        <f aca="false">AND('Current Index'!H3,"AAAAABc9OaM=")</f>
        <v>#VALUE!</v>
      </c>
      <c r="FI1" s="22" t="e">
        <f aca="false">AND('Current Index'!I3,"AAAAABc9OaQ=")</f>
        <v>#VALUE!</v>
      </c>
      <c r="FJ1" s="22" t="n">
        <f aca="false">IF('Current Index'!5:5,"AAAAABc9OaU=",0)</f>
        <v>0</v>
      </c>
      <c r="FK1" s="22" t="e">
        <f aca="false">AND('Current Index'!A5,"AAAAABc9OaY=")</f>
        <v>#VALUE!</v>
      </c>
      <c r="FL1" s="22" t="e">
        <f aca="false">AND('current index'!#ref!,"AAAAABc9Oac=")</f>
        <v>#VALUE!</v>
      </c>
      <c r="FM1" s="22" t="e">
        <f aca="false">AND('Current Index'!B5,"AAAAABc9Oag=")</f>
        <v>#VALUE!</v>
      </c>
      <c r="FN1" s="22" t="e">
        <f aca="false">AND('Current Index'!C5,"AAAAABc9Oak=")</f>
        <v>#VALUE!</v>
      </c>
      <c r="FO1" s="22" t="e">
        <f aca="false">AND('Current Index'!D5,"AAAAABc9Oao=")</f>
        <v>#VALUE!</v>
      </c>
      <c r="FP1" s="22" t="e">
        <f aca="false">AND('Current Index'!E5,"AAAAABc9Oas=")</f>
        <v>#VALUE!</v>
      </c>
      <c r="FQ1" s="22" t="e">
        <f aca="false">AND('Current Index'!F5,"AAAAABc9Oaw=")</f>
        <v>#VALUE!</v>
      </c>
      <c r="FR1" s="22" t="e">
        <f aca="false">AND('Current Index'!G5,"AAAAABc9Oa0=")</f>
        <v>#VALUE!</v>
      </c>
      <c r="FS1" s="22" t="e">
        <f aca="false">AND('Current Index'!H5,"AAAAABc9Oa4=")</f>
        <v>#VALUE!</v>
      </c>
      <c r="FT1" s="22" t="e">
        <f aca="false">AND('Current Index'!I5,"AAAAABc9Oa8=")</f>
        <v>#VALUE!</v>
      </c>
      <c r="FU1" s="22" t="n">
        <f aca="false">IF('Current Index'!6:6,"AAAAABc9ObA=",0)</f>
        <v>0</v>
      </c>
      <c r="FV1" s="22" t="e">
        <f aca="false">AND('Current Index'!A6,"AAAAABc9ObE=")</f>
        <v>#VALUE!</v>
      </c>
      <c r="FW1" s="22" t="e">
        <f aca="false">AND('current index'!#ref!,"AAAAABc9ObI=")</f>
        <v>#VALUE!</v>
      </c>
      <c r="FX1" s="22" t="e">
        <f aca="false">AND('Current Index'!B6,"AAAAABc9ObM=")</f>
        <v>#VALUE!</v>
      </c>
      <c r="FY1" s="22" t="e">
        <f aca="false">AND('Current Index'!C6,"AAAAABc9ObQ=")</f>
        <v>#VALUE!</v>
      </c>
      <c r="FZ1" s="22" t="e">
        <f aca="false">AND('Current Index'!D6,"AAAAABc9ObU=")</f>
        <v>#VALUE!</v>
      </c>
      <c r="GA1" s="22" t="e">
        <f aca="false">AND('Current Index'!E6,"AAAAABc9ObY=")</f>
        <v>#VALUE!</v>
      </c>
      <c r="GB1" s="22" t="e">
        <f aca="false">AND('Current Index'!F6,"AAAAABc9Obc=")</f>
        <v>#VALUE!</v>
      </c>
      <c r="GC1" s="22" t="e">
        <f aca="false">AND('Current Index'!G6,"AAAAABc9Obg=")</f>
        <v>#VALUE!</v>
      </c>
      <c r="GD1" s="22" t="e">
        <f aca="false">AND('Current Index'!H6,"AAAAABc9Obk=")</f>
        <v>#VALUE!</v>
      </c>
      <c r="GE1" s="22" t="e">
        <f aca="false">AND('Current Index'!I6,"AAAAABc9Obo=")</f>
        <v>#VALUE!</v>
      </c>
      <c r="GF1" s="22" t="n">
        <f aca="false">IF('Current Index'!7:7,"AAAAABc9Obs=",0)</f>
        <v>0</v>
      </c>
      <c r="GG1" s="22" t="e">
        <f aca="false">AND('Current Index'!A7,"AAAAABc9Obw=")</f>
        <v>#VALUE!</v>
      </c>
      <c r="GH1" s="22" t="e">
        <f aca="false">AND('current index'!#ref!,"AAAAABc9Ob0=")</f>
        <v>#VALUE!</v>
      </c>
      <c r="GI1" s="22" t="e">
        <f aca="false">AND('Current Index'!B7,"AAAAABc9Ob4=")</f>
        <v>#VALUE!</v>
      </c>
      <c r="GJ1" s="22" t="e">
        <f aca="false">AND('Current Index'!C7,"AAAAABc9Ob8=")</f>
        <v>#VALUE!</v>
      </c>
      <c r="GK1" s="22" t="e">
        <f aca="false">AND('Current Index'!D7,"AAAAABc9OcA=")</f>
        <v>#VALUE!</v>
      </c>
      <c r="GL1" s="22" t="e">
        <f aca="false">AND('Current Index'!E7,"AAAAABc9OcE=")</f>
        <v>#VALUE!</v>
      </c>
      <c r="GM1" s="22" t="e">
        <f aca="false">AND('Current Index'!F7,"AAAAABc9OcI=")</f>
        <v>#VALUE!</v>
      </c>
      <c r="GN1" s="22" t="e">
        <f aca="false">AND('Current Index'!G7,"AAAAABc9OcM=")</f>
        <v>#VALUE!</v>
      </c>
      <c r="GO1" s="22" t="e">
        <f aca="false">AND('Current Index'!H7,"AAAAABc9OcQ=")</f>
        <v>#VALUE!</v>
      </c>
      <c r="GP1" s="22" t="e">
        <f aca="false">AND('Current Index'!I7,"AAAAABc9OcU=")</f>
        <v>#VALUE!</v>
      </c>
      <c r="GQ1" s="22" t="n">
        <f aca="false">IF('Current Index'!8:8,"AAAAABc9OcY=",0)</f>
        <v>0</v>
      </c>
      <c r="GR1" s="22" t="e">
        <f aca="false">AND('Current Index'!A8,"AAAAABc9Occ=")</f>
        <v>#VALUE!</v>
      </c>
      <c r="GS1" s="22" t="e">
        <f aca="false">AND('current index'!#ref!,"AAAAABc9Ocg=")</f>
        <v>#VALUE!</v>
      </c>
      <c r="GT1" s="22" t="e">
        <f aca="false">AND('Current Index'!B8,"AAAAABc9Ock=")</f>
        <v>#VALUE!</v>
      </c>
      <c r="GU1" s="22" t="e">
        <f aca="false">AND('Current Index'!C8,"AAAAABc9Oco=")</f>
        <v>#VALUE!</v>
      </c>
      <c r="GV1" s="22" t="e">
        <f aca="false">AND('Current Index'!D8,"AAAAABc9Ocs=")</f>
        <v>#VALUE!</v>
      </c>
      <c r="GW1" s="22" t="e">
        <f aca="false">AND('Current Index'!E8,"AAAAABc9Ocw=")</f>
        <v>#VALUE!</v>
      </c>
      <c r="GX1" s="22" t="e">
        <f aca="false">AND('Current Index'!F8,"AAAAABc9Oc0=")</f>
        <v>#VALUE!</v>
      </c>
      <c r="GY1" s="22" t="e">
        <f aca="false">AND('Current Index'!G8,"AAAAABc9Oc4=")</f>
        <v>#VALUE!</v>
      </c>
      <c r="GZ1" s="22" t="e">
        <f aca="false">AND('Current Index'!H8,"AAAAABc9Oc8=")</f>
        <v>#VALUE!</v>
      </c>
      <c r="HA1" s="22" t="e">
        <f aca="false">AND('Current Index'!I8,"AAAAABc9OdA=")</f>
        <v>#VALUE!</v>
      </c>
      <c r="HB1" s="22" t="n">
        <f aca="false">IF('Current Index'!9:9,"AAAAABc9OdE=",0)</f>
        <v>0</v>
      </c>
      <c r="HC1" s="22" t="e">
        <f aca="false">AND('Current Index'!A9,"AAAAABc9OdI=")</f>
        <v>#VALUE!</v>
      </c>
      <c r="HD1" s="22" t="e">
        <f aca="false">AND('current index'!#ref!,"AAAAABc9OdM=")</f>
        <v>#VALUE!</v>
      </c>
      <c r="HE1" s="22" t="e">
        <f aca="false">AND('Current Index'!B9,"AAAAABc9OdQ=")</f>
        <v>#VALUE!</v>
      </c>
      <c r="HF1" s="22" t="e">
        <f aca="false">AND('Current Index'!C9,"AAAAABc9OdU=")</f>
        <v>#VALUE!</v>
      </c>
      <c r="HG1" s="22" t="e">
        <f aca="false">AND('Current Index'!D9,"AAAAABc9OdY=")</f>
        <v>#VALUE!</v>
      </c>
      <c r="HH1" s="22" t="e">
        <f aca="false">AND('Current Index'!E9,"AAAAABc9Odc=")</f>
        <v>#VALUE!</v>
      </c>
      <c r="HI1" s="22" t="e">
        <f aca="false">AND('Current Index'!F9,"AAAAABc9Odg=")</f>
        <v>#VALUE!</v>
      </c>
      <c r="HJ1" s="22" t="e">
        <f aca="false">AND('Current Index'!G9,"AAAAABc9Odk=")</f>
        <v>#VALUE!</v>
      </c>
      <c r="HK1" s="22" t="e">
        <f aca="false">AND('Current Index'!H9,"AAAAABc9Odo=")</f>
        <v>#VALUE!</v>
      </c>
      <c r="HL1" s="22" t="e">
        <f aca="false">AND('Current Index'!I9,"AAAAABc9Ods=")</f>
        <v>#VALUE!</v>
      </c>
      <c r="HM1" s="22" t="n">
        <f aca="false">IF('Current Index'!10:10,"AAAAABc9Odw=",0)</f>
        <v>0</v>
      </c>
      <c r="HN1" s="22" t="e">
        <f aca="false">AND('Current Index'!A10,"AAAAABc9Od0=")</f>
        <v>#VALUE!</v>
      </c>
      <c r="HO1" s="22" t="e">
        <f aca="false">AND('current index'!#ref!,"AAAAABc9Od4=")</f>
        <v>#VALUE!</v>
      </c>
      <c r="HP1" s="22" t="e">
        <f aca="false">AND('Current Index'!B10,"AAAAABc9Od8=")</f>
        <v>#VALUE!</v>
      </c>
      <c r="HQ1" s="22" t="e">
        <f aca="false">AND('Current Index'!C10,"AAAAABc9OeA=")</f>
        <v>#VALUE!</v>
      </c>
      <c r="HR1" s="22" t="e">
        <f aca="false">AND('Current Index'!D10,"AAAAABc9OeE=")</f>
        <v>#VALUE!</v>
      </c>
      <c r="HS1" s="22" t="e">
        <f aca="false">AND('Current Index'!E10,"AAAAABc9OeI=")</f>
        <v>#VALUE!</v>
      </c>
      <c r="HT1" s="22" t="e">
        <f aca="false">AND('Current Index'!F10,"AAAAABc9OeM=")</f>
        <v>#VALUE!</v>
      </c>
      <c r="HU1" s="22" t="e">
        <f aca="false">AND('Current Index'!G10,"AAAAABc9OeQ=")</f>
        <v>#VALUE!</v>
      </c>
      <c r="HV1" s="22" t="e">
        <f aca="false">AND('Current Index'!H10,"AAAAABc9OeU=")</f>
        <v>#VALUE!</v>
      </c>
      <c r="HW1" s="22" t="e">
        <f aca="false">AND('Current Index'!I10,"AAAAABc9OeY=")</f>
        <v>#VALUE!</v>
      </c>
      <c r="HX1" s="22" t="n">
        <f aca="false">IF('Current Index'!11:11,"AAAAABc9Oec=",0)</f>
        <v>0</v>
      </c>
      <c r="HY1" s="22" t="e">
        <f aca="false">AND('Current Index'!A11,"AAAAABc9Oeg=")</f>
        <v>#VALUE!</v>
      </c>
      <c r="HZ1" s="22" t="e">
        <f aca="false">AND('current index'!#ref!,"AAAAABc9Oek=")</f>
        <v>#VALUE!</v>
      </c>
      <c r="IA1" s="22" t="e">
        <f aca="false">AND('Current Index'!B11,"AAAAABc9Oeo=")</f>
        <v>#VALUE!</v>
      </c>
      <c r="IB1" s="22" t="e">
        <f aca="false">AND('Current Index'!C11,"AAAAABc9Oes=")</f>
        <v>#VALUE!</v>
      </c>
      <c r="IC1" s="22" t="e">
        <f aca="false">AND('Current Index'!D11,"AAAAABc9Oew=")</f>
        <v>#VALUE!</v>
      </c>
      <c r="ID1" s="22" t="e">
        <f aca="false">AND('Current Index'!E11,"AAAAABc9Oe0=")</f>
        <v>#VALUE!</v>
      </c>
      <c r="IE1" s="22" t="e">
        <f aca="false">AND('Current Index'!F11,"AAAAABc9Oe4=")</f>
        <v>#VALUE!</v>
      </c>
      <c r="IF1" s="22" t="e">
        <f aca="false">AND('Current Index'!G11,"AAAAABc9Oe8=")</f>
        <v>#VALUE!</v>
      </c>
      <c r="IG1" s="22" t="e">
        <f aca="false">AND('Current Index'!H11,"AAAAABc9OfA=")</f>
        <v>#VALUE!</v>
      </c>
      <c r="IH1" s="22" t="e">
        <f aca="false">AND('Current Index'!I11,"AAAAABc9OfE=")</f>
        <v>#VALUE!</v>
      </c>
      <c r="II1" s="22" t="n">
        <f aca="false">IF('Current Index'!12:12,"AAAAABc9OfI=",0)</f>
        <v>0</v>
      </c>
      <c r="IJ1" s="22" t="e">
        <f aca="false">AND('Current Index'!A12,"AAAAABc9OfM=")</f>
        <v>#VALUE!</v>
      </c>
      <c r="IK1" s="22" t="e">
        <f aca="false">AND('current index'!#ref!,"AAAAABc9OfQ=")</f>
        <v>#VALUE!</v>
      </c>
      <c r="IL1" s="22" t="e">
        <f aca="false">AND('Current Index'!B12,"AAAAABc9OfU=")</f>
        <v>#VALUE!</v>
      </c>
      <c r="IM1" s="22" t="e">
        <f aca="false">AND('Current Index'!C12,"AAAAABc9OfY=")</f>
        <v>#VALUE!</v>
      </c>
      <c r="IN1" s="22" t="e">
        <f aca="false">AND('Current Index'!D12,"AAAAABc9Ofc=")</f>
        <v>#VALUE!</v>
      </c>
      <c r="IO1" s="22" t="e">
        <f aca="false">AND('Current Index'!E12,"AAAAABc9Ofg=")</f>
        <v>#VALUE!</v>
      </c>
      <c r="IP1" s="22" t="e">
        <f aca="false">AND('Current Index'!F12,"AAAAABc9Ofk=")</f>
        <v>#VALUE!</v>
      </c>
      <c r="IQ1" s="22" t="e">
        <f aca="false">AND('Current Index'!G12,"AAAAABc9Ofo=")</f>
        <v>#VALUE!</v>
      </c>
      <c r="IR1" s="22" t="e">
        <f aca="false">AND('Current Index'!H12,"AAAAABc9Ofs=")</f>
        <v>#VALUE!</v>
      </c>
      <c r="IS1" s="22" t="e">
        <f aca="false">AND('Current Index'!I12,"AAAAABc9Ofw=")</f>
        <v>#VALUE!</v>
      </c>
      <c r="IT1" s="22" t="n">
        <f aca="false">IF('Current Index'!13:13,"AAAAABc9Of0=",0)</f>
        <v>0</v>
      </c>
      <c r="IU1" s="22" t="e">
        <f aca="false">AND('Current Index'!A13,"AAAAABc9Of4=")</f>
        <v>#VALUE!</v>
      </c>
      <c r="IV1" s="22" t="e">
        <f aca="false">AND('current index'!#ref!,"AAAAABc9Of8=")</f>
        <v>#VALUE!</v>
      </c>
    </row>
    <row r="2" customFormat="false" ht="12.75" hidden="false" customHeight="false" outlineLevel="0" collapsed="false">
      <c r="A2" s="22" t="e">
        <f aca="false">AND('Current Index'!B13,"AAAAAH471wA=")</f>
        <v>#VALUE!</v>
      </c>
      <c r="B2" s="22" t="e">
        <f aca="false">AND('Current Index'!C13,"AAAAAH471wE=")</f>
        <v>#VALUE!</v>
      </c>
      <c r="C2" s="22" t="e">
        <f aca="false">AND('Current Index'!D13,"AAAAAH471wI=")</f>
        <v>#VALUE!</v>
      </c>
      <c r="D2" s="22" t="e">
        <f aca="false">AND('Current Index'!E13,"AAAAAH471wM=")</f>
        <v>#VALUE!</v>
      </c>
      <c r="E2" s="22" t="e">
        <f aca="false">AND('Current Index'!F13,"AAAAAH471wQ=")</f>
        <v>#VALUE!</v>
      </c>
      <c r="F2" s="22" t="e">
        <f aca="false">AND('Current Index'!G13,"AAAAAH471wU=")</f>
        <v>#VALUE!</v>
      </c>
      <c r="G2" s="22" t="e">
        <f aca="false">AND('Current Index'!H13,"AAAAAH471wY=")</f>
        <v>#VALUE!</v>
      </c>
      <c r="H2" s="22" t="e">
        <f aca="false">AND('Current Index'!I13,"AAAAAH471wc=")</f>
        <v>#VALUE!</v>
      </c>
      <c r="I2" s="22" t="n">
        <f aca="false">IF('Current Index'!14:14,"AAAAAH471wg=",0)</f>
        <v>0</v>
      </c>
      <c r="J2" s="22" t="e">
        <f aca="false">AND('Current Index'!A14,"AAAAAH471wk=")</f>
        <v>#VALUE!</v>
      </c>
      <c r="K2" s="22" t="e">
        <f aca="false">AND('current index'!#ref!,"AAAAAH471wo=")</f>
        <v>#VALUE!</v>
      </c>
      <c r="L2" s="22" t="e">
        <f aca="false">AND('Current Index'!B14,"AAAAAH471ws=")</f>
        <v>#VALUE!</v>
      </c>
      <c r="M2" s="22" t="e">
        <f aca="false">AND('Current Index'!C14,"AAAAAH471ww=")</f>
        <v>#VALUE!</v>
      </c>
      <c r="N2" s="22" t="e">
        <f aca="false">AND('Current Index'!D14,"AAAAAH471w0=")</f>
        <v>#VALUE!</v>
      </c>
      <c r="O2" s="22" t="e">
        <f aca="false">AND('Current Index'!E14,"AAAAAH471w4=")</f>
        <v>#VALUE!</v>
      </c>
      <c r="P2" s="22" t="e">
        <f aca="false">AND('Current Index'!F14,"AAAAAH471w8=")</f>
        <v>#VALUE!</v>
      </c>
      <c r="Q2" s="22" t="e">
        <f aca="false">AND('Current Index'!G14,"AAAAAH471xA=")</f>
        <v>#VALUE!</v>
      </c>
      <c r="R2" s="22" t="e">
        <f aca="false">AND('Current Index'!H14,"AAAAAH471xE=")</f>
        <v>#VALUE!</v>
      </c>
      <c r="S2" s="22" t="e">
        <f aca="false">AND('Current Index'!I14,"AAAAAH471xI=")</f>
        <v>#VALUE!</v>
      </c>
      <c r="T2" s="22" t="n">
        <f aca="false">IF('Current Index'!15:15,"AAAAAH471xM=",0)</f>
        <v>0</v>
      </c>
      <c r="U2" s="22" t="e">
        <f aca="false">AND('Current Index'!A15,"AAAAAH471xQ=")</f>
        <v>#VALUE!</v>
      </c>
      <c r="V2" s="22" t="e">
        <f aca="false">AND('current index'!#ref!,"AAAAAH471xU=")</f>
        <v>#VALUE!</v>
      </c>
      <c r="W2" s="22" t="e">
        <f aca="false">AND('Current Index'!B15,"AAAAAH471xY=")</f>
        <v>#VALUE!</v>
      </c>
      <c r="X2" s="22" t="e">
        <f aca="false">AND('Current Index'!C15,"AAAAAH471xc=")</f>
        <v>#VALUE!</v>
      </c>
      <c r="Y2" s="22" t="e">
        <f aca="false">AND('Current Index'!D15,"AAAAAH471xg=")</f>
        <v>#VALUE!</v>
      </c>
      <c r="Z2" s="22" t="e">
        <f aca="false">AND('Current Index'!E15,"AAAAAH471xk=")</f>
        <v>#VALUE!</v>
      </c>
      <c r="AA2" s="22" t="e">
        <f aca="false">AND('Current Index'!F15,"AAAAAH471xo=")</f>
        <v>#VALUE!</v>
      </c>
      <c r="AB2" s="22" t="e">
        <f aca="false">AND('Current Index'!G15,"AAAAAH471xs=")</f>
        <v>#VALUE!</v>
      </c>
      <c r="AC2" s="22" t="e">
        <f aca="false">AND('Current Index'!H15,"AAAAAH471xw=")</f>
        <v>#VALUE!</v>
      </c>
      <c r="AD2" s="22" t="e">
        <f aca="false">AND('Current Index'!I15,"AAAAAH471x0=")</f>
        <v>#VALUE!</v>
      </c>
      <c r="AE2" s="22" t="n">
        <f aca="false">IF('Current Index'!16:16,"AAAAAH471x4=",0)</f>
        <v>0</v>
      </c>
      <c r="AF2" s="22" t="e">
        <f aca="false">AND('Current Index'!A16,"AAAAAH471x8=")</f>
        <v>#VALUE!</v>
      </c>
      <c r="AG2" s="22" t="e">
        <f aca="false">AND('current index'!#ref!,"AAAAAH471yA=")</f>
        <v>#VALUE!</v>
      </c>
      <c r="AH2" s="22" t="e">
        <f aca="false">AND('Current Index'!B16,"AAAAAH471yE=")</f>
        <v>#VALUE!</v>
      </c>
      <c r="AI2" s="22" t="e">
        <f aca="false">AND('Current Index'!C16,"AAAAAH471yI=")</f>
        <v>#VALUE!</v>
      </c>
      <c r="AJ2" s="22" t="e">
        <f aca="false">AND('Current Index'!D16,"AAAAAH471yM=")</f>
        <v>#VALUE!</v>
      </c>
      <c r="AK2" s="22" t="e">
        <f aca="false">AND('Current Index'!E16,"AAAAAH471yQ=")</f>
        <v>#VALUE!</v>
      </c>
      <c r="AL2" s="22" t="e">
        <f aca="false">AND('Current Index'!F16,"AAAAAH471yU=")</f>
        <v>#VALUE!</v>
      </c>
      <c r="AM2" s="22" t="e">
        <f aca="false">AND('Current Index'!G16,"AAAAAH471yY=")</f>
        <v>#VALUE!</v>
      </c>
      <c r="AN2" s="22" t="e">
        <f aca="false">AND('Current Index'!H16,"AAAAAH471yc=")</f>
        <v>#VALUE!</v>
      </c>
      <c r="AO2" s="22" t="e">
        <f aca="false">AND('Current Index'!I16,"AAAAAH471yg=")</f>
        <v>#VALUE!</v>
      </c>
      <c r="AP2" s="22" t="n">
        <f aca="false">IF('Current Index'!17:17,"AAAAAH471yk=",0)</f>
        <v>0</v>
      </c>
      <c r="AQ2" s="22" t="e">
        <f aca="false">AND('Current Index'!A17,"AAAAAH471yo=")</f>
        <v>#VALUE!</v>
      </c>
      <c r="AR2" s="22" t="e">
        <f aca="false">AND('current index'!#ref!,"AAAAAH471ys=")</f>
        <v>#VALUE!</v>
      </c>
      <c r="AS2" s="22" t="e">
        <f aca="false">AND('Current Index'!B17,"AAAAAH471yw=")</f>
        <v>#VALUE!</v>
      </c>
      <c r="AT2" s="22" t="e">
        <f aca="false">AND('Current Index'!C17,"AAAAAH471y0=")</f>
        <v>#VALUE!</v>
      </c>
      <c r="AU2" s="22" t="e">
        <f aca="false">AND('Current Index'!D17,"AAAAAH471y4=")</f>
        <v>#VALUE!</v>
      </c>
      <c r="AV2" s="22" t="e">
        <f aca="false">AND('Current Index'!E17,"AAAAAH471y8=")</f>
        <v>#VALUE!</v>
      </c>
      <c r="AW2" s="22" t="e">
        <f aca="false">AND('Current Index'!F17,"AAAAAH471zA=")</f>
        <v>#VALUE!</v>
      </c>
      <c r="AX2" s="22" t="e">
        <f aca="false">AND('Current Index'!G17,"AAAAAH471zE=")</f>
        <v>#VALUE!</v>
      </c>
      <c r="AY2" s="22" t="e">
        <f aca="false">AND('Current Index'!H17,"AAAAAH471zI=")</f>
        <v>#VALUE!</v>
      </c>
      <c r="AZ2" s="22" t="e">
        <f aca="false">AND('Current Index'!I17,"AAAAAH471zM=")</f>
        <v>#VALUE!</v>
      </c>
      <c r="BA2" s="22" t="n">
        <f aca="false">IF('Current Index'!18:18,"AAAAAH471zQ=",0)</f>
        <v>0</v>
      </c>
      <c r="BB2" s="22" t="e">
        <f aca="false">AND('Current Index'!A18,"AAAAAH471zU=")</f>
        <v>#VALUE!</v>
      </c>
      <c r="BC2" s="22" t="e">
        <f aca="false">AND('current index'!#ref!,"AAAAAH471zY=")</f>
        <v>#VALUE!</v>
      </c>
      <c r="BD2" s="22" t="e">
        <f aca="false">AND('Current Index'!B18,"AAAAAH471zc=")</f>
        <v>#VALUE!</v>
      </c>
      <c r="BE2" s="22" t="e">
        <f aca="false">AND('Current Index'!C18,"AAAAAH471zg=")</f>
        <v>#VALUE!</v>
      </c>
      <c r="BF2" s="22" t="e">
        <f aca="false">AND('Current Index'!D18,"AAAAAH471zk=")</f>
        <v>#VALUE!</v>
      </c>
      <c r="BG2" s="22" t="e">
        <f aca="false">AND('Current Index'!E18,"AAAAAH471zo=")</f>
        <v>#VALUE!</v>
      </c>
      <c r="BH2" s="22" t="e">
        <f aca="false">AND('Current Index'!F18,"AAAAAH471zs=")</f>
        <v>#VALUE!</v>
      </c>
      <c r="BI2" s="22" t="e">
        <f aca="false">AND('Current Index'!G18,"AAAAAH471zw=")</f>
        <v>#VALUE!</v>
      </c>
      <c r="BJ2" s="22" t="e">
        <f aca="false">AND('Current Index'!H18,"AAAAAH471z0=")</f>
        <v>#VALUE!</v>
      </c>
      <c r="BK2" s="22" t="e">
        <f aca="false">AND('Current Index'!I18,"AAAAAH471z4=")</f>
        <v>#VALUE!</v>
      </c>
      <c r="BL2" s="22" t="n">
        <f aca="false">IF('Current Index'!19:19,"AAAAAH471z8=",0)</f>
        <v>0</v>
      </c>
      <c r="BM2" s="22" t="e">
        <f aca="false">AND('Current Index'!A19,"AAAAAH4710A=")</f>
        <v>#VALUE!</v>
      </c>
      <c r="BN2" s="22" t="e">
        <f aca="false">AND('current index'!#ref!,"AAAAAH4710E=")</f>
        <v>#VALUE!</v>
      </c>
      <c r="BO2" s="22" t="e">
        <f aca="false">AND('Current Index'!B19,"AAAAAH4710I=")</f>
        <v>#VALUE!</v>
      </c>
      <c r="BP2" s="22" t="e">
        <f aca="false">AND('Current Index'!C19,"AAAAAH4710M=")</f>
        <v>#VALUE!</v>
      </c>
      <c r="BQ2" s="22" t="e">
        <f aca="false">AND('Current Index'!D19,"AAAAAH4710Q=")</f>
        <v>#VALUE!</v>
      </c>
      <c r="BR2" s="22" t="e">
        <f aca="false">AND('Current Index'!E19,"AAAAAH4710U=")</f>
        <v>#VALUE!</v>
      </c>
      <c r="BS2" s="22" t="e">
        <f aca="false">AND('Current Index'!F19,"AAAAAH4710Y=")</f>
        <v>#VALUE!</v>
      </c>
      <c r="BT2" s="22" t="e">
        <f aca="false">AND('Current Index'!G19,"AAAAAH4710c=")</f>
        <v>#VALUE!</v>
      </c>
      <c r="BU2" s="22" t="e">
        <f aca="false">AND('Current Index'!H19,"AAAAAH4710g=")</f>
        <v>#VALUE!</v>
      </c>
      <c r="BV2" s="22" t="e">
        <f aca="false">AND('Current Index'!I19,"AAAAAH4710k=")</f>
        <v>#VALUE!</v>
      </c>
      <c r="BW2" s="22" t="n">
        <f aca="false">IF('Current Index'!21:21,"AAAAAH4710o=",0)</f>
        <v>0</v>
      </c>
      <c r="BX2" s="22" t="e">
        <f aca="false">AND('Current Index'!A21,"AAAAAH4710s=")</f>
        <v>#VALUE!</v>
      </c>
      <c r="BY2" s="22" t="e">
        <f aca="false">AND('current index'!#ref!,"AAAAAH4710w=")</f>
        <v>#VALUE!</v>
      </c>
      <c r="BZ2" s="22" t="e">
        <f aca="false">AND('Current Index'!B21,"AAAAAH47100=")</f>
        <v>#VALUE!</v>
      </c>
      <c r="CA2" s="22" t="e">
        <f aca="false">AND('Current Index'!C21,"AAAAAH47104=")</f>
        <v>#VALUE!</v>
      </c>
      <c r="CB2" s="22" t="e">
        <f aca="false">AND('Current Index'!D21,"AAAAAH47108=")</f>
        <v>#VALUE!</v>
      </c>
      <c r="CC2" s="22" t="e">
        <f aca="false">AND('Current Index'!E21,"AAAAAH4711A=")</f>
        <v>#VALUE!</v>
      </c>
      <c r="CD2" s="22" t="e">
        <f aca="false">AND('Current Index'!F21,"AAAAAH4711E=")</f>
        <v>#VALUE!</v>
      </c>
      <c r="CE2" s="22" t="e">
        <f aca="false">AND('Current Index'!G21,"AAAAAH4711I=")</f>
        <v>#VALUE!</v>
      </c>
      <c r="CF2" s="22" t="e">
        <f aca="false">AND('Current Index'!H21,"AAAAAH4711M=")</f>
        <v>#VALUE!</v>
      </c>
      <c r="CG2" s="22" t="e">
        <f aca="false">AND('Current Index'!I21,"AAAAAH4711Q=")</f>
        <v>#VALUE!</v>
      </c>
      <c r="CH2" s="22" t="n">
        <f aca="false">IF('Current Index'!22:22,"AAAAAH4711U=",0)</f>
        <v>0</v>
      </c>
      <c r="CI2" s="22" t="e">
        <f aca="false">AND('Current Index'!A22,"AAAAAH4711Y=")</f>
        <v>#VALUE!</v>
      </c>
      <c r="CJ2" s="22" t="e">
        <f aca="false">AND('current index'!#ref!,"AAAAAH4711c=")</f>
        <v>#VALUE!</v>
      </c>
      <c r="CK2" s="22" t="e">
        <f aca="false">AND('Current Index'!B22,"AAAAAH4711g=")</f>
        <v>#VALUE!</v>
      </c>
      <c r="CL2" s="22" t="e">
        <f aca="false">AND('Current Index'!C22,"AAAAAH4711k=")</f>
        <v>#VALUE!</v>
      </c>
      <c r="CM2" s="22" t="e">
        <f aca="false">AND('Current Index'!D22,"AAAAAH4711o=")</f>
        <v>#VALUE!</v>
      </c>
      <c r="CN2" s="22" t="e">
        <f aca="false">AND('Current Index'!E22,"AAAAAH4711s=")</f>
        <v>#VALUE!</v>
      </c>
      <c r="CO2" s="22" t="e">
        <f aca="false">AND('Current Index'!F22,"AAAAAH4711w=")</f>
        <v>#VALUE!</v>
      </c>
      <c r="CP2" s="22" t="e">
        <f aca="false">AND('Current Index'!G22,"AAAAAH47110=")</f>
        <v>#VALUE!</v>
      </c>
      <c r="CQ2" s="22" t="e">
        <f aca="false">AND('Current Index'!H22,"AAAAAH47114=")</f>
        <v>#VALUE!</v>
      </c>
      <c r="CR2" s="22" t="e">
        <f aca="false">AND('Current Index'!I22,"AAAAAH47118=")</f>
        <v>#VALUE!</v>
      </c>
      <c r="CS2" s="22" t="n">
        <f aca="false">IF('Current Index'!23:23,"AAAAAH4712A=",0)</f>
        <v>0</v>
      </c>
      <c r="CT2" s="22" t="e">
        <f aca="false">AND('Current Index'!A23,"AAAAAH4712E=")</f>
        <v>#VALUE!</v>
      </c>
      <c r="CU2" s="22" t="e">
        <f aca="false">AND('current index'!#ref!,"AAAAAH4712I=")</f>
        <v>#VALUE!</v>
      </c>
      <c r="CV2" s="22" t="e">
        <f aca="false">AND('Current Index'!B23,"AAAAAH4712M=")</f>
        <v>#VALUE!</v>
      </c>
      <c r="CW2" s="22" t="e">
        <f aca="false">AND('Current Index'!C23,"AAAAAH4712Q=")</f>
        <v>#VALUE!</v>
      </c>
      <c r="CX2" s="22" t="e">
        <f aca="false">AND('Current Index'!D23,"AAAAAH4712U=")</f>
        <v>#VALUE!</v>
      </c>
      <c r="CY2" s="22" t="e">
        <f aca="false">AND('Current Index'!E23,"AAAAAH4712Y=")</f>
        <v>#VALUE!</v>
      </c>
      <c r="CZ2" s="22" t="e">
        <f aca="false">AND('Current Index'!F23,"AAAAAH4712c=")</f>
        <v>#VALUE!</v>
      </c>
      <c r="DA2" s="22" t="e">
        <f aca="false">AND('Current Index'!G23,"AAAAAH4712g=")</f>
        <v>#VALUE!</v>
      </c>
      <c r="DB2" s="22" t="e">
        <f aca="false">AND('Current Index'!H23,"AAAAAH4712k=")</f>
        <v>#VALUE!</v>
      </c>
      <c r="DC2" s="22" t="e">
        <f aca="false">AND('Current Index'!I23,"AAAAAH4712o=")</f>
        <v>#VALUE!</v>
      </c>
      <c r="DD2" s="22" t="n">
        <f aca="false">IF('Current Index'!24:24,"AAAAAH4712s=",0)</f>
        <v>0</v>
      </c>
      <c r="DE2" s="22" t="e">
        <f aca="false">AND('Current Index'!A24,"AAAAAH4712w=")</f>
        <v>#VALUE!</v>
      </c>
      <c r="DF2" s="22" t="e">
        <f aca="false">AND('current index'!#ref!,"AAAAAH47120=")</f>
        <v>#VALUE!</v>
      </c>
      <c r="DG2" s="22" t="e">
        <f aca="false">AND('Current Index'!B24,"AAAAAH47124=")</f>
        <v>#VALUE!</v>
      </c>
      <c r="DH2" s="22" t="e">
        <f aca="false">AND('Current Index'!C24,"AAAAAH47128=")</f>
        <v>#VALUE!</v>
      </c>
      <c r="DI2" s="22" t="e">
        <f aca="false">AND('Current Index'!D24,"AAAAAH4713A=")</f>
        <v>#VALUE!</v>
      </c>
      <c r="DJ2" s="22" t="e">
        <f aca="false">AND('Current Index'!E24,"AAAAAH4713E=")</f>
        <v>#VALUE!</v>
      </c>
      <c r="DK2" s="22" t="e">
        <f aca="false">AND('Current Index'!F24,"AAAAAH4713I=")</f>
        <v>#VALUE!</v>
      </c>
      <c r="DL2" s="22" t="e">
        <f aca="false">AND('Current Index'!G24,"AAAAAH4713M=")</f>
        <v>#VALUE!</v>
      </c>
      <c r="DM2" s="22" t="e">
        <f aca="false">AND('Current Index'!H24,"AAAAAH4713Q=")</f>
        <v>#VALUE!</v>
      </c>
      <c r="DN2" s="22" t="e">
        <f aca="false">AND('Current Index'!I24,"AAAAAH4713U=")</f>
        <v>#VALUE!</v>
      </c>
      <c r="DO2" s="22" t="n">
        <f aca="false">IF('Current Index'!25:25,"AAAAAH4713Y=",0)</f>
        <v>0</v>
      </c>
      <c r="DP2" s="22" t="e">
        <f aca="false">AND('Current Index'!A25,"AAAAAH4713c=")</f>
        <v>#VALUE!</v>
      </c>
      <c r="DQ2" s="22" t="e">
        <f aca="false">AND('current index'!#ref!,"AAAAAH4713g=")</f>
        <v>#VALUE!</v>
      </c>
      <c r="DR2" s="22" t="e">
        <f aca="false">AND('Current Index'!B25,"AAAAAH4713k=")</f>
        <v>#VALUE!</v>
      </c>
      <c r="DS2" s="22" t="e">
        <f aca="false">AND('Current Index'!C25,"AAAAAH4713o=")</f>
        <v>#VALUE!</v>
      </c>
      <c r="DT2" s="22" t="e">
        <f aca="false">AND('Current Index'!D25,"AAAAAH4713s=")</f>
        <v>#VALUE!</v>
      </c>
      <c r="DU2" s="22" t="e">
        <f aca="false">AND('Current Index'!E25,"AAAAAH4713w=")</f>
        <v>#VALUE!</v>
      </c>
      <c r="DV2" s="22" t="e">
        <f aca="false">AND('Current Index'!F25,"AAAAAH47130=")</f>
        <v>#VALUE!</v>
      </c>
      <c r="DW2" s="22" t="e">
        <f aca="false">AND('Current Index'!G25,"AAAAAH47134=")</f>
        <v>#VALUE!</v>
      </c>
      <c r="DX2" s="22" t="e">
        <f aca="false">AND('Current Index'!H25,"AAAAAH47138=")</f>
        <v>#VALUE!</v>
      </c>
      <c r="DY2" s="22" t="e">
        <f aca="false">AND('Current Index'!I25,"AAAAAH4714A=")</f>
        <v>#VALUE!</v>
      </c>
      <c r="DZ2" s="22" t="n">
        <f aca="false">IF('Current Index'!26:26,"AAAAAH4714E=",0)</f>
        <v>0</v>
      </c>
      <c r="EA2" s="22" t="e">
        <f aca="false">AND('Current Index'!A26,"AAAAAH4714I=")</f>
        <v>#VALUE!</v>
      </c>
      <c r="EB2" s="22" t="e">
        <f aca="false">AND('current index'!#ref!,"AAAAAH4714M=")</f>
        <v>#VALUE!</v>
      </c>
      <c r="EC2" s="22" t="e">
        <f aca="false">AND('Current Index'!B26,"AAAAAH4714Q=")</f>
        <v>#VALUE!</v>
      </c>
      <c r="ED2" s="22" t="e">
        <f aca="false">AND('Current Index'!C26,"AAAAAH4714U=")</f>
        <v>#VALUE!</v>
      </c>
      <c r="EE2" s="22" t="e">
        <f aca="false">AND('Current Index'!D26,"AAAAAH4714Y=")</f>
        <v>#VALUE!</v>
      </c>
      <c r="EF2" s="22" t="e">
        <f aca="false">AND('Current Index'!E26,"AAAAAH4714c=")</f>
        <v>#VALUE!</v>
      </c>
      <c r="EG2" s="22" t="e">
        <f aca="false">AND('Current Index'!F26,"AAAAAH4714g=")</f>
        <v>#VALUE!</v>
      </c>
      <c r="EH2" s="22" t="e">
        <f aca="false">AND('Current Index'!G26,"AAAAAH4714k=")</f>
        <v>#VALUE!</v>
      </c>
      <c r="EI2" s="22" t="e">
        <f aca="false">AND('Current Index'!H26,"AAAAAH4714o=")</f>
        <v>#VALUE!</v>
      </c>
      <c r="EJ2" s="22" t="e">
        <f aca="false">AND('Current Index'!I26,"AAAAAH4714s=")</f>
        <v>#VALUE!</v>
      </c>
      <c r="EK2" s="22" t="n">
        <f aca="false">IF('Current Index'!27:27,"AAAAAH4714w=",0)</f>
        <v>0</v>
      </c>
      <c r="EL2" s="22" t="e">
        <f aca="false">AND('Current Index'!A27,"AAAAAH47140=")</f>
        <v>#VALUE!</v>
      </c>
      <c r="EM2" s="22" t="e">
        <f aca="false">AND('current index'!#ref!,"AAAAAH47144=")</f>
        <v>#VALUE!</v>
      </c>
      <c r="EN2" s="22" t="e">
        <f aca="false">AND('Current Index'!B27,"AAAAAH47148=")</f>
        <v>#VALUE!</v>
      </c>
      <c r="EO2" s="22" t="e">
        <f aca="false">AND('Current Index'!C27,"AAAAAH4715A=")</f>
        <v>#VALUE!</v>
      </c>
      <c r="EP2" s="22" t="e">
        <f aca="false">AND('Current Index'!D27,"AAAAAH4715E=")</f>
        <v>#VALUE!</v>
      </c>
      <c r="EQ2" s="22" t="e">
        <f aca="false">AND('Current Index'!E27,"AAAAAH4715I=")</f>
        <v>#VALUE!</v>
      </c>
      <c r="ER2" s="22" t="e">
        <f aca="false">AND('Current Index'!F27,"AAAAAH4715M=")</f>
        <v>#VALUE!</v>
      </c>
      <c r="ES2" s="22" t="e">
        <f aca="false">AND('Current Index'!G27,"AAAAAH4715Q=")</f>
        <v>#VALUE!</v>
      </c>
      <c r="ET2" s="22" t="e">
        <f aca="false">AND('Current Index'!H27,"AAAAAH4715U=")</f>
        <v>#VALUE!</v>
      </c>
      <c r="EU2" s="22" t="e">
        <f aca="false">AND('Current Index'!I27,"AAAAAH4715Y=")</f>
        <v>#VALUE!</v>
      </c>
      <c r="EV2" s="22" t="n">
        <f aca="false">IF('Current Index'!28:28,"AAAAAH4715c=",0)</f>
        <v>0</v>
      </c>
      <c r="EW2" s="22" t="e">
        <f aca="false">AND('Current Index'!A28,"AAAAAH4715g=")</f>
        <v>#VALUE!</v>
      </c>
      <c r="EX2" s="22" t="e">
        <f aca="false">AND('current index'!#ref!,"AAAAAH4715k=")</f>
        <v>#VALUE!</v>
      </c>
      <c r="EY2" s="22" t="e">
        <f aca="false">AND('Current Index'!B28,"AAAAAH4715o=")</f>
        <v>#VALUE!</v>
      </c>
      <c r="EZ2" s="22" t="e">
        <f aca="false">AND('Current Index'!C28,"AAAAAH4715s=")</f>
        <v>#VALUE!</v>
      </c>
      <c r="FA2" s="22" t="e">
        <f aca="false">AND('Current Index'!D28,"AAAAAH4715w=")</f>
        <v>#VALUE!</v>
      </c>
      <c r="FB2" s="22" t="e">
        <f aca="false">AND('Current Index'!E28,"AAAAAH47150=")</f>
        <v>#VALUE!</v>
      </c>
      <c r="FC2" s="22" t="e">
        <f aca="false">AND('Current Index'!F28,"AAAAAH47154=")</f>
        <v>#VALUE!</v>
      </c>
      <c r="FD2" s="22" t="e">
        <f aca="false">AND('Current Index'!G28,"AAAAAH47158=")</f>
        <v>#VALUE!</v>
      </c>
      <c r="FE2" s="22" t="e">
        <f aca="false">AND('Current Index'!H28,"AAAAAH4716A=")</f>
        <v>#VALUE!</v>
      </c>
      <c r="FF2" s="22" t="e">
        <f aca="false">AND('Current Index'!I28,"AAAAAH4716E=")</f>
        <v>#VALUE!</v>
      </c>
      <c r="FG2" s="22" t="n">
        <f aca="false">IF('Current Index'!29:29,"AAAAAH4716I=",0)</f>
        <v>0</v>
      </c>
      <c r="FH2" s="22" t="e">
        <f aca="false">AND('Current Index'!A29,"AAAAAH4716M=")</f>
        <v>#VALUE!</v>
      </c>
      <c r="FI2" s="22" t="e">
        <f aca="false">AND('current index'!#ref!,"AAAAAH4716Q=")</f>
        <v>#VALUE!</v>
      </c>
      <c r="FJ2" s="22" t="e">
        <f aca="false">AND('Current Index'!B29,"AAAAAH4716U=")</f>
        <v>#VALUE!</v>
      </c>
      <c r="FK2" s="22" t="e">
        <f aca="false">AND('Current Index'!C29,"AAAAAH4716Y=")</f>
        <v>#VALUE!</v>
      </c>
      <c r="FL2" s="22" t="e">
        <f aca="false">AND('Current Index'!D29,"AAAAAH4716c=")</f>
        <v>#VALUE!</v>
      </c>
      <c r="FM2" s="22" t="e">
        <f aca="false">AND('Current Index'!E29,"AAAAAH4716g=")</f>
        <v>#VALUE!</v>
      </c>
      <c r="FN2" s="22" t="e">
        <f aca="false">AND('Current Index'!F29,"AAAAAH4716k=")</f>
        <v>#VALUE!</v>
      </c>
      <c r="FO2" s="22" t="e">
        <f aca="false">AND('Current Index'!G29,"AAAAAH4716o=")</f>
        <v>#VALUE!</v>
      </c>
      <c r="FP2" s="22" t="e">
        <f aca="false">AND('Current Index'!H29,"AAAAAH4716s=")</f>
        <v>#VALUE!</v>
      </c>
      <c r="FQ2" s="22" t="e">
        <f aca="false">AND('Current Index'!I29,"AAAAAH4716w=")</f>
        <v>#VALUE!</v>
      </c>
      <c r="FR2" s="22" t="n">
        <f aca="false">IF('Current Index'!30:30,"AAAAAH47160=",0)</f>
        <v>0</v>
      </c>
      <c r="FS2" s="22" t="e">
        <f aca="false">AND('Current Index'!A30,"AAAAAH47164=")</f>
        <v>#VALUE!</v>
      </c>
      <c r="FT2" s="22" t="e">
        <f aca="false">AND('current index'!#ref!,"AAAAAH47168=")</f>
        <v>#VALUE!</v>
      </c>
      <c r="FU2" s="22" t="e">
        <f aca="false">AND('Current Index'!B30,"AAAAAH4717A=")</f>
        <v>#VALUE!</v>
      </c>
      <c r="FV2" s="22" t="e">
        <f aca="false">AND('Current Index'!C30,"AAAAAH4717E=")</f>
        <v>#VALUE!</v>
      </c>
      <c r="FW2" s="22" t="e">
        <f aca="false">AND('Current Index'!D30,"AAAAAH4717I=")</f>
        <v>#VALUE!</v>
      </c>
      <c r="FX2" s="22" t="e">
        <f aca="false">AND('Current Index'!E30,"AAAAAH4717M=")</f>
        <v>#VALUE!</v>
      </c>
      <c r="FY2" s="22" t="e">
        <f aca="false">AND('Current Index'!F30,"AAAAAH4717Q=")</f>
        <v>#VALUE!</v>
      </c>
      <c r="FZ2" s="22" t="e">
        <f aca="false">AND('Current Index'!G30,"AAAAAH4717U=")</f>
        <v>#VALUE!</v>
      </c>
      <c r="GA2" s="22" t="e">
        <f aca="false">AND('Current Index'!H30,"AAAAAH4717Y=")</f>
        <v>#VALUE!</v>
      </c>
      <c r="GB2" s="22" t="e">
        <f aca="false">AND('Current Index'!I30,"AAAAAH4717c=")</f>
        <v>#VALUE!</v>
      </c>
      <c r="GC2" s="22" t="n">
        <f aca="false">IF('Current Index'!31:31,"AAAAAH4717g=",0)</f>
        <v>0</v>
      </c>
      <c r="GD2" s="22" t="e">
        <f aca="false">AND('Current Index'!A31,"AAAAAH4717k=")</f>
        <v>#VALUE!</v>
      </c>
      <c r="GE2" s="22" t="e">
        <f aca="false">AND('current index'!#ref!,"AAAAAH4717o=")</f>
        <v>#VALUE!</v>
      </c>
      <c r="GF2" s="22" t="e">
        <f aca="false">AND('Current Index'!B31,"AAAAAH4717s=")</f>
        <v>#VALUE!</v>
      </c>
      <c r="GG2" s="22" t="e">
        <f aca="false">AND('Current Index'!C31,"AAAAAH4717w=")</f>
        <v>#VALUE!</v>
      </c>
      <c r="GH2" s="22" t="e">
        <f aca="false">AND('Current Index'!D31,"AAAAAH47170=")</f>
        <v>#VALUE!</v>
      </c>
      <c r="GI2" s="22" t="e">
        <f aca="false">AND('Current Index'!E31,"AAAAAH47174=")</f>
        <v>#VALUE!</v>
      </c>
      <c r="GJ2" s="22" t="e">
        <f aca="false">AND('Current Index'!F31,"AAAAAH47178=")</f>
        <v>#VALUE!</v>
      </c>
      <c r="GK2" s="22" t="e">
        <f aca="false">AND('Current Index'!G31,"AAAAAH4718A=")</f>
        <v>#VALUE!</v>
      </c>
      <c r="GL2" s="22" t="e">
        <f aca="false">AND('Current Index'!H31,"AAAAAH4718E=")</f>
        <v>#VALUE!</v>
      </c>
      <c r="GM2" s="22" t="e">
        <f aca="false">AND('Current Index'!I31,"AAAAAH4718I=")</f>
        <v>#VALUE!</v>
      </c>
      <c r="GN2" s="22" t="n">
        <f aca="false">IF('Current Index'!32:32,"AAAAAH4718M=",0)</f>
        <v>0</v>
      </c>
      <c r="GO2" s="22" t="e">
        <f aca="false">AND('Current Index'!A32,"AAAAAH4718Q=")</f>
        <v>#VALUE!</v>
      </c>
      <c r="GP2" s="22" t="e">
        <f aca="false">AND('current index'!#ref!,"AAAAAH4718U=")</f>
        <v>#VALUE!</v>
      </c>
      <c r="GQ2" s="22" t="e">
        <f aca="false">AND('Current Index'!B32,"AAAAAH4718Y=")</f>
        <v>#VALUE!</v>
      </c>
      <c r="GR2" s="22" t="e">
        <f aca="false">AND('Current Index'!C32,"AAAAAH4718c=")</f>
        <v>#VALUE!</v>
      </c>
      <c r="GS2" s="22" t="e">
        <f aca="false">AND('Current Index'!D32,"AAAAAH4718g=")</f>
        <v>#VALUE!</v>
      </c>
      <c r="GT2" s="22" t="e">
        <f aca="false">AND('Current Index'!E32,"AAAAAH4718k=")</f>
        <v>#VALUE!</v>
      </c>
      <c r="GU2" s="22" t="e">
        <f aca="false">AND('Current Index'!F32,"AAAAAH4718o=")</f>
        <v>#VALUE!</v>
      </c>
      <c r="GV2" s="22" t="e">
        <f aca="false">AND('Current Index'!G32,"AAAAAH4718s=")</f>
        <v>#VALUE!</v>
      </c>
      <c r="GW2" s="22" t="e">
        <f aca="false">AND('Current Index'!H32,"AAAAAH4718w=")</f>
        <v>#VALUE!</v>
      </c>
      <c r="GX2" s="22" t="e">
        <f aca="false">AND('Current Index'!I32,"AAAAAH47180=")</f>
        <v>#VALUE!</v>
      </c>
      <c r="GY2" s="22" t="n">
        <f aca="false">IF('Current Index'!33:33,"AAAAAH47184=",0)</f>
        <v>0</v>
      </c>
      <c r="GZ2" s="22" t="e">
        <f aca="false">AND('Current Index'!A33,"AAAAAH47188=")</f>
        <v>#VALUE!</v>
      </c>
      <c r="HA2" s="22" t="e">
        <f aca="false">AND('current index'!#ref!,"AAAAAH4719A=")</f>
        <v>#VALUE!</v>
      </c>
      <c r="HB2" s="22" t="e">
        <f aca="false">AND('Current Index'!B33,"AAAAAH4719E=")</f>
        <v>#VALUE!</v>
      </c>
      <c r="HC2" s="22" t="e">
        <f aca="false">AND('Current Index'!C33,"AAAAAH4719I=")</f>
        <v>#VALUE!</v>
      </c>
      <c r="HD2" s="22" t="e">
        <f aca="false">AND('Current Index'!D33,"AAAAAH4719M=")</f>
        <v>#VALUE!</v>
      </c>
      <c r="HE2" s="22" t="e">
        <f aca="false">AND('Current Index'!E33,"AAAAAH4719Q=")</f>
        <v>#VALUE!</v>
      </c>
      <c r="HF2" s="22" t="e">
        <f aca="false">AND('Current Index'!F33,"AAAAAH4719U=")</f>
        <v>#VALUE!</v>
      </c>
      <c r="HG2" s="22" t="e">
        <f aca="false">AND('Current Index'!G33,"AAAAAH4719Y=")</f>
        <v>#VALUE!</v>
      </c>
      <c r="HH2" s="22" t="e">
        <f aca="false">AND('Current Index'!H33,"AAAAAH4719c=")</f>
        <v>#VALUE!</v>
      </c>
      <c r="HI2" s="22" t="e">
        <f aca="false">AND('Current Index'!I33,"AAAAAH4719g=")</f>
        <v>#VALUE!</v>
      </c>
      <c r="HJ2" s="22" t="n">
        <f aca="false">IF('Current Index'!34:34,"AAAAAH4719k=",0)</f>
        <v>0</v>
      </c>
      <c r="HK2" s="22" t="e">
        <f aca="false">AND('Current Index'!A34,"AAAAAH4719o=")</f>
        <v>#VALUE!</v>
      </c>
      <c r="HL2" s="22" t="e">
        <f aca="false">AND('current index'!#ref!,"AAAAAH4719s=")</f>
        <v>#VALUE!</v>
      </c>
      <c r="HM2" s="22" t="e">
        <f aca="false">AND('Current Index'!B34,"AAAAAH4719w=")</f>
        <v>#VALUE!</v>
      </c>
      <c r="HN2" s="22" t="e">
        <f aca="false">AND('Current Index'!C34,"AAAAAH47190=")</f>
        <v>#VALUE!</v>
      </c>
      <c r="HO2" s="22" t="e">
        <f aca="false">AND('Current Index'!D34,"AAAAAH47194=")</f>
        <v>#VALUE!</v>
      </c>
      <c r="HP2" s="22" t="e">
        <f aca="false">AND('Current Index'!E34,"AAAAAH47198=")</f>
        <v>#VALUE!</v>
      </c>
      <c r="HQ2" s="22" t="e">
        <f aca="false">AND('Current Index'!F34,"AAAAAH471+A=")</f>
        <v>#VALUE!</v>
      </c>
      <c r="HR2" s="22" t="e">
        <f aca="false">AND('Current Index'!G34,"AAAAAH471+E=")</f>
        <v>#VALUE!</v>
      </c>
      <c r="HS2" s="22" t="e">
        <f aca="false">AND('Current Index'!H34,"AAAAAH471+I=")</f>
        <v>#VALUE!</v>
      </c>
      <c r="HT2" s="22" t="e">
        <f aca="false">AND('Current Index'!I34,"AAAAAH471+M=")</f>
        <v>#VALUE!</v>
      </c>
      <c r="HU2" s="22" t="n">
        <f aca="false">IF('Current Index'!35:35,"AAAAAH471+Q=",0)</f>
        <v>0</v>
      </c>
      <c r="HV2" s="22" t="e">
        <f aca="false">AND('Current Index'!A35,"AAAAAH471+U=")</f>
        <v>#VALUE!</v>
      </c>
      <c r="HW2" s="22" t="e">
        <f aca="false">AND('current index'!#ref!,"AAAAAH471+Y=")</f>
        <v>#VALUE!</v>
      </c>
      <c r="HX2" s="22" t="e">
        <f aca="false">AND('Current Index'!B35,"AAAAAH471+c=")</f>
        <v>#VALUE!</v>
      </c>
      <c r="HY2" s="22" t="e">
        <f aca="false">AND('Current Index'!C35,"AAAAAH471+g=")</f>
        <v>#VALUE!</v>
      </c>
      <c r="HZ2" s="22" t="e">
        <f aca="false">AND('Current Index'!D35,"AAAAAH471+k=")</f>
        <v>#VALUE!</v>
      </c>
      <c r="IA2" s="22" t="e">
        <f aca="false">AND('Current Index'!E35,"AAAAAH471+o=")</f>
        <v>#VALUE!</v>
      </c>
      <c r="IB2" s="22" t="e">
        <f aca="false">AND('Current Index'!F35,"AAAAAH471+s=")</f>
        <v>#VALUE!</v>
      </c>
      <c r="IC2" s="22" t="e">
        <f aca="false">AND('Current Index'!G35,"AAAAAH471+w=")</f>
        <v>#VALUE!</v>
      </c>
      <c r="ID2" s="22" t="e">
        <f aca="false">AND('Current Index'!H35,"AAAAAH471+0=")</f>
        <v>#VALUE!</v>
      </c>
      <c r="IE2" s="22" t="e">
        <f aca="false">AND('Current Index'!I35,"AAAAAH471+4=")</f>
        <v>#VALUE!</v>
      </c>
      <c r="IF2" s="22" t="n">
        <f aca="false">IF('Current Index'!36:36,"AAAAAH471+8=",0)</f>
        <v>0</v>
      </c>
      <c r="IG2" s="22" t="e">
        <f aca="false">AND('Current Index'!A36,"AAAAAH471/A=")</f>
        <v>#VALUE!</v>
      </c>
      <c r="IH2" s="22" t="e">
        <f aca="false">AND('current index'!#ref!,"AAAAAH471/E=")</f>
        <v>#VALUE!</v>
      </c>
      <c r="II2" s="22" t="e">
        <f aca="false">AND('Current Index'!B36,"AAAAAH471/I=")</f>
        <v>#VALUE!</v>
      </c>
      <c r="IJ2" s="22" t="e">
        <f aca="false">AND('Current Index'!C36,"AAAAAH471/M=")</f>
        <v>#VALUE!</v>
      </c>
      <c r="IK2" s="22" t="e">
        <f aca="false">AND('Current Index'!D36,"AAAAAH471/Q=")</f>
        <v>#VALUE!</v>
      </c>
      <c r="IL2" s="22" t="e">
        <f aca="false">AND('Current Index'!E36,"AAAAAH471/U=")</f>
        <v>#VALUE!</v>
      </c>
      <c r="IM2" s="22" t="e">
        <f aca="false">AND('Current Index'!F36,"AAAAAH471/Y=")</f>
        <v>#VALUE!</v>
      </c>
      <c r="IN2" s="22" t="e">
        <f aca="false">AND('Current Index'!G36,"AAAAAH471/c=")</f>
        <v>#VALUE!</v>
      </c>
      <c r="IO2" s="22" t="e">
        <f aca="false">AND('Current Index'!H36,"AAAAAH471/g=")</f>
        <v>#VALUE!</v>
      </c>
      <c r="IP2" s="22" t="e">
        <f aca="false">AND('Current Index'!I36,"AAAAAH471/k=")</f>
        <v>#VALUE!</v>
      </c>
      <c r="IQ2" s="22" t="n">
        <f aca="false">IF('Current Index'!37:37,"AAAAAH471/o=",0)</f>
        <v>0</v>
      </c>
      <c r="IR2" s="22" t="e">
        <f aca="false">AND('Current Index'!A37,"AAAAAH471/s=")</f>
        <v>#VALUE!</v>
      </c>
      <c r="IS2" s="22" t="e">
        <f aca="false">AND('current index'!#ref!,"AAAAAH471/w=")</f>
        <v>#VALUE!</v>
      </c>
      <c r="IT2" s="22" t="e">
        <f aca="false">AND('Current Index'!B37,"AAAAAH471/0=")</f>
        <v>#VALUE!</v>
      </c>
      <c r="IU2" s="22" t="e">
        <f aca="false">AND('Current Index'!C37,"AAAAAH471/4=")</f>
        <v>#VALUE!</v>
      </c>
      <c r="IV2" s="22" t="e">
        <f aca="false">AND('Current Index'!D37,"AAAAAH471/8=")</f>
        <v>#VALUE!</v>
      </c>
    </row>
    <row r="3" customFormat="false" ht="12.75" hidden="false" customHeight="false" outlineLevel="0" collapsed="false">
      <c r="A3" s="22" t="e">
        <f aca="false">AND('Current Index'!E37,"AAAAAH9ufAA=")</f>
        <v>#VALUE!</v>
      </c>
      <c r="B3" s="22" t="e">
        <f aca="false">AND('Current Index'!F37,"AAAAAH9ufAE=")</f>
        <v>#VALUE!</v>
      </c>
      <c r="C3" s="22" t="e">
        <f aca="false">AND('Current Index'!G37,"AAAAAH9ufAI=")</f>
        <v>#VALUE!</v>
      </c>
      <c r="D3" s="22" t="e">
        <f aca="false">AND('Current Index'!H37,"AAAAAH9ufAM=")</f>
        <v>#VALUE!</v>
      </c>
      <c r="E3" s="22" t="e">
        <f aca="false">AND('Current Index'!I37,"AAAAAH9ufAQ=")</f>
        <v>#VALUE!</v>
      </c>
      <c r="F3" s="22" t="str">
        <f aca="false">IF('Current Index'!38:38,"AAAAAH9ufAU=",0)</f>
        <v>AAAAAH9ufAU=</v>
      </c>
      <c r="G3" s="22" t="e">
        <f aca="false">AND('Current Index'!A38,"AAAAAH9ufAY=")</f>
        <v>#VALUE!</v>
      </c>
      <c r="H3" s="22" t="e">
        <f aca="false">AND('current index'!#ref!,"AAAAAH9ufAc=")</f>
        <v>#VALUE!</v>
      </c>
      <c r="I3" s="22" t="e">
        <f aca="false">AND('Current Index'!B38,"AAAAAH9ufAg=")</f>
        <v>#VALUE!</v>
      </c>
      <c r="J3" s="22" t="e">
        <f aca="false">AND('Current Index'!C38,"AAAAAH9ufAk=")</f>
        <v>#VALUE!</v>
      </c>
      <c r="K3" s="22" t="e">
        <f aca="false">AND('Current Index'!D38,"AAAAAH9ufAo=")</f>
        <v>#VALUE!</v>
      </c>
      <c r="L3" s="22" t="e">
        <f aca="false">AND('Current Index'!E38,"AAAAAH9ufAs=")</f>
        <v>#VALUE!</v>
      </c>
      <c r="M3" s="22" t="e">
        <f aca="false">AND('Current Index'!F38,"AAAAAH9ufAw=")</f>
        <v>#VALUE!</v>
      </c>
      <c r="N3" s="22" t="e">
        <f aca="false">AND('Current Index'!G38,"AAAAAH9ufA0=")</f>
        <v>#VALUE!</v>
      </c>
      <c r="O3" s="22" t="e">
        <f aca="false">AND('Current Index'!H38,"AAAAAH9ufA4=")</f>
        <v>#VALUE!</v>
      </c>
      <c r="P3" s="22" t="e">
        <f aca="false">AND('Current Index'!I38,"AAAAAH9ufA8=")</f>
        <v>#VALUE!</v>
      </c>
      <c r="Q3" s="22" t="n">
        <f aca="false">IF('Current Index'!39:39,"AAAAAH9ufBA=",0)</f>
        <v>0</v>
      </c>
      <c r="R3" s="22" t="e">
        <f aca="false">AND('Current Index'!A39,"AAAAAH9ufBE=")</f>
        <v>#VALUE!</v>
      </c>
      <c r="S3" s="22" t="e">
        <f aca="false">AND('current index'!#ref!,"AAAAAH9ufBI=")</f>
        <v>#VALUE!</v>
      </c>
      <c r="T3" s="22" t="e">
        <f aca="false">AND('Current Index'!B39,"AAAAAH9ufBM=")</f>
        <v>#VALUE!</v>
      </c>
      <c r="U3" s="22" t="e">
        <f aca="false">AND('Current Index'!C39,"AAAAAH9ufBQ=")</f>
        <v>#VALUE!</v>
      </c>
      <c r="V3" s="22" t="e">
        <f aca="false">AND('Current Index'!D39,"AAAAAH9ufBU=")</f>
        <v>#VALUE!</v>
      </c>
      <c r="W3" s="22" t="e">
        <f aca="false">AND('Current Index'!E39,"AAAAAH9ufBY=")</f>
        <v>#VALUE!</v>
      </c>
      <c r="X3" s="22" t="e">
        <f aca="false">AND('Current Index'!F39,"AAAAAH9ufBc=")</f>
        <v>#VALUE!</v>
      </c>
      <c r="Y3" s="22" t="e">
        <f aca="false">AND('Current Index'!G39,"AAAAAH9ufBg=")</f>
        <v>#VALUE!</v>
      </c>
      <c r="Z3" s="22" t="e">
        <f aca="false">AND('Current Index'!H39,"AAAAAH9ufBk=")</f>
        <v>#VALUE!</v>
      </c>
      <c r="AA3" s="22" t="e">
        <f aca="false">AND('Current Index'!I39,"AAAAAH9ufBo=")</f>
        <v>#VALUE!</v>
      </c>
      <c r="AB3" s="22" t="n">
        <f aca="false">IF('Current Index'!40:40,"AAAAAH9ufBs=",0)</f>
        <v>0</v>
      </c>
      <c r="AC3" s="22" t="e">
        <f aca="false">AND('Current Index'!A40,"AAAAAH9ufBw=")</f>
        <v>#VALUE!</v>
      </c>
      <c r="AD3" s="22" t="e">
        <f aca="false">AND('current index'!#ref!,"AAAAAH9ufB0=")</f>
        <v>#VALUE!</v>
      </c>
      <c r="AE3" s="22" t="e">
        <f aca="false">AND('Current Index'!B40,"AAAAAH9ufB4=")</f>
        <v>#VALUE!</v>
      </c>
      <c r="AF3" s="22" t="e">
        <f aca="false">AND('Current Index'!C40,"AAAAAH9ufB8=")</f>
        <v>#VALUE!</v>
      </c>
      <c r="AG3" s="22" t="e">
        <f aca="false">AND('Current Index'!D40,"AAAAAH9ufCA=")</f>
        <v>#VALUE!</v>
      </c>
      <c r="AH3" s="22" t="e">
        <f aca="false">AND('Current Index'!E40,"AAAAAH9ufCE=")</f>
        <v>#VALUE!</v>
      </c>
      <c r="AI3" s="22" t="e">
        <f aca="false">AND('Current Index'!F40,"AAAAAH9ufCI=")</f>
        <v>#VALUE!</v>
      </c>
      <c r="AJ3" s="22" t="e">
        <f aca="false">AND('Current Index'!G40,"AAAAAH9ufCM=")</f>
        <v>#VALUE!</v>
      </c>
      <c r="AK3" s="22" t="e">
        <f aca="false">AND('Current Index'!H40,"AAAAAH9ufCQ=")</f>
        <v>#VALUE!</v>
      </c>
      <c r="AL3" s="22" t="e">
        <f aca="false">AND('Current Index'!I40,"AAAAAH9ufCU=")</f>
        <v>#VALUE!</v>
      </c>
      <c r="AM3" s="22" t="n">
        <f aca="false">IF('Current Index'!41:41,"AAAAAH9ufCY=",0)</f>
        <v>0</v>
      </c>
      <c r="AN3" s="22" t="e">
        <f aca="false">AND('Current Index'!A41,"AAAAAH9ufCc=")</f>
        <v>#VALUE!</v>
      </c>
      <c r="AO3" s="22" t="e">
        <f aca="false">AND('current index'!#ref!,"AAAAAH9ufCg=")</f>
        <v>#VALUE!</v>
      </c>
      <c r="AP3" s="22" t="e">
        <f aca="false">AND('Current Index'!B41,"AAAAAH9ufCk=")</f>
        <v>#VALUE!</v>
      </c>
      <c r="AQ3" s="22" t="e">
        <f aca="false">AND('Current Index'!C41,"AAAAAH9ufCo=")</f>
        <v>#VALUE!</v>
      </c>
      <c r="AR3" s="22" t="e">
        <f aca="false">AND('Current Index'!D41,"AAAAAH9ufCs=")</f>
        <v>#VALUE!</v>
      </c>
      <c r="AS3" s="22" t="e">
        <f aca="false">AND('Current Index'!E41,"AAAAAH9ufCw=")</f>
        <v>#VALUE!</v>
      </c>
      <c r="AT3" s="22" t="e">
        <f aca="false">AND('Current Index'!F41,"AAAAAH9ufC0=")</f>
        <v>#VALUE!</v>
      </c>
      <c r="AU3" s="22" t="e">
        <f aca="false">AND('Current Index'!G41,"AAAAAH9ufC4=")</f>
        <v>#VALUE!</v>
      </c>
      <c r="AV3" s="22" t="e">
        <f aca="false">AND('Current Index'!H41,"AAAAAH9ufC8=")</f>
        <v>#VALUE!</v>
      </c>
      <c r="AW3" s="22" t="e">
        <f aca="false">AND('Current Index'!I41,"AAAAAH9ufDA=")</f>
        <v>#VALUE!</v>
      </c>
      <c r="AX3" s="22" t="e">
        <f aca="false">IF('current index'!#ref!,"AAAAAH9ufDE=",0)</f>
        <v>#VALUE!</v>
      </c>
      <c r="AY3" s="22" t="e">
        <f aca="false">AND('current index'!#ref!,"AAAAAH9ufDI=")</f>
        <v>#VALUE!</v>
      </c>
      <c r="AZ3" s="22" t="e">
        <f aca="false">AND('current index'!#ref!,"AAAAAH9ufDM=")</f>
        <v>#VALUE!</v>
      </c>
      <c r="BA3" s="22" t="e">
        <f aca="false">AND('current index'!#ref!,"AAAAAH9ufDQ=")</f>
        <v>#VALUE!</v>
      </c>
      <c r="BB3" s="22" t="e">
        <f aca="false">AND('current index'!#ref!,"AAAAAH9ufDU=")</f>
        <v>#VALUE!</v>
      </c>
      <c r="BC3" s="22" t="e">
        <f aca="false">AND('current index'!#ref!,"AAAAAH9ufDY=")</f>
        <v>#VALUE!</v>
      </c>
      <c r="BD3" s="22" t="e">
        <f aca="false">AND('current index'!#ref!,"AAAAAH9ufDc=")</f>
        <v>#VALUE!</v>
      </c>
      <c r="BE3" s="22" t="e">
        <f aca="false">AND('current index'!#ref!,"AAAAAH9ufDg=")</f>
        <v>#VALUE!</v>
      </c>
      <c r="BF3" s="22" t="e">
        <f aca="false">AND('current index'!#ref!,"AAAAAH9ufDk=")</f>
        <v>#VALUE!</v>
      </c>
      <c r="BG3" s="22" t="e">
        <f aca="false">AND('current index'!#ref!,"AAAAAH9ufDo=")</f>
        <v>#VALUE!</v>
      </c>
      <c r="BH3" s="22" t="e">
        <f aca="false">AND('current index'!#ref!,"AAAAAH9ufDs=")</f>
        <v>#VALUE!</v>
      </c>
      <c r="BI3" s="22" t="n">
        <f aca="false">IF('Current Index'!42:42,"AAAAAH9ufDw=",0)</f>
        <v>0</v>
      </c>
      <c r="BJ3" s="22" t="e">
        <f aca="false">AND('Current Index'!A42,"AAAAAH9ufD0=")</f>
        <v>#VALUE!</v>
      </c>
      <c r="BK3" s="22" t="e">
        <f aca="false">AND('current index'!#ref!,"AAAAAH9ufD4=")</f>
        <v>#VALUE!</v>
      </c>
      <c r="BL3" s="22" t="e">
        <f aca="false">AND('Current Index'!B42,"AAAAAH9ufD8=")</f>
        <v>#VALUE!</v>
      </c>
      <c r="BM3" s="22" t="e">
        <f aca="false">AND('Current Index'!C42,"AAAAAH9ufEA=")</f>
        <v>#VALUE!</v>
      </c>
      <c r="BN3" s="22" t="e">
        <f aca="false">AND('Current Index'!D42,"AAAAAH9ufEE=")</f>
        <v>#VALUE!</v>
      </c>
      <c r="BO3" s="22" t="e">
        <f aca="false">AND('Current Index'!E42,"AAAAAH9ufEI=")</f>
        <v>#VALUE!</v>
      </c>
      <c r="BP3" s="22" t="e">
        <f aca="false">AND('Current Index'!F42,"AAAAAH9ufEM=")</f>
        <v>#VALUE!</v>
      </c>
      <c r="BQ3" s="22" t="e">
        <f aca="false">AND('Current Index'!G42,"AAAAAH9ufEQ=")</f>
        <v>#VALUE!</v>
      </c>
      <c r="BR3" s="22" t="e">
        <f aca="false">AND('Current Index'!H42,"AAAAAH9ufEU=")</f>
        <v>#VALUE!</v>
      </c>
      <c r="BS3" s="22" t="e">
        <f aca="false">AND('Current Index'!I42,"AAAAAH9ufEY=")</f>
        <v>#VALUE!</v>
      </c>
      <c r="BT3" s="22" t="n">
        <f aca="false">IF('Current Index'!43:43,"AAAAAH9ufEc=",0)</f>
        <v>0</v>
      </c>
      <c r="BU3" s="22" t="e">
        <f aca="false">AND('Current Index'!A43,"AAAAAH9ufEg=")</f>
        <v>#VALUE!</v>
      </c>
      <c r="BV3" s="22" t="e">
        <f aca="false">AND('current index'!#ref!,"AAAAAH9ufEk=")</f>
        <v>#VALUE!</v>
      </c>
      <c r="BW3" s="22" t="e">
        <f aca="false">AND('Current Index'!B43,"AAAAAH9ufEo=")</f>
        <v>#VALUE!</v>
      </c>
      <c r="BX3" s="22" t="e">
        <f aca="false">AND('Current Index'!C43,"AAAAAH9ufEs=")</f>
        <v>#VALUE!</v>
      </c>
      <c r="BY3" s="22" t="e">
        <f aca="false">AND('Current Index'!D43,"AAAAAH9ufEw=")</f>
        <v>#VALUE!</v>
      </c>
      <c r="BZ3" s="22" t="e">
        <f aca="false">AND('Current Index'!E43,"AAAAAH9ufE0=")</f>
        <v>#VALUE!</v>
      </c>
      <c r="CA3" s="22" t="e">
        <f aca="false">AND('Current Index'!F43,"AAAAAH9ufE4=")</f>
        <v>#VALUE!</v>
      </c>
      <c r="CB3" s="22" t="e">
        <f aca="false">AND('Current Index'!G43,"AAAAAH9ufE8=")</f>
        <v>#VALUE!</v>
      </c>
      <c r="CC3" s="22" t="e">
        <f aca="false">AND('Current Index'!H43,"AAAAAH9ufFA=")</f>
        <v>#VALUE!</v>
      </c>
      <c r="CD3" s="22" t="e">
        <f aca="false">AND('Current Index'!I43,"AAAAAH9ufFE=")</f>
        <v>#VALUE!</v>
      </c>
      <c r="CE3" s="22" t="e">
        <f aca="false">IF('current index'!#ref!,"AAAAAH9ufFI=",0)</f>
        <v>#VALUE!</v>
      </c>
      <c r="CF3" s="22" t="e">
        <f aca="false">AND('current index'!#ref!,"AAAAAH9ufFM=")</f>
        <v>#VALUE!</v>
      </c>
      <c r="CG3" s="22" t="e">
        <f aca="false">AND('current index'!#ref!,"AAAAAH9ufFQ=")</f>
        <v>#VALUE!</v>
      </c>
      <c r="CH3" s="22" t="e">
        <f aca="false">AND('current index'!#ref!,"AAAAAH9ufFU=")</f>
        <v>#VALUE!</v>
      </c>
      <c r="CI3" s="22" t="e">
        <f aca="false">AND('current index'!#ref!,"AAAAAH9ufFY=")</f>
        <v>#VALUE!</v>
      </c>
      <c r="CJ3" s="22" t="e">
        <f aca="false">AND('current index'!#ref!,"AAAAAH9ufFc=")</f>
        <v>#VALUE!</v>
      </c>
      <c r="CK3" s="22" t="e">
        <f aca="false">AND('current index'!#ref!,"AAAAAH9ufFg=")</f>
        <v>#VALUE!</v>
      </c>
      <c r="CL3" s="22" t="e">
        <f aca="false">AND('current index'!#ref!,"AAAAAH9ufFk=")</f>
        <v>#VALUE!</v>
      </c>
      <c r="CM3" s="22" t="e">
        <f aca="false">AND('current index'!#ref!,"AAAAAH9ufFo=")</f>
        <v>#VALUE!</v>
      </c>
      <c r="CN3" s="22" t="e">
        <f aca="false">AND('current index'!#ref!,"AAAAAH9ufFs=")</f>
        <v>#VALUE!</v>
      </c>
      <c r="CO3" s="22" t="e">
        <f aca="false">AND('current index'!#ref!,"AAAAAH9ufFw=")</f>
        <v>#VALUE!</v>
      </c>
      <c r="CP3" s="22" t="n">
        <f aca="false">IF('Current Index'!58:58,"AAAAAH9ufF0=",0)</f>
        <v>0</v>
      </c>
      <c r="CQ3" s="22" t="e">
        <f aca="false">AND('Current Index'!A58,"AAAAAH9ufF4=")</f>
        <v>#VALUE!</v>
      </c>
      <c r="CR3" s="22" t="e">
        <f aca="false">AND('current index'!#ref!,"AAAAAH9ufF8=")</f>
        <v>#VALUE!</v>
      </c>
      <c r="CS3" s="22" t="e">
        <f aca="false">AND('Current Index'!B58,"AAAAAH9ufGA=")</f>
        <v>#VALUE!</v>
      </c>
      <c r="CT3" s="22" t="e">
        <f aca="false">AND('Current Index'!C58,"AAAAAH9ufGE=")</f>
        <v>#VALUE!</v>
      </c>
      <c r="CU3" s="22" t="e">
        <f aca="false">AND('Current Index'!D58,"AAAAAH9ufGI=")</f>
        <v>#VALUE!</v>
      </c>
      <c r="CV3" s="22" t="e">
        <f aca="false">AND('Current Index'!E58,"AAAAAH9ufGM=")</f>
        <v>#VALUE!</v>
      </c>
      <c r="CW3" s="22" t="e">
        <f aca="false">AND('Current Index'!F58,"AAAAAH9ufGQ=")</f>
        <v>#VALUE!</v>
      </c>
      <c r="CX3" s="22" t="e">
        <f aca="false">AND('Current Index'!G58,"AAAAAH9ufGU=")</f>
        <v>#VALUE!</v>
      </c>
      <c r="CY3" s="22" t="e">
        <f aca="false">AND('Current Index'!H58,"AAAAAH9ufGY=")</f>
        <v>#VALUE!</v>
      </c>
      <c r="CZ3" s="22" t="e">
        <f aca="false">AND('Current Index'!I58,"AAAAAH9ufGc=")</f>
        <v>#VALUE!</v>
      </c>
      <c r="DA3" s="22" t="n">
        <f aca="false">IF('Current Index'!60:60,"AAAAAH9ufGg=",0)</f>
        <v>0</v>
      </c>
      <c r="DB3" s="22" t="e">
        <f aca="false">AND('Current Index'!A60,"AAAAAH9ufGk=")</f>
        <v>#VALUE!</v>
      </c>
      <c r="DC3" s="22" t="e">
        <f aca="false">AND('current index'!#ref!,"AAAAAH9ufGo=")</f>
        <v>#VALUE!</v>
      </c>
      <c r="DD3" s="22" t="e">
        <f aca="false">AND('Current Index'!B60,"AAAAAH9ufGs=")</f>
        <v>#VALUE!</v>
      </c>
      <c r="DE3" s="22" t="e">
        <f aca="false">AND('Current Index'!C60,"AAAAAH9ufGw=")</f>
        <v>#VALUE!</v>
      </c>
      <c r="DF3" s="22" t="e">
        <f aca="false">AND('Current Index'!D60,"AAAAAH9ufG0=")</f>
        <v>#VALUE!</v>
      </c>
      <c r="DG3" s="22" t="e">
        <f aca="false">AND('Current Index'!E60,"AAAAAH9ufG4=")</f>
        <v>#VALUE!</v>
      </c>
      <c r="DH3" s="22" t="e">
        <f aca="false">AND('Current Index'!F60,"AAAAAH9ufG8=")</f>
        <v>#VALUE!</v>
      </c>
      <c r="DI3" s="22" t="e">
        <f aca="false">AND('Current Index'!G60,"AAAAAH9ufHA=")</f>
        <v>#VALUE!</v>
      </c>
      <c r="DJ3" s="22" t="e">
        <f aca="false">AND('Current Index'!H60,"AAAAAH9ufHE=")</f>
        <v>#VALUE!</v>
      </c>
      <c r="DK3" s="22" t="e">
        <f aca="false">AND('Current Index'!I60,"AAAAAH9ufHI=")</f>
        <v>#VALUE!</v>
      </c>
      <c r="DL3" s="22" t="n">
        <f aca="false">IF('Current Index'!61:61,"AAAAAH9ufHM=",0)</f>
        <v>0</v>
      </c>
      <c r="DM3" s="22" t="e">
        <f aca="false">AND('Current Index'!A61,"AAAAAH9ufHQ=")</f>
        <v>#VALUE!</v>
      </c>
      <c r="DN3" s="22" t="e">
        <f aca="false">AND('current index'!#ref!,"AAAAAH9ufHU=")</f>
        <v>#VALUE!</v>
      </c>
      <c r="DO3" s="22" t="e">
        <f aca="false">AND('Current Index'!B61,"AAAAAH9ufHY=")</f>
        <v>#VALUE!</v>
      </c>
      <c r="DP3" s="22" t="e">
        <f aca="false">AND('Current Index'!C61,"AAAAAH9ufHc=")</f>
        <v>#VALUE!</v>
      </c>
      <c r="DQ3" s="22" t="e">
        <f aca="false">AND('Current Index'!D61,"AAAAAH9ufHg=")</f>
        <v>#VALUE!</v>
      </c>
      <c r="DR3" s="22" t="e">
        <f aca="false">AND('Current Index'!E61,"AAAAAH9ufHk=")</f>
        <v>#VALUE!</v>
      </c>
      <c r="DS3" s="22" t="e">
        <f aca="false">AND('Current Index'!F61,"AAAAAH9ufHo=")</f>
        <v>#VALUE!</v>
      </c>
      <c r="DT3" s="22" t="e">
        <f aca="false">AND('Current Index'!G61,"AAAAAH9ufHs=")</f>
        <v>#VALUE!</v>
      </c>
      <c r="DU3" s="22" t="e">
        <f aca="false">AND('Current Index'!H61,"AAAAAH9ufHw=")</f>
        <v>#VALUE!</v>
      </c>
      <c r="DV3" s="22" t="e">
        <f aca="false">AND('Current Index'!I61,"AAAAAH9ufH0=")</f>
        <v>#VALUE!</v>
      </c>
      <c r="DW3" s="22" t="n">
        <f aca="false">IF('Current Index'!62:62,"AAAAAH9ufH4=",0)</f>
        <v>0</v>
      </c>
      <c r="DX3" s="22" t="e">
        <f aca="false">AND('Current Index'!A62,"AAAAAH9ufH8=")</f>
        <v>#VALUE!</v>
      </c>
      <c r="DY3" s="22" t="e">
        <f aca="false">AND('current index'!#ref!,"AAAAAH9ufIA=")</f>
        <v>#VALUE!</v>
      </c>
      <c r="DZ3" s="22" t="e">
        <f aca="false">AND('Current Index'!B62,"AAAAAH9ufIE=")</f>
        <v>#VALUE!</v>
      </c>
      <c r="EA3" s="22" t="e">
        <f aca="false">AND('Current Index'!C62,"AAAAAH9ufII=")</f>
        <v>#VALUE!</v>
      </c>
      <c r="EB3" s="22" t="e">
        <f aca="false">AND('Current Index'!D62,"AAAAAH9ufIM=")</f>
        <v>#VALUE!</v>
      </c>
      <c r="EC3" s="22" t="e">
        <f aca="false">AND('Current Index'!E62,"AAAAAH9ufIQ=")</f>
        <v>#VALUE!</v>
      </c>
      <c r="ED3" s="22" t="e">
        <f aca="false">AND('Current Index'!F62,"AAAAAH9ufIU=")</f>
        <v>#VALUE!</v>
      </c>
      <c r="EE3" s="22" t="e">
        <f aca="false">AND('Current Index'!G62,"AAAAAH9ufIY=")</f>
        <v>#VALUE!</v>
      </c>
      <c r="EF3" s="22" t="e">
        <f aca="false">AND('Current Index'!H62,"AAAAAH9ufIc=")</f>
        <v>#VALUE!</v>
      </c>
      <c r="EG3" s="22" t="e">
        <f aca="false">AND('Current Index'!I62,"AAAAAH9ufIg=")</f>
        <v>#VALUE!</v>
      </c>
      <c r="EH3" s="22" t="n">
        <f aca="false">IF('Current Index'!63:63,"AAAAAH9ufIk=",0)</f>
        <v>0</v>
      </c>
      <c r="EI3" s="22" t="e">
        <f aca="false">AND('Current Index'!A63,"AAAAAH9ufIo=")</f>
        <v>#VALUE!</v>
      </c>
      <c r="EJ3" s="22" t="e">
        <f aca="false">AND('current index'!#ref!,"AAAAAH9ufIs=")</f>
        <v>#VALUE!</v>
      </c>
      <c r="EK3" s="22" t="e">
        <f aca="false">AND('Current Index'!B63,"AAAAAH9ufIw=")</f>
        <v>#VALUE!</v>
      </c>
      <c r="EL3" s="22" t="e">
        <f aca="false">AND('Current Index'!C63,"AAAAAH9ufI0=")</f>
        <v>#VALUE!</v>
      </c>
      <c r="EM3" s="22" t="e">
        <f aca="false">AND('Current Index'!D63,"AAAAAH9ufI4=")</f>
        <v>#VALUE!</v>
      </c>
      <c r="EN3" s="22" t="e">
        <f aca="false">AND('Current Index'!E63,"AAAAAH9ufI8=")</f>
        <v>#VALUE!</v>
      </c>
      <c r="EO3" s="22" t="e">
        <f aca="false">AND('Current Index'!F63,"AAAAAH9ufJA=")</f>
        <v>#VALUE!</v>
      </c>
      <c r="EP3" s="22" t="e">
        <f aca="false">AND('Current Index'!G63,"AAAAAH9ufJE=")</f>
        <v>#VALUE!</v>
      </c>
      <c r="EQ3" s="22" t="e">
        <f aca="false">AND('Current Index'!H63,"AAAAAH9ufJI=")</f>
        <v>#VALUE!</v>
      </c>
      <c r="ER3" s="22" t="e">
        <f aca="false">AND('Current Index'!I63,"AAAAAH9ufJM=")</f>
        <v>#VALUE!</v>
      </c>
      <c r="ES3" s="22" t="n">
        <f aca="false">IF('Current Index'!64:64,"AAAAAH9ufJQ=",0)</f>
        <v>0</v>
      </c>
      <c r="ET3" s="22" t="e">
        <f aca="false">AND('Current Index'!A64,"AAAAAH9ufJU=")</f>
        <v>#VALUE!</v>
      </c>
      <c r="EU3" s="22" t="e">
        <f aca="false">AND('current index'!#ref!,"AAAAAH9ufJY=")</f>
        <v>#VALUE!</v>
      </c>
      <c r="EV3" s="22" t="e">
        <f aca="false">AND('Current Index'!B64,"AAAAAH9ufJc=")</f>
        <v>#VALUE!</v>
      </c>
      <c r="EW3" s="22" t="e">
        <f aca="false">AND('Current Index'!C64,"AAAAAH9ufJg=")</f>
        <v>#VALUE!</v>
      </c>
      <c r="EX3" s="22" t="e">
        <f aca="false">AND('Current Index'!D64,"AAAAAH9ufJk=")</f>
        <v>#VALUE!</v>
      </c>
      <c r="EY3" s="22" t="e">
        <f aca="false">AND('Current Index'!E64,"AAAAAH9ufJo=")</f>
        <v>#VALUE!</v>
      </c>
      <c r="EZ3" s="22" t="e">
        <f aca="false">AND('Current Index'!F64,"AAAAAH9ufJs=")</f>
        <v>#VALUE!</v>
      </c>
      <c r="FA3" s="22" t="e">
        <f aca="false">AND('Current Index'!G64,"AAAAAH9ufJw=")</f>
        <v>#VALUE!</v>
      </c>
      <c r="FB3" s="22" t="e">
        <f aca="false">AND('Current Index'!H64,"AAAAAH9ufJ0=")</f>
        <v>#VALUE!</v>
      </c>
      <c r="FC3" s="22" t="e">
        <f aca="false">AND('Current Index'!I64,"AAAAAH9ufJ4=")</f>
        <v>#VALUE!</v>
      </c>
      <c r="FD3" s="22" t="n">
        <f aca="false">IF('Current Index'!65:65,"AAAAAH9ufJ8=",0)</f>
        <v>0</v>
      </c>
      <c r="FE3" s="22" t="e">
        <f aca="false">AND('Current Index'!A65,"AAAAAH9ufKA=")</f>
        <v>#VALUE!</v>
      </c>
      <c r="FF3" s="22" t="e">
        <f aca="false">AND('current index'!#ref!,"AAAAAH9ufKE=")</f>
        <v>#VALUE!</v>
      </c>
      <c r="FG3" s="22" t="e">
        <f aca="false">AND('Current Index'!B65,"AAAAAH9ufKI=")</f>
        <v>#VALUE!</v>
      </c>
      <c r="FH3" s="22" t="e">
        <f aca="false">AND('Current Index'!C65,"AAAAAH9ufKM=")</f>
        <v>#VALUE!</v>
      </c>
      <c r="FI3" s="22" t="e">
        <f aca="false">AND('Current Index'!D65,"AAAAAH9ufKQ=")</f>
        <v>#VALUE!</v>
      </c>
      <c r="FJ3" s="22" t="e">
        <f aca="false">AND('Current Index'!E65,"AAAAAH9ufKU=")</f>
        <v>#VALUE!</v>
      </c>
      <c r="FK3" s="22" t="e">
        <f aca="false">AND('Current Index'!F65,"AAAAAH9ufKY=")</f>
        <v>#VALUE!</v>
      </c>
      <c r="FL3" s="22" t="e">
        <f aca="false">AND('Current Index'!G65,"AAAAAH9ufKc=")</f>
        <v>#VALUE!</v>
      </c>
      <c r="FM3" s="22" t="e">
        <f aca="false">AND('Current Index'!H65,"AAAAAH9ufKg=")</f>
        <v>#VALUE!</v>
      </c>
      <c r="FN3" s="22" t="e">
        <f aca="false">AND('Current Index'!I65,"AAAAAH9ufKk=")</f>
        <v>#VALUE!</v>
      </c>
      <c r="FO3" s="22" t="n">
        <f aca="false">IF('Current Index'!66:66,"AAAAAH9ufKo=",0)</f>
        <v>0</v>
      </c>
      <c r="FP3" s="22" t="e">
        <f aca="false">AND('Current Index'!A66,"AAAAAH9ufKs=")</f>
        <v>#VALUE!</v>
      </c>
      <c r="FQ3" s="22" t="e">
        <f aca="false">AND('current index'!#ref!,"AAAAAH9ufKw=")</f>
        <v>#VALUE!</v>
      </c>
      <c r="FR3" s="22" t="e">
        <f aca="false">AND('Current Index'!B66,"AAAAAH9ufK0=")</f>
        <v>#VALUE!</v>
      </c>
      <c r="FS3" s="22" t="e">
        <f aca="false">AND('Current Index'!C66,"AAAAAH9ufK4=")</f>
        <v>#VALUE!</v>
      </c>
      <c r="FT3" s="22" t="e">
        <f aca="false">AND('Current Index'!D66,"AAAAAH9ufK8=")</f>
        <v>#VALUE!</v>
      </c>
      <c r="FU3" s="22" t="e">
        <f aca="false">AND('Current Index'!E66,"AAAAAH9ufLA=")</f>
        <v>#VALUE!</v>
      </c>
      <c r="FV3" s="22" t="e">
        <f aca="false">AND('Current Index'!F66,"AAAAAH9ufLE=")</f>
        <v>#VALUE!</v>
      </c>
      <c r="FW3" s="22" t="e">
        <f aca="false">AND('Current Index'!G66,"AAAAAH9ufLI=")</f>
        <v>#VALUE!</v>
      </c>
      <c r="FX3" s="22" t="e">
        <f aca="false">AND('Current Index'!H66,"AAAAAH9ufLM=")</f>
        <v>#VALUE!</v>
      </c>
      <c r="FY3" s="22" t="e">
        <f aca="false">AND('Current Index'!I66,"AAAAAH9ufLQ=")</f>
        <v>#VALUE!</v>
      </c>
      <c r="FZ3" s="22" t="n">
        <f aca="false">IF('Current Index'!67:67,"AAAAAH9ufLU=",0)</f>
        <v>0</v>
      </c>
      <c r="GA3" s="22" t="e">
        <f aca="false">AND('Current Index'!A67,"AAAAAH9ufLY=")</f>
        <v>#VALUE!</v>
      </c>
      <c r="GB3" s="22" t="e">
        <f aca="false">AND('current index'!#ref!,"AAAAAH9ufLc=")</f>
        <v>#VALUE!</v>
      </c>
      <c r="GC3" s="22" t="e">
        <f aca="false">AND('Current Index'!B67,"AAAAAH9ufLg=")</f>
        <v>#VALUE!</v>
      </c>
      <c r="GD3" s="22" t="e">
        <f aca="false">AND('Current Index'!C67,"AAAAAH9ufLk=")</f>
        <v>#VALUE!</v>
      </c>
      <c r="GE3" s="22" t="e">
        <f aca="false">AND('Current Index'!D67,"AAAAAH9ufLo=")</f>
        <v>#VALUE!</v>
      </c>
      <c r="GF3" s="22" t="e">
        <f aca="false">AND('Current Index'!E67,"AAAAAH9ufLs=")</f>
        <v>#VALUE!</v>
      </c>
      <c r="GG3" s="22" t="e">
        <f aca="false">AND('Current Index'!F67,"AAAAAH9ufLw=")</f>
        <v>#VALUE!</v>
      </c>
      <c r="GH3" s="22" t="e">
        <f aca="false">AND('Current Index'!G67,"AAAAAH9ufL0=")</f>
        <v>#VALUE!</v>
      </c>
      <c r="GI3" s="22" t="e">
        <f aca="false">AND('Current Index'!H67,"AAAAAH9ufL4=")</f>
        <v>#VALUE!</v>
      </c>
      <c r="GJ3" s="22" t="e">
        <f aca="false">AND('Current Index'!I67,"AAAAAH9ufL8=")</f>
        <v>#VALUE!</v>
      </c>
      <c r="GK3" s="22" t="n">
        <f aca="false">IF('Current Index'!68:68,"AAAAAH9ufMA=",0)</f>
        <v>0</v>
      </c>
      <c r="GL3" s="22" t="e">
        <f aca="false">AND('Current Index'!A68,"AAAAAH9ufME=")</f>
        <v>#VALUE!</v>
      </c>
      <c r="GM3" s="22" t="e">
        <f aca="false">AND('current index'!#ref!,"AAAAAH9ufMI=")</f>
        <v>#VALUE!</v>
      </c>
      <c r="GN3" s="22" t="e">
        <f aca="false">AND('Current Index'!B68,"AAAAAH9ufMM=")</f>
        <v>#VALUE!</v>
      </c>
      <c r="GO3" s="22" t="e">
        <f aca="false">AND('Current Index'!C68,"AAAAAH9ufMQ=")</f>
        <v>#VALUE!</v>
      </c>
      <c r="GP3" s="22" t="e">
        <f aca="false">AND('Current Index'!D68,"AAAAAH9ufMU=")</f>
        <v>#VALUE!</v>
      </c>
      <c r="GQ3" s="22" t="e">
        <f aca="false">AND('Current Index'!E68,"AAAAAH9ufMY=")</f>
        <v>#VALUE!</v>
      </c>
      <c r="GR3" s="22" t="e">
        <f aca="false">AND('Current Index'!F68,"AAAAAH9ufMc=")</f>
        <v>#VALUE!</v>
      </c>
      <c r="GS3" s="22" t="e">
        <f aca="false">AND('Current Index'!G68,"AAAAAH9ufMg=")</f>
        <v>#VALUE!</v>
      </c>
      <c r="GT3" s="22" t="e">
        <f aca="false">AND('Current Index'!H68,"AAAAAH9ufMk=")</f>
        <v>#VALUE!</v>
      </c>
      <c r="GU3" s="22" t="e">
        <f aca="false">AND('Current Index'!I68,"AAAAAH9ufMo=")</f>
        <v>#VALUE!</v>
      </c>
      <c r="GV3" s="22" t="e">
        <f aca="false">IF('current index'!#ref!,"AAAAAH9ufMs=",0)</f>
        <v>#VALUE!</v>
      </c>
      <c r="GW3" s="22" t="e">
        <f aca="false">AND('current index'!#ref!,"AAAAAH9ufMw=")</f>
        <v>#VALUE!</v>
      </c>
      <c r="GX3" s="22" t="e">
        <f aca="false">AND('current index'!#ref!,"AAAAAH9ufM0=")</f>
        <v>#VALUE!</v>
      </c>
      <c r="GY3" s="22" t="e">
        <f aca="false">AND('current index'!#ref!,"AAAAAH9ufM4=")</f>
        <v>#VALUE!</v>
      </c>
      <c r="GZ3" s="22" t="e">
        <f aca="false">AND('current index'!#ref!,"AAAAAH9ufM8=")</f>
        <v>#VALUE!</v>
      </c>
      <c r="HA3" s="22" t="e">
        <f aca="false">AND('current index'!#ref!,"AAAAAH9ufNA=")</f>
        <v>#VALUE!</v>
      </c>
      <c r="HB3" s="22" t="e">
        <f aca="false">AND('current index'!#ref!,"AAAAAH9ufNE=")</f>
        <v>#VALUE!</v>
      </c>
      <c r="HC3" s="22" t="e">
        <f aca="false">AND('current index'!#ref!,"AAAAAH9ufNI=")</f>
        <v>#VALUE!</v>
      </c>
      <c r="HD3" s="22" t="e">
        <f aca="false">AND('current index'!#ref!,"AAAAAH9ufNM=")</f>
        <v>#VALUE!</v>
      </c>
      <c r="HE3" s="22" t="e">
        <f aca="false">AND('current index'!#ref!,"AAAAAH9ufNQ=")</f>
        <v>#VALUE!</v>
      </c>
      <c r="HF3" s="22" t="e">
        <f aca="false">AND('current index'!#ref!,"AAAAAH9ufNU=")</f>
        <v>#VALUE!</v>
      </c>
      <c r="HG3" s="22" t="n">
        <f aca="false">IF('Current Index'!69:69,"AAAAAH9ufNY=",0)</f>
        <v>0</v>
      </c>
      <c r="HH3" s="22" t="e">
        <f aca="false">AND('Current Index'!A69,"AAAAAH9ufNc=")</f>
        <v>#VALUE!</v>
      </c>
      <c r="HI3" s="22" t="e">
        <f aca="false">AND('current index'!#ref!,"AAAAAH9ufNg=")</f>
        <v>#VALUE!</v>
      </c>
      <c r="HJ3" s="22" t="e">
        <f aca="false">AND('Current Index'!B69,"AAAAAH9ufNk=")</f>
        <v>#VALUE!</v>
      </c>
      <c r="HK3" s="22" t="e">
        <f aca="false">AND('Current Index'!C69,"AAAAAH9ufNo=")</f>
        <v>#VALUE!</v>
      </c>
      <c r="HL3" s="22" t="e">
        <f aca="false">AND('Current Index'!D69,"AAAAAH9ufNs=")</f>
        <v>#VALUE!</v>
      </c>
      <c r="HM3" s="22" t="e">
        <f aca="false">AND('Current Index'!E69,"AAAAAH9ufNw=")</f>
        <v>#VALUE!</v>
      </c>
      <c r="HN3" s="22" t="e">
        <f aca="false">AND('Current Index'!F69,"AAAAAH9ufN0=")</f>
        <v>#VALUE!</v>
      </c>
      <c r="HO3" s="22" t="e">
        <f aca="false">AND('Current Index'!G69,"AAAAAH9ufN4=")</f>
        <v>#VALUE!</v>
      </c>
      <c r="HP3" s="22" t="e">
        <f aca="false">AND('Current Index'!H69,"AAAAAH9ufN8=")</f>
        <v>#VALUE!</v>
      </c>
      <c r="HQ3" s="22" t="e">
        <f aca="false">AND('Current Index'!I69,"AAAAAH9ufOA=")</f>
        <v>#VALUE!</v>
      </c>
      <c r="HR3" s="22" t="n">
        <f aca="false">IF('Current Index'!70:70,"AAAAAH9ufOE=",0)</f>
        <v>0</v>
      </c>
      <c r="HS3" s="22" t="e">
        <f aca="false">AND('Current Index'!A70,"AAAAAH9ufOI=")</f>
        <v>#VALUE!</v>
      </c>
      <c r="HT3" s="22" t="e">
        <f aca="false">AND('current index'!#ref!,"AAAAAH9ufOM=")</f>
        <v>#VALUE!</v>
      </c>
      <c r="HU3" s="22" t="e">
        <f aca="false">AND('Current Index'!B70,"AAAAAH9ufOQ=")</f>
        <v>#VALUE!</v>
      </c>
      <c r="HV3" s="22" t="e">
        <f aca="false">AND('Current Index'!C70,"AAAAAH9ufOU=")</f>
        <v>#VALUE!</v>
      </c>
      <c r="HW3" s="22" t="e">
        <f aca="false">AND('Current Index'!D70,"AAAAAH9ufOY=")</f>
        <v>#VALUE!</v>
      </c>
      <c r="HX3" s="22" t="e">
        <f aca="false">AND('Current Index'!E70,"AAAAAH9ufOc=")</f>
        <v>#VALUE!</v>
      </c>
      <c r="HY3" s="22" t="e">
        <f aca="false">AND('Current Index'!F70,"AAAAAH9ufOg=")</f>
        <v>#VALUE!</v>
      </c>
      <c r="HZ3" s="22" t="e">
        <f aca="false">AND('Current Index'!G70,"AAAAAH9ufOk=")</f>
        <v>#VALUE!</v>
      </c>
      <c r="IA3" s="22" t="e">
        <f aca="false">AND('Current Index'!H70,"AAAAAH9ufOo=")</f>
        <v>#VALUE!</v>
      </c>
      <c r="IB3" s="22" t="e">
        <f aca="false">AND('Current Index'!I70,"AAAAAH9ufOs=")</f>
        <v>#VALUE!</v>
      </c>
      <c r="IC3" s="22" t="n">
        <f aca="false">IF('Current Index'!74:74,"AAAAAH9ufOw=",0)</f>
        <v>0</v>
      </c>
      <c r="ID3" s="22" t="e">
        <f aca="false">AND('Current Index'!A74,"AAAAAH9ufO0=")</f>
        <v>#VALUE!</v>
      </c>
      <c r="IE3" s="22" t="e">
        <f aca="false">AND('current index'!#ref!,"AAAAAH9ufO4=")</f>
        <v>#VALUE!</v>
      </c>
      <c r="IF3" s="22" t="e">
        <f aca="false">AND('Current Index'!B74,"AAAAAH9ufO8=")</f>
        <v>#VALUE!</v>
      </c>
      <c r="IG3" s="22" t="e">
        <f aca="false">AND('Current Index'!C74,"AAAAAH9ufPA=")</f>
        <v>#VALUE!</v>
      </c>
      <c r="IH3" s="22" t="e">
        <f aca="false">AND('Current Index'!D74,"AAAAAH9ufPE=")</f>
        <v>#VALUE!</v>
      </c>
      <c r="II3" s="22" t="e">
        <f aca="false">AND('Current Index'!E74,"AAAAAH9ufPI=")</f>
        <v>#VALUE!</v>
      </c>
      <c r="IJ3" s="22" t="e">
        <f aca="false">AND('Current Index'!F74,"AAAAAH9ufPM=")</f>
        <v>#VALUE!</v>
      </c>
      <c r="IK3" s="22" t="e">
        <f aca="false">AND('Current Index'!G74,"AAAAAH9ufPQ=")</f>
        <v>#VALUE!</v>
      </c>
      <c r="IL3" s="22" t="e">
        <f aca="false">AND('Current Index'!H74,"AAAAAH9ufPU=")</f>
        <v>#VALUE!</v>
      </c>
      <c r="IM3" s="22" t="e">
        <f aca="false">AND('Current Index'!I74,"AAAAAH9ufPY=")</f>
        <v>#VALUE!</v>
      </c>
      <c r="IN3" s="22" t="n">
        <f aca="false">IF('Current Index'!75:75,"AAAAAH9ufPc=",0)</f>
        <v>0</v>
      </c>
      <c r="IO3" s="22" t="e">
        <f aca="false">AND('Current Index'!A75,"AAAAAH9ufPg=")</f>
        <v>#VALUE!</v>
      </c>
      <c r="IP3" s="22" t="e">
        <f aca="false">AND('current index'!#ref!,"AAAAAH9ufPk=")</f>
        <v>#VALUE!</v>
      </c>
      <c r="IQ3" s="22" t="e">
        <f aca="false">AND('Current Index'!B75,"AAAAAH9ufPo=")</f>
        <v>#VALUE!</v>
      </c>
      <c r="IR3" s="22" t="e">
        <f aca="false">AND('Current Index'!C75,"AAAAAH9ufPs=")</f>
        <v>#VALUE!</v>
      </c>
      <c r="IS3" s="22" t="e">
        <f aca="false">AND('Current Index'!D75,"AAAAAH9ufPw=")</f>
        <v>#VALUE!</v>
      </c>
      <c r="IT3" s="22" t="e">
        <f aca="false">AND('Current Index'!E75,"AAAAAH9ufP0=")</f>
        <v>#VALUE!</v>
      </c>
      <c r="IU3" s="22" t="e">
        <f aca="false">AND('Current Index'!F75,"AAAAAH9ufP4=")</f>
        <v>#VALUE!</v>
      </c>
      <c r="IV3" s="22" t="e">
        <f aca="false">AND('Current Index'!G75,"AAAAAH9ufP8=")</f>
        <v>#VALUE!</v>
      </c>
    </row>
    <row r="4" customFormat="false" ht="12.75" hidden="false" customHeight="false" outlineLevel="0" collapsed="false">
      <c r="A4" s="22" t="e">
        <f aca="false">AND('Current Index'!H75,"AAAAAG/rtgA=")</f>
        <v>#VALUE!</v>
      </c>
      <c r="B4" s="22" t="e">
        <f aca="false">AND('Current Index'!I75,"AAAAAG/rtgE=")</f>
        <v>#VALUE!</v>
      </c>
      <c r="C4" s="22" t="e">
        <f aca="false">IF('Current Index'!77:77,"AAAAAG/rtgI=",0)</f>
        <v>#VALUE!</v>
      </c>
      <c r="D4" s="22" t="e">
        <f aca="false">AND('Current Index'!A77,"AAAAAG/rtgM=")</f>
        <v>#VALUE!</v>
      </c>
      <c r="E4" s="22" t="e">
        <f aca="false">AND('current index'!#ref!,"AAAAAG/rtgQ=")</f>
        <v>#VALUE!</v>
      </c>
      <c r="F4" s="22" t="e">
        <f aca="false">AND('Current Index'!B77,"AAAAAG/rtgU=")</f>
        <v>#VALUE!</v>
      </c>
      <c r="G4" s="22" t="e">
        <f aca="false">AND('Current Index'!C77,"AAAAAG/rtgY=")</f>
        <v>#VALUE!</v>
      </c>
      <c r="H4" s="22" t="e">
        <f aca="false">AND('Current Index'!D77,"AAAAAG/rtgc=")</f>
        <v>#VALUE!</v>
      </c>
      <c r="I4" s="22" t="e">
        <f aca="false">AND('Current Index'!E77,"AAAAAG/rtgg=")</f>
        <v>#VALUE!</v>
      </c>
      <c r="J4" s="22" t="e">
        <f aca="false">AND('Current Index'!F77,"AAAAAG/rtgk=")</f>
        <v>#VALUE!</v>
      </c>
      <c r="K4" s="22" t="e">
        <f aca="false">AND('Current Index'!G77,"AAAAAG/rtgo=")</f>
        <v>#VALUE!</v>
      </c>
      <c r="L4" s="22" t="e">
        <f aca="false">AND('Current Index'!H77,"AAAAAG/rtgs=")</f>
        <v>#VALUE!</v>
      </c>
      <c r="M4" s="22" t="e">
        <f aca="false">AND('Current Index'!I77,"AAAAAG/rtgw=")</f>
        <v>#VALUE!</v>
      </c>
      <c r="N4" s="22" t="n">
        <f aca="false">IF('Current Index'!81:81,"AAAAAG/rtg0=",0)</f>
        <v>0</v>
      </c>
      <c r="O4" s="22" t="e">
        <f aca="false">AND('Current Index'!A81,"AAAAAG/rtg4=")</f>
        <v>#VALUE!</v>
      </c>
      <c r="P4" s="22" t="e">
        <f aca="false">AND('current index'!#ref!,"AAAAAG/rtg8=")</f>
        <v>#VALUE!</v>
      </c>
      <c r="Q4" s="22" t="e">
        <f aca="false">AND('Current Index'!B81,"AAAAAG/rthA=")</f>
        <v>#VALUE!</v>
      </c>
      <c r="R4" s="22" t="e">
        <f aca="false">AND('Current Index'!C81,"AAAAAG/rthE=")</f>
        <v>#VALUE!</v>
      </c>
      <c r="S4" s="22" t="e">
        <f aca="false">AND('Current Index'!D81,"AAAAAG/rthI=")</f>
        <v>#VALUE!</v>
      </c>
      <c r="T4" s="22" t="e">
        <f aca="false">AND('Current Index'!E81,"AAAAAG/rthM=")</f>
        <v>#VALUE!</v>
      </c>
      <c r="U4" s="22" t="e">
        <f aca="false">AND('Current Index'!F81,"AAAAAG/rthQ=")</f>
        <v>#VALUE!</v>
      </c>
      <c r="V4" s="22" t="e">
        <f aca="false">AND('Current Index'!G81,"AAAAAG/rthU=")</f>
        <v>#VALUE!</v>
      </c>
      <c r="W4" s="22" t="e">
        <f aca="false">AND('Current Index'!H81,"AAAAAG/rthY=")</f>
        <v>#VALUE!</v>
      </c>
      <c r="X4" s="22" t="e">
        <f aca="false">AND('Current Index'!I81,"AAAAAG/rthc=")</f>
        <v>#VALUE!</v>
      </c>
      <c r="Y4" s="22" t="n">
        <f aca="false">IF('Current Index'!82:82,"AAAAAG/rthg=",0)</f>
        <v>0</v>
      </c>
      <c r="Z4" s="22" t="e">
        <f aca="false">AND('Current Index'!A82,"AAAAAG/rthk=")</f>
        <v>#VALUE!</v>
      </c>
      <c r="AA4" s="22" t="e">
        <f aca="false">AND('current index'!#ref!,"AAAAAG/rtho=")</f>
        <v>#VALUE!</v>
      </c>
      <c r="AB4" s="22" t="e">
        <f aca="false">AND('Current Index'!B82,"AAAAAG/rths=")</f>
        <v>#VALUE!</v>
      </c>
      <c r="AC4" s="22" t="e">
        <f aca="false">AND('Current Index'!C82,"AAAAAG/rthw=")</f>
        <v>#VALUE!</v>
      </c>
      <c r="AD4" s="22" t="e">
        <f aca="false">AND('Current Index'!D82,"AAAAAG/rth0=")</f>
        <v>#VALUE!</v>
      </c>
      <c r="AE4" s="22" t="e">
        <f aca="false">AND('Current Index'!E82,"AAAAAG/rth4=")</f>
        <v>#VALUE!</v>
      </c>
      <c r="AF4" s="22" t="e">
        <f aca="false">AND('Current Index'!F82,"AAAAAG/rth8=")</f>
        <v>#VALUE!</v>
      </c>
      <c r="AG4" s="22" t="e">
        <f aca="false">AND('Current Index'!G82,"AAAAAG/rtiA=")</f>
        <v>#VALUE!</v>
      </c>
      <c r="AH4" s="22" t="e">
        <f aca="false">AND('Current Index'!H82,"AAAAAG/rtiE=")</f>
        <v>#VALUE!</v>
      </c>
      <c r="AI4" s="22" t="e">
        <f aca="false">AND('Current Index'!I82,"AAAAAG/rtiI=")</f>
        <v>#VALUE!</v>
      </c>
      <c r="AJ4" s="22" t="n">
        <f aca="false">IF('Current Index'!83:83,"AAAAAG/rtiM=",0)</f>
        <v>0</v>
      </c>
      <c r="AK4" s="22" t="e">
        <f aca="false">AND('Current Index'!A83,"AAAAAG/rtiQ=")</f>
        <v>#VALUE!</v>
      </c>
      <c r="AL4" s="22" t="e">
        <f aca="false">AND('current index'!#ref!,"AAAAAG/rtiU=")</f>
        <v>#VALUE!</v>
      </c>
      <c r="AM4" s="22" t="e">
        <f aca="false">AND('Current Index'!B83,"AAAAAG/rtiY=")</f>
        <v>#VALUE!</v>
      </c>
      <c r="AN4" s="22" t="e">
        <f aca="false">AND('Current Index'!C83,"AAAAAG/rtic=")</f>
        <v>#VALUE!</v>
      </c>
      <c r="AO4" s="22" t="e">
        <f aca="false">AND('Current Index'!D83,"AAAAAG/rtig=")</f>
        <v>#VALUE!</v>
      </c>
      <c r="AP4" s="22" t="e">
        <f aca="false">AND('Current Index'!E83,"AAAAAG/rtik=")</f>
        <v>#VALUE!</v>
      </c>
      <c r="AQ4" s="22" t="e">
        <f aca="false">AND('Current Index'!F83,"AAAAAG/rtio=")</f>
        <v>#VALUE!</v>
      </c>
      <c r="AR4" s="22" t="e">
        <f aca="false">AND('Current Index'!G83,"AAAAAG/rtis=")</f>
        <v>#VALUE!</v>
      </c>
      <c r="AS4" s="22" t="e">
        <f aca="false">AND('Current Index'!H83,"AAAAAG/rtiw=")</f>
        <v>#VALUE!</v>
      </c>
      <c r="AT4" s="22" t="e">
        <f aca="false">AND('Current Index'!I83,"AAAAAG/rti0=")</f>
        <v>#VALUE!</v>
      </c>
      <c r="AU4" s="22" t="n">
        <f aca="false">IF('Current Index'!84:84,"AAAAAG/rti4=",0)</f>
        <v>0</v>
      </c>
      <c r="AV4" s="22" t="e">
        <f aca="false">AND('Current Index'!A84,"AAAAAG/rti8=")</f>
        <v>#VALUE!</v>
      </c>
      <c r="AW4" s="22" t="e">
        <f aca="false">AND('current index'!#ref!,"AAAAAG/rtjA=")</f>
        <v>#VALUE!</v>
      </c>
      <c r="AX4" s="22" t="e">
        <f aca="false">AND('Current Index'!B84,"AAAAAG/rtjE=")</f>
        <v>#VALUE!</v>
      </c>
      <c r="AY4" s="22" t="e">
        <f aca="false">AND('Current Index'!C84,"AAAAAG/rtjI=")</f>
        <v>#VALUE!</v>
      </c>
      <c r="AZ4" s="22" t="e">
        <f aca="false">AND('Current Index'!D84,"AAAAAG/rtjM=")</f>
        <v>#VALUE!</v>
      </c>
      <c r="BA4" s="22" t="e">
        <f aca="false">AND('Current Index'!E84,"AAAAAG/rtjQ=")</f>
        <v>#VALUE!</v>
      </c>
      <c r="BB4" s="22" t="e">
        <f aca="false">AND('Current Index'!F84,"AAAAAG/rtjU=")</f>
        <v>#VALUE!</v>
      </c>
      <c r="BC4" s="22" t="e">
        <f aca="false">AND('Current Index'!G84,"AAAAAG/rtjY=")</f>
        <v>#VALUE!</v>
      </c>
      <c r="BD4" s="22" t="e">
        <f aca="false">AND('Current Index'!H84,"AAAAAG/rtjc=")</f>
        <v>#VALUE!</v>
      </c>
      <c r="BE4" s="22" t="e">
        <f aca="false">AND('Current Index'!I84,"AAAAAG/rtjg=")</f>
        <v>#VALUE!</v>
      </c>
      <c r="BF4" s="22" t="n">
        <f aca="false">IF('Current Index'!85:85,"AAAAAG/rtjk=",0)</f>
        <v>0</v>
      </c>
      <c r="BG4" s="22" t="e">
        <f aca="false">AND('Current Index'!A85,"AAAAAG/rtjo=")</f>
        <v>#VALUE!</v>
      </c>
      <c r="BH4" s="22" t="e">
        <f aca="false">AND('current index'!#ref!,"AAAAAG/rtjs=")</f>
        <v>#VALUE!</v>
      </c>
      <c r="BI4" s="22" t="e">
        <f aca="false">AND('Current Index'!B85,"AAAAAG/rtjw=")</f>
        <v>#VALUE!</v>
      </c>
      <c r="BJ4" s="22" t="e">
        <f aca="false">AND('Current Index'!C85,"AAAAAG/rtj0=")</f>
        <v>#VALUE!</v>
      </c>
      <c r="BK4" s="22" t="e">
        <f aca="false">AND('Current Index'!D85,"AAAAAG/rtj4=")</f>
        <v>#VALUE!</v>
      </c>
      <c r="BL4" s="22" t="e">
        <f aca="false">AND('Current Index'!E85,"AAAAAG/rtj8=")</f>
        <v>#VALUE!</v>
      </c>
      <c r="BM4" s="22" t="e">
        <f aca="false">AND('Current Index'!F85,"AAAAAG/rtkA=")</f>
        <v>#VALUE!</v>
      </c>
      <c r="BN4" s="22" t="e">
        <f aca="false">AND('Current Index'!G85,"AAAAAG/rtkE=")</f>
        <v>#VALUE!</v>
      </c>
      <c r="BO4" s="22" t="e">
        <f aca="false">AND('Current Index'!H85,"AAAAAG/rtkI=")</f>
        <v>#VALUE!</v>
      </c>
      <c r="BP4" s="22" t="e">
        <f aca="false">AND('Current Index'!I85,"AAAAAG/rtkM=")</f>
        <v>#VALUE!</v>
      </c>
      <c r="BQ4" s="22" t="n">
        <f aca="false">IF('Current Index'!86:86,"AAAAAG/rtkQ=",0)</f>
        <v>0</v>
      </c>
      <c r="BR4" s="22" t="e">
        <f aca="false">AND('Current Index'!A86,"AAAAAG/rtkU=")</f>
        <v>#VALUE!</v>
      </c>
      <c r="BS4" s="22" t="e">
        <f aca="false">AND('current index'!#ref!,"AAAAAG/rtkY=")</f>
        <v>#VALUE!</v>
      </c>
      <c r="BT4" s="22" t="e">
        <f aca="false">AND('Current Index'!B86,"AAAAAG/rtkc=")</f>
        <v>#VALUE!</v>
      </c>
      <c r="BU4" s="22" t="e">
        <f aca="false">AND('Current Index'!C86,"AAAAAG/rtkg=")</f>
        <v>#VALUE!</v>
      </c>
      <c r="BV4" s="22" t="e">
        <f aca="false">AND('Current Index'!D86,"AAAAAG/rtkk=")</f>
        <v>#VALUE!</v>
      </c>
      <c r="BW4" s="22" t="e">
        <f aca="false">AND('Current Index'!E86,"AAAAAG/rtko=")</f>
        <v>#VALUE!</v>
      </c>
      <c r="BX4" s="22" t="e">
        <f aca="false">AND('Current Index'!F86,"AAAAAG/rtks=")</f>
        <v>#VALUE!</v>
      </c>
      <c r="BY4" s="22" t="e">
        <f aca="false">AND('Current Index'!G86,"AAAAAG/rtkw=")</f>
        <v>#VALUE!</v>
      </c>
      <c r="BZ4" s="22" t="e">
        <f aca="false">AND('Current Index'!H86,"AAAAAG/rtk0=")</f>
        <v>#VALUE!</v>
      </c>
      <c r="CA4" s="22" t="e">
        <f aca="false">AND('Current Index'!I86,"AAAAAG/rtk4=")</f>
        <v>#VALUE!</v>
      </c>
      <c r="CB4" s="22" t="n">
        <f aca="false">IF('Current Index'!87:87,"AAAAAG/rtk8=",0)</f>
        <v>0</v>
      </c>
      <c r="CC4" s="22" t="e">
        <f aca="false">AND('Current Index'!A87,"AAAAAG/rtlA=")</f>
        <v>#VALUE!</v>
      </c>
      <c r="CD4" s="22" t="e">
        <f aca="false">AND('current index'!#ref!,"AAAAAG/rtlE=")</f>
        <v>#VALUE!</v>
      </c>
      <c r="CE4" s="22" t="e">
        <f aca="false">AND('Current Index'!B87,"AAAAAG/rtlI=")</f>
        <v>#VALUE!</v>
      </c>
      <c r="CF4" s="22" t="e">
        <f aca="false">AND('Current Index'!C87,"AAAAAG/rtlM=")</f>
        <v>#VALUE!</v>
      </c>
      <c r="CG4" s="22" t="e">
        <f aca="false">AND('Current Index'!D87,"AAAAAG/rtlQ=")</f>
        <v>#VALUE!</v>
      </c>
      <c r="CH4" s="22" t="e">
        <f aca="false">AND('Current Index'!E87,"AAAAAG/rtlU=")</f>
        <v>#VALUE!</v>
      </c>
      <c r="CI4" s="22" t="e">
        <f aca="false">AND('Current Index'!F87,"AAAAAG/rtlY=")</f>
        <v>#VALUE!</v>
      </c>
      <c r="CJ4" s="22" t="e">
        <f aca="false">AND('Current Index'!G87,"AAAAAG/rtlc=")</f>
        <v>#VALUE!</v>
      </c>
      <c r="CK4" s="22" t="e">
        <f aca="false">AND('Current Index'!H87,"AAAAAG/rtlg=")</f>
        <v>#VALUE!</v>
      </c>
      <c r="CL4" s="22" t="e">
        <f aca="false">AND('Current Index'!I87,"AAAAAG/rtlk=")</f>
        <v>#VALUE!</v>
      </c>
      <c r="CM4" s="22" t="n">
        <f aca="false">IF('Current Index'!88:88,"AAAAAG/rtlo=",0)</f>
        <v>0</v>
      </c>
      <c r="CN4" s="22" t="e">
        <f aca="false">AND('Current Index'!A88,"AAAAAG/rtls=")</f>
        <v>#VALUE!</v>
      </c>
      <c r="CO4" s="22" t="e">
        <f aca="false">AND('current index'!#ref!,"AAAAAG/rtlw=")</f>
        <v>#VALUE!</v>
      </c>
      <c r="CP4" s="22" t="e">
        <f aca="false">AND('Current Index'!B88,"AAAAAG/rtl0=")</f>
        <v>#VALUE!</v>
      </c>
      <c r="CQ4" s="22" t="e">
        <f aca="false">AND('Current Index'!C88,"AAAAAG/rtl4=")</f>
        <v>#VALUE!</v>
      </c>
      <c r="CR4" s="22" t="e">
        <f aca="false">AND('Current Index'!D88,"AAAAAG/rtl8=")</f>
        <v>#VALUE!</v>
      </c>
      <c r="CS4" s="22" t="e">
        <f aca="false">AND('Current Index'!E88,"AAAAAG/rtmA=")</f>
        <v>#VALUE!</v>
      </c>
      <c r="CT4" s="22" t="e">
        <f aca="false">AND('Current Index'!F88,"AAAAAG/rtmE=")</f>
        <v>#VALUE!</v>
      </c>
      <c r="CU4" s="22" t="e">
        <f aca="false">AND('Current Index'!G88,"AAAAAG/rtmI=")</f>
        <v>#VALUE!</v>
      </c>
      <c r="CV4" s="22" t="e">
        <f aca="false">AND('Current Index'!H88,"AAAAAG/rtmM=")</f>
        <v>#VALUE!</v>
      </c>
      <c r="CW4" s="22" t="e">
        <f aca="false">AND('Current Index'!I88,"AAAAAG/rtmQ=")</f>
        <v>#VALUE!</v>
      </c>
      <c r="CX4" s="22" t="n">
        <f aca="false">IF('Current Index'!89:89,"AAAAAG/rtmU=",0)</f>
        <v>0</v>
      </c>
      <c r="CY4" s="22" t="e">
        <f aca="false">AND('Current Index'!A89,"AAAAAG/rtmY=")</f>
        <v>#VALUE!</v>
      </c>
      <c r="CZ4" s="22" t="e">
        <f aca="false">AND('current index'!#ref!,"AAAAAG/rtmc=")</f>
        <v>#VALUE!</v>
      </c>
      <c r="DA4" s="22" t="e">
        <f aca="false">AND('Current Index'!B89,"AAAAAG/rtmg=")</f>
        <v>#VALUE!</v>
      </c>
      <c r="DB4" s="22" t="e">
        <f aca="false">AND('Current Index'!C89,"AAAAAG/rtmk=")</f>
        <v>#VALUE!</v>
      </c>
      <c r="DC4" s="22" t="e">
        <f aca="false">AND('Current Index'!D89,"AAAAAG/rtmo=")</f>
        <v>#VALUE!</v>
      </c>
      <c r="DD4" s="22" t="e">
        <f aca="false">AND('Current Index'!E89,"AAAAAG/rtms=")</f>
        <v>#VALUE!</v>
      </c>
      <c r="DE4" s="22" t="e">
        <f aca="false">AND('Current Index'!F89,"AAAAAG/rtmw=")</f>
        <v>#VALUE!</v>
      </c>
      <c r="DF4" s="22" t="e">
        <f aca="false">AND('Current Index'!G89,"AAAAAG/rtm0=")</f>
        <v>#VALUE!</v>
      </c>
      <c r="DG4" s="22" t="e">
        <f aca="false">AND('Current Index'!H89,"AAAAAG/rtm4=")</f>
        <v>#VALUE!</v>
      </c>
      <c r="DH4" s="22" t="e">
        <f aca="false">AND('Current Index'!I89,"AAAAAG/rtm8=")</f>
        <v>#VALUE!</v>
      </c>
      <c r="DI4" s="22" t="n">
        <f aca="false">IF('Current Index'!90:90,"AAAAAG/rtnA=",0)</f>
        <v>0</v>
      </c>
      <c r="DJ4" s="22" t="e">
        <f aca="false">AND('Current Index'!A90,"AAAAAG/rtnE=")</f>
        <v>#VALUE!</v>
      </c>
      <c r="DK4" s="22" t="e">
        <f aca="false">AND('current index'!#ref!,"AAAAAG/rtnI=")</f>
        <v>#VALUE!</v>
      </c>
      <c r="DL4" s="22" t="e">
        <f aca="false">AND('Current Index'!B90,"AAAAAG/rtnM=")</f>
        <v>#VALUE!</v>
      </c>
      <c r="DM4" s="22" t="e">
        <f aca="false">AND('Current Index'!C90,"AAAAAG/rtnQ=")</f>
        <v>#VALUE!</v>
      </c>
      <c r="DN4" s="22" t="e">
        <f aca="false">AND('Current Index'!D90,"AAAAAG/rtnU=")</f>
        <v>#VALUE!</v>
      </c>
      <c r="DO4" s="22" t="e">
        <f aca="false">AND('Current Index'!E90,"AAAAAG/rtnY=")</f>
        <v>#VALUE!</v>
      </c>
      <c r="DP4" s="22" t="e">
        <f aca="false">AND('Current Index'!F90,"AAAAAG/rtnc=")</f>
        <v>#VALUE!</v>
      </c>
      <c r="DQ4" s="22" t="e">
        <f aca="false">AND('Current Index'!G90,"AAAAAG/rtng=")</f>
        <v>#VALUE!</v>
      </c>
      <c r="DR4" s="22" t="e">
        <f aca="false">AND('Current Index'!H90,"AAAAAG/rtnk=")</f>
        <v>#VALUE!</v>
      </c>
      <c r="DS4" s="22" t="e">
        <f aca="false">AND('Current Index'!I90,"AAAAAG/rtno=")</f>
        <v>#VALUE!</v>
      </c>
      <c r="DT4" s="22" t="n">
        <f aca="false">IF('Current Index'!91:91,"AAAAAG/rtns=",0)</f>
        <v>0</v>
      </c>
      <c r="DU4" s="22" t="e">
        <f aca="false">AND('Current Index'!A91,"AAAAAG/rtnw=")</f>
        <v>#VALUE!</v>
      </c>
      <c r="DV4" s="22" t="e">
        <f aca="false">AND('current index'!#ref!,"AAAAAG/rtn0=")</f>
        <v>#VALUE!</v>
      </c>
      <c r="DW4" s="22" t="e">
        <f aca="false">AND('Current Index'!B91,"AAAAAG/rtn4=")</f>
        <v>#VALUE!</v>
      </c>
      <c r="DX4" s="22" t="e">
        <f aca="false">AND('Current Index'!C91,"AAAAAG/rtn8=")</f>
        <v>#VALUE!</v>
      </c>
      <c r="DY4" s="22" t="e">
        <f aca="false">AND('Current Index'!D91,"AAAAAG/rtoA=")</f>
        <v>#VALUE!</v>
      </c>
      <c r="DZ4" s="22" t="e">
        <f aca="false">AND('Current Index'!E91,"AAAAAG/rtoE=")</f>
        <v>#VALUE!</v>
      </c>
      <c r="EA4" s="22" t="e">
        <f aca="false">AND('Current Index'!F91,"AAAAAG/rtoI=")</f>
        <v>#VALUE!</v>
      </c>
      <c r="EB4" s="22" t="e">
        <f aca="false">AND('Current Index'!G91,"AAAAAG/rtoM=")</f>
        <v>#VALUE!</v>
      </c>
      <c r="EC4" s="22" t="e">
        <f aca="false">AND('Current Index'!H91,"AAAAAG/rtoQ=")</f>
        <v>#VALUE!</v>
      </c>
      <c r="ED4" s="22" t="e">
        <f aca="false">AND('Current Index'!I91,"AAAAAG/rtoU=")</f>
        <v>#VALUE!</v>
      </c>
      <c r="EE4" s="22" t="n">
        <f aca="false">IF('Current Index'!92:92,"AAAAAG/rtoY=",0)</f>
        <v>0</v>
      </c>
      <c r="EF4" s="22" t="e">
        <f aca="false">AND('Current Index'!A92,"AAAAAG/rtoc=")</f>
        <v>#VALUE!</v>
      </c>
      <c r="EG4" s="22" t="e">
        <f aca="false">AND('current index'!#ref!,"AAAAAG/rtog=")</f>
        <v>#VALUE!</v>
      </c>
      <c r="EH4" s="22" t="e">
        <f aca="false">AND('Current Index'!B92,"AAAAAG/rtok=")</f>
        <v>#VALUE!</v>
      </c>
      <c r="EI4" s="22" t="e">
        <f aca="false">AND('Current Index'!C92,"AAAAAG/rtoo=")</f>
        <v>#VALUE!</v>
      </c>
      <c r="EJ4" s="22" t="e">
        <f aca="false">AND('Current Index'!D92,"AAAAAG/rtos=")</f>
        <v>#VALUE!</v>
      </c>
      <c r="EK4" s="22" t="e">
        <f aca="false">AND('Current Index'!E92,"AAAAAG/rtow=")</f>
        <v>#VALUE!</v>
      </c>
      <c r="EL4" s="22" t="e">
        <f aca="false">AND('Current Index'!F92,"AAAAAG/rto0=")</f>
        <v>#VALUE!</v>
      </c>
      <c r="EM4" s="22" t="e">
        <f aca="false">AND('Current Index'!G92,"AAAAAG/rto4=")</f>
        <v>#VALUE!</v>
      </c>
      <c r="EN4" s="22" t="e">
        <f aca="false">AND('Current Index'!H92,"AAAAAG/rto8=")</f>
        <v>#VALUE!</v>
      </c>
      <c r="EO4" s="22" t="e">
        <f aca="false">AND('Current Index'!I92,"AAAAAG/rtpA=")</f>
        <v>#VALUE!</v>
      </c>
      <c r="EP4" s="22" t="n">
        <f aca="false">IF('Current Index'!93:93,"AAAAAG/rtpE=",0)</f>
        <v>0</v>
      </c>
      <c r="EQ4" s="22" t="e">
        <f aca="false">AND('Current Index'!A93,"AAAAAG/rtpI=")</f>
        <v>#VALUE!</v>
      </c>
      <c r="ER4" s="22" t="e">
        <f aca="false">AND('current index'!#ref!,"AAAAAG/rtpM=")</f>
        <v>#VALUE!</v>
      </c>
      <c r="ES4" s="22" t="e">
        <f aca="false">AND('Current Index'!B93,"AAAAAG/rtpQ=")</f>
        <v>#VALUE!</v>
      </c>
      <c r="ET4" s="22" t="e">
        <f aca="false">AND('Current Index'!C93,"AAAAAG/rtpU=")</f>
        <v>#VALUE!</v>
      </c>
      <c r="EU4" s="22" t="e">
        <f aca="false">AND('Current Index'!D93,"AAAAAG/rtpY=")</f>
        <v>#VALUE!</v>
      </c>
      <c r="EV4" s="22" t="e">
        <f aca="false">AND('Current Index'!E93,"AAAAAG/rtpc=")</f>
        <v>#VALUE!</v>
      </c>
      <c r="EW4" s="22" t="e">
        <f aca="false">AND('Current Index'!F93,"AAAAAG/rtpg=")</f>
        <v>#VALUE!</v>
      </c>
      <c r="EX4" s="22" t="e">
        <f aca="false">AND('Current Index'!G93,"AAAAAG/rtpk=")</f>
        <v>#VALUE!</v>
      </c>
      <c r="EY4" s="22" t="e">
        <f aca="false">AND('Current Index'!H93,"AAAAAG/rtpo=")</f>
        <v>#VALUE!</v>
      </c>
      <c r="EZ4" s="22" t="e">
        <f aca="false">AND('Current Index'!I93,"AAAAAG/rtps=")</f>
        <v>#VALUE!</v>
      </c>
      <c r="FA4" s="22" t="n">
        <f aca="false">IF('Current Index'!94:94,"AAAAAG/rtpw=",0)</f>
        <v>0</v>
      </c>
      <c r="FB4" s="22" t="e">
        <f aca="false">AND('Current Index'!A94,"AAAAAG/rtp0=")</f>
        <v>#VALUE!</v>
      </c>
      <c r="FC4" s="22" t="e">
        <f aca="false">AND('current index'!#ref!,"AAAAAG/rtp4=")</f>
        <v>#VALUE!</v>
      </c>
      <c r="FD4" s="22" t="e">
        <f aca="false">AND('Current Index'!B94,"AAAAAG/rtp8=")</f>
        <v>#VALUE!</v>
      </c>
      <c r="FE4" s="22" t="e">
        <f aca="false">AND('Current Index'!C94,"AAAAAG/rtqA=")</f>
        <v>#VALUE!</v>
      </c>
      <c r="FF4" s="22" t="e">
        <f aca="false">AND('Current Index'!D94,"AAAAAG/rtqE=")</f>
        <v>#VALUE!</v>
      </c>
      <c r="FG4" s="22" t="e">
        <f aca="false">AND('Current Index'!E94,"AAAAAG/rtqI=")</f>
        <v>#VALUE!</v>
      </c>
      <c r="FH4" s="22" t="e">
        <f aca="false">AND('Current Index'!F94,"AAAAAG/rtqM=")</f>
        <v>#VALUE!</v>
      </c>
      <c r="FI4" s="22" t="e">
        <f aca="false">AND('Current Index'!G94,"AAAAAG/rtqQ=")</f>
        <v>#VALUE!</v>
      </c>
      <c r="FJ4" s="22" t="e">
        <f aca="false">AND('Current Index'!H94,"AAAAAG/rtqU=")</f>
        <v>#VALUE!</v>
      </c>
      <c r="FK4" s="22" t="e">
        <f aca="false">AND('Current Index'!I94,"AAAAAG/rtqY=")</f>
        <v>#VALUE!</v>
      </c>
      <c r="FL4" s="22" t="n">
        <f aca="false">IF('Current Index'!95:95,"AAAAAG/rtqc=",0)</f>
        <v>0</v>
      </c>
      <c r="FM4" s="22" t="e">
        <f aca="false">AND('Current Index'!A95,"AAAAAG/rtqg=")</f>
        <v>#VALUE!</v>
      </c>
      <c r="FN4" s="22" t="e">
        <f aca="false">AND('current index'!#ref!,"AAAAAG/rtqk=")</f>
        <v>#VALUE!</v>
      </c>
      <c r="FO4" s="22" t="e">
        <f aca="false">AND('Current Index'!B95,"AAAAAG/rtqo=")</f>
        <v>#VALUE!</v>
      </c>
      <c r="FP4" s="22" t="e">
        <f aca="false">AND('Current Index'!C95,"AAAAAG/rtqs=")</f>
        <v>#VALUE!</v>
      </c>
      <c r="FQ4" s="22" t="e">
        <f aca="false">AND('Current Index'!D95,"AAAAAG/rtqw=")</f>
        <v>#VALUE!</v>
      </c>
      <c r="FR4" s="22" t="e">
        <f aca="false">AND('Current Index'!E95,"AAAAAG/rtq0=")</f>
        <v>#VALUE!</v>
      </c>
      <c r="FS4" s="22" t="e">
        <f aca="false">AND('Current Index'!F95,"AAAAAG/rtq4=")</f>
        <v>#VALUE!</v>
      </c>
      <c r="FT4" s="22" t="e">
        <f aca="false">AND('Current Index'!G95,"AAAAAG/rtq8=")</f>
        <v>#VALUE!</v>
      </c>
      <c r="FU4" s="22" t="e">
        <f aca="false">AND('Current Index'!H95,"AAAAAG/rtrA=")</f>
        <v>#VALUE!</v>
      </c>
      <c r="FV4" s="22" t="e">
        <f aca="false">AND('Current Index'!I95,"AAAAAG/rtrE=")</f>
        <v>#VALUE!</v>
      </c>
      <c r="FW4" s="22" t="n">
        <f aca="false">IF('Current Index'!96:96,"AAAAAG/rtrI=",0)</f>
        <v>0</v>
      </c>
      <c r="FX4" s="22" t="e">
        <f aca="false">AND('Current Index'!A96,"AAAAAG/rtrM=")</f>
        <v>#VALUE!</v>
      </c>
      <c r="FY4" s="22" t="e">
        <f aca="false">AND('current index'!#ref!,"AAAAAG/rtrQ=")</f>
        <v>#VALUE!</v>
      </c>
      <c r="FZ4" s="22" t="e">
        <f aca="false">AND('Current Index'!B96,"AAAAAG/rtrU=")</f>
        <v>#VALUE!</v>
      </c>
      <c r="GA4" s="22" t="e">
        <f aca="false">AND('Current Index'!C96,"AAAAAG/rtrY=")</f>
        <v>#VALUE!</v>
      </c>
      <c r="GB4" s="22" t="e">
        <f aca="false">AND('Current Index'!D96,"AAAAAG/rtrc=")</f>
        <v>#VALUE!</v>
      </c>
      <c r="GC4" s="22" t="e">
        <f aca="false">AND('Current Index'!E96,"AAAAAG/rtrg=")</f>
        <v>#VALUE!</v>
      </c>
      <c r="GD4" s="22" t="e">
        <f aca="false">AND('Current Index'!F96,"AAAAAG/rtrk=")</f>
        <v>#VALUE!</v>
      </c>
      <c r="GE4" s="22" t="e">
        <f aca="false">AND('Current Index'!G96,"AAAAAG/rtro=")</f>
        <v>#VALUE!</v>
      </c>
      <c r="GF4" s="22" t="e">
        <f aca="false">AND('Current Index'!H96,"AAAAAG/rtrs=")</f>
        <v>#VALUE!</v>
      </c>
      <c r="GG4" s="22" t="e">
        <f aca="false">AND('Current Index'!I96,"AAAAAG/rtrw=")</f>
        <v>#VALUE!</v>
      </c>
      <c r="GH4" s="22" t="e">
        <f aca="false">IF('current index'!#ref!,"AAAAAG/rtr0=",0)</f>
        <v>#VALUE!</v>
      </c>
      <c r="GI4" s="22" t="e">
        <f aca="false">AND('current index'!#ref!,"AAAAAG/rtr4=")</f>
        <v>#VALUE!</v>
      </c>
      <c r="GJ4" s="22" t="e">
        <f aca="false">AND('current index'!#ref!,"AAAAAG/rtr8=")</f>
        <v>#VALUE!</v>
      </c>
      <c r="GK4" s="22" t="e">
        <f aca="false">AND('current index'!#ref!,"AAAAAG/rtsA=")</f>
        <v>#VALUE!</v>
      </c>
      <c r="GL4" s="22" t="e">
        <f aca="false">AND('current index'!#ref!,"AAAAAG/rtsE=")</f>
        <v>#VALUE!</v>
      </c>
      <c r="GM4" s="22" t="e">
        <f aca="false">AND('current index'!#ref!,"AAAAAG/rtsI=")</f>
        <v>#VALUE!</v>
      </c>
      <c r="GN4" s="22" t="e">
        <f aca="false">AND('current index'!#ref!,"AAAAAG/rtsM=")</f>
        <v>#VALUE!</v>
      </c>
      <c r="GO4" s="22" t="e">
        <f aca="false">AND('current index'!#ref!,"AAAAAG/rtsQ=")</f>
        <v>#VALUE!</v>
      </c>
      <c r="GP4" s="22" t="e">
        <f aca="false">AND('current index'!#ref!,"AAAAAG/rtsU=")</f>
        <v>#VALUE!</v>
      </c>
      <c r="GQ4" s="22" t="e">
        <f aca="false">AND('current index'!#ref!,"AAAAAG/rtsY=")</f>
        <v>#VALUE!</v>
      </c>
      <c r="GR4" s="22" t="e">
        <f aca="false">AND('current index'!#ref!,"AAAAAG/rtsc=")</f>
        <v>#VALUE!</v>
      </c>
      <c r="GS4" s="22" t="e">
        <f aca="false">IF('current index'!#ref!,"AAAAAG/rtsg=",0)</f>
        <v>#VALUE!</v>
      </c>
      <c r="GT4" s="22" t="e">
        <f aca="false">AND('current index'!#ref!,"AAAAAG/rtsk=")</f>
        <v>#VALUE!</v>
      </c>
      <c r="GU4" s="22" t="e">
        <f aca="false">AND('current index'!#ref!,"AAAAAG/rtso=")</f>
        <v>#VALUE!</v>
      </c>
      <c r="GV4" s="22" t="e">
        <f aca="false">AND('current index'!#ref!,"AAAAAG/rtss=")</f>
        <v>#VALUE!</v>
      </c>
      <c r="GW4" s="22" t="e">
        <f aca="false">AND('current index'!#ref!,"AAAAAG/rtsw=")</f>
        <v>#VALUE!</v>
      </c>
      <c r="GX4" s="22" t="e">
        <f aca="false">AND('current index'!#ref!,"AAAAAG/rts0=")</f>
        <v>#VALUE!</v>
      </c>
      <c r="GY4" s="22" t="e">
        <f aca="false">AND('current index'!#ref!,"AAAAAG/rts4=")</f>
        <v>#VALUE!</v>
      </c>
      <c r="GZ4" s="22" t="e">
        <f aca="false">AND('current index'!#ref!,"AAAAAG/rts8=")</f>
        <v>#VALUE!</v>
      </c>
      <c r="HA4" s="22" t="e">
        <f aca="false">AND('current index'!#ref!,"AAAAAG/rttA=")</f>
        <v>#VALUE!</v>
      </c>
      <c r="HB4" s="22" t="e">
        <f aca="false">AND('current index'!#ref!,"AAAAAG/rttE=")</f>
        <v>#VALUE!</v>
      </c>
      <c r="HC4" s="22" t="e">
        <f aca="false">AND('current index'!#ref!,"AAAAAG/rttI=")</f>
        <v>#VALUE!</v>
      </c>
      <c r="HD4" s="22" t="n">
        <f aca="false">IF('Current Index'!110:110,"AAAAAG/rttM=",0)</f>
        <v>0</v>
      </c>
      <c r="HE4" s="22" t="e">
        <f aca="false">AND('Current Index'!A110,"AAAAAG/rttQ=")</f>
        <v>#VALUE!</v>
      </c>
      <c r="HF4" s="22" t="e">
        <f aca="false">AND('current index'!#ref!,"AAAAAG/rttU=")</f>
        <v>#VALUE!</v>
      </c>
      <c r="HG4" s="22" t="e">
        <f aca="false">AND('Current Index'!B110,"AAAAAG/rttY=")</f>
        <v>#VALUE!</v>
      </c>
      <c r="HH4" s="22" t="e">
        <f aca="false">AND('Current Index'!C110,"AAAAAG/rttc=")</f>
        <v>#VALUE!</v>
      </c>
      <c r="HI4" s="22" t="e">
        <f aca="false">AND('Current Index'!D110,"AAAAAG/rttg=")</f>
        <v>#VALUE!</v>
      </c>
      <c r="HJ4" s="22" t="e">
        <f aca="false">AND('Current Index'!E110,"AAAAAG/rttk=")</f>
        <v>#VALUE!</v>
      </c>
      <c r="HK4" s="22" t="e">
        <f aca="false">AND('Current Index'!F110,"AAAAAG/rtto=")</f>
        <v>#VALUE!</v>
      </c>
      <c r="HL4" s="22" t="e">
        <f aca="false">AND('Current Index'!G110,"AAAAAG/rtts=")</f>
        <v>#VALUE!</v>
      </c>
      <c r="HM4" s="22" t="e">
        <f aca="false">AND('Current Index'!H110,"AAAAAG/rttw=")</f>
        <v>#VALUE!</v>
      </c>
      <c r="HN4" s="22" t="e">
        <f aca="false">AND('Current Index'!I110,"AAAAAG/rtt0=")</f>
        <v>#VALUE!</v>
      </c>
      <c r="HO4" s="22" t="n">
        <f aca="false">IF('Current Index'!111:111,"AAAAAG/rtt4=",0)</f>
        <v>0</v>
      </c>
      <c r="HP4" s="22" t="e">
        <f aca="false">AND('Current Index'!A111,"AAAAAG/rtt8=")</f>
        <v>#VALUE!</v>
      </c>
      <c r="HQ4" s="22" t="e">
        <f aca="false">AND('current index'!#ref!,"AAAAAG/rtuA=")</f>
        <v>#VALUE!</v>
      </c>
      <c r="HR4" s="22" t="e">
        <f aca="false">AND('Current Index'!B111,"AAAAAG/rtuE=")</f>
        <v>#VALUE!</v>
      </c>
      <c r="HS4" s="22" t="e">
        <f aca="false">AND('Current Index'!C111,"AAAAAG/rtuI=")</f>
        <v>#VALUE!</v>
      </c>
      <c r="HT4" s="22" t="e">
        <f aca="false">AND('Current Index'!D111,"AAAAAG/rtuM=")</f>
        <v>#VALUE!</v>
      </c>
      <c r="HU4" s="22" t="e">
        <f aca="false">AND('Current Index'!E111,"AAAAAG/rtuQ=")</f>
        <v>#VALUE!</v>
      </c>
      <c r="HV4" s="22" t="e">
        <f aca="false">AND('Current Index'!F111,"AAAAAG/rtuU=")</f>
        <v>#VALUE!</v>
      </c>
      <c r="HW4" s="22" t="e">
        <f aca="false">AND('Current Index'!G111,"AAAAAG/rtuY=")</f>
        <v>#VALUE!</v>
      </c>
      <c r="HX4" s="22" t="e">
        <f aca="false">AND('Current Index'!H111,"AAAAAG/rtuc=")</f>
        <v>#VALUE!</v>
      </c>
      <c r="HY4" s="22" t="e">
        <f aca="false">AND('Current Index'!I111,"AAAAAG/rtug=")</f>
        <v>#VALUE!</v>
      </c>
      <c r="HZ4" s="22" t="e">
        <f aca="false">IF('current index'!#ref!,"AAAAAG/rtuk=",0)</f>
        <v>#VALUE!</v>
      </c>
      <c r="IA4" s="22" t="e">
        <f aca="false">AND('current index'!#ref!,"AAAAAG/rtuo=")</f>
        <v>#VALUE!</v>
      </c>
      <c r="IB4" s="22" t="e">
        <f aca="false">AND('current index'!#ref!,"AAAAAG/rtus=")</f>
        <v>#VALUE!</v>
      </c>
      <c r="IC4" s="22" t="e">
        <f aca="false">AND('current index'!#ref!,"AAAAAG/rtuw=")</f>
        <v>#VALUE!</v>
      </c>
      <c r="ID4" s="22" t="e">
        <f aca="false">AND('current index'!#ref!,"AAAAAG/rtu0=")</f>
        <v>#VALUE!</v>
      </c>
      <c r="IE4" s="22" t="e">
        <f aca="false">AND('current index'!#ref!,"AAAAAG/rtu4=")</f>
        <v>#VALUE!</v>
      </c>
      <c r="IF4" s="22" t="e">
        <f aca="false">AND('current index'!#ref!,"AAAAAG/rtu8=")</f>
        <v>#VALUE!</v>
      </c>
      <c r="IG4" s="22" t="e">
        <f aca="false">AND('current index'!#ref!,"AAAAAG/rtvA=")</f>
        <v>#VALUE!</v>
      </c>
      <c r="IH4" s="22" t="e">
        <f aca="false">AND('current index'!#ref!,"AAAAAG/rtvE=")</f>
        <v>#VALUE!</v>
      </c>
      <c r="II4" s="22" t="e">
        <f aca="false">AND('current index'!#ref!,"AAAAAG/rtvI=")</f>
        <v>#VALUE!</v>
      </c>
      <c r="IJ4" s="22" t="e">
        <f aca="false">AND('current index'!#ref!,"AAAAAG/rtvM=")</f>
        <v>#VALUE!</v>
      </c>
      <c r="IK4" s="22" t="n">
        <f aca="false">IF('Current Index'!112:112,"AAAAAG/rtvQ=",0)</f>
        <v>0</v>
      </c>
      <c r="IL4" s="22" t="e">
        <f aca="false">AND('Current Index'!A112,"AAAAAG/rtvU=")</f>
        <v>#VALUE!</v>
      </c>
      <c r="IM4" s="22" t="e">
        <f aca="false">AND('current index'!#ref!,"AAAAAG/rtvY=")</f>
        <v>#VALUE!</v>
      </c>
      <c r="IN4" s="22" t="e">
        <f aca="false">AND('Current Index'!B112,"AAAAAG/rtvc=")</f>
        <v>#VALUE!</v>
      </c>
      <c r="IO4" s="22" t="e">
        <f aca="false">AND('Current Index'!C112,"AAAAAG/rtvg=")</f>
        <v>#VALUE!</v>
      </c>
      <c r="IP4" s="22" t="e">
        <f aca="false">AND('Current Index'!D112,"AAAAAG/rtvk=")</f>
        <v>#VALUE!</v>
      </c>
      <c r="IQ4" s="22" t="e">
        <f aca="false">AND('Current Index'!E112,"AAAAAG/rtvo=")</f>
        <v>#VALUE!</v>
      </c>
      <c r="IR4" s="22" t="e">
        <f aca="false">AND('Current Index'!F112,"AAAAAG/rtvs=")</f>
        <v>#VALUE!</v>
      </c>
      <c r="IS4" s="22" t="e">
        <f aca="false">AND('Current Index'!G112,"AAAAAG/rtvw=")</f>
        <v>#VALUE!</v>
      </c>
      <c r="IT4" s="22" t="e">
        <f aca="false">AND('Current Index'!H112,"AAAAAG/rtv0=")</f>
        <v>#VALUE!</v>
      </c>
      <c r="IU4" s="22" t="e">
        <f aca="false">AND('Current Index'!I112,"AAAAAG/rtv4=")</f>
        <v>#VALUE!</v>
      </c>
      <c r="IV4" s="22" t="n">
        <f aca="false">IF('Current Index'!113:113,"AAAAAG/rtv8=",0)</f>
        <v>0</v>
      </c>
    </row>
    <row r="5" customFormat="false" ht="12.75" hidden="false" customHeight="false" outlineLevel="0" collapsed="false">
      <c r="A5" s="22" t="e">
        <f aca="false">AND('Current Index'!A113,"AAAAAHzv9AA=")</f>
        <v>#VALUE!</v>
      </c>
      <c r="B5" s="22" t="e">
        <f aca="false">AND('current index'!#ref!,"AAAAAHzv9AE=")</f>
        <v>#VALUE!</v>
      </c>
      <c r="C5" s="22" t="e">
        <f aca="false">AND('Current Index'!B113,"AAAAAHzv9AI=")</f>
        <v>#VALUE!</v>
      </c>
      <c r="D5" s="22" t="e">
        <f aca="false">AND('Current Index'!C113,"AAAAAHzv9AM=")</f>
        <v>#VALUE!</v>
      </c>
      <c r="E5" s="22" t="e">
        <f aca="false">AND('Current Index'!D113,"AAAAAHzv9AQ=")</f>
        <v>#VALUE!</v>
      </c>
      <c r="F5" s="22" t="e">
        <f aca="false">AND('Current Index'!E113,"AAAAAHzv9AU=")</f>
        <v>#VALUE!</v>
      </c>
      <c r="G5" s="22" t="e">
        <f aca="false">AND('Current Index'!F113,"AAAAAHzv9AY=")</f>
        <v>#VALUE!</v>
      </c>
      <c r="H5" s="22" t="e">
        <f aca="false">AND('Current Index'!G113,"AAAAAHzv9Ac=")</f>
        <v>#VALUE!</v>
      </c>
      <c r="I5" s="22" t="e">
        <f aca="false">AND('Current Index'!H113,"AAAAAHzv9Ag=")</f>
        <v>#VALUE!</v>
      </c>
      <c r="J5" s="22" t="e">
        <f aca="false">AND('Current Index'!I113,"AAAAAHzv9Ak=")</f>
        <v>#VALUE!</v>
      </c>
      <c r="K5" s="22" t="n">
        <f aca="false">IF('Current Index'!114:114,"AAAAAHzv9Ao=",0)</f>
        <v>0</v>
      </c>
      <c r="L5" s="22" t="e">
        <f aca="false">AND('Current Index'!A114,"AAAAAHzv9As=")</f>
        <v>#VALUE!</v>
      </c>
      <c r="M5" s="22" t="e">
        <f aca="false">AND('current index'!#ref!,"AAAAAHzv9Aw=")</f>
        <v>#VALUE!</v>
      </c>
      <c r="N5" s="22" t="e">
        <f aca="false">AND('Current Index'!B114,"AAAAAHzv9A0=")</f>
        <v>#VALUE!</v>
      </c>
      <c r="O5" s="22" t="e">
        <f aca="false">AND('Current Index'!C114,"AAAAAHzv9A4=")</f>
        <v>#VALUE!</v>
      </c>
      <c r="P5" s="22" t="e">
        <f aca="false">AND('Current Index'!D114,"AAAAAHzv9A8=")</f>
        <v>#VALUE!</v>
      </c>
      <c r="Q5" s="22" t="e">
        <f aca="false">AND('Current Index'!E114,"AAAAAHzv9BA=")</f>
        <v>#VALUE!</v>
      </c>
      <c r="R5" s="22" t="e">
        <f aca="false">AND('Current Index'!F114,"AAAAAHzv9BE=")</f>
        <v>#VALUE!</v>
      </c>
      <c r="S5" s="22" t="e">
        <f aca="false">AND('Current Index'!G114,"AAAAAHzv9BI=")</f>
        <v>#VALUE!</v>
      </c>
      <c r="T5" s="22" t="e">
        <f aca="false">AND('Current Index'!H114,"AAAAAHzv9BM=")</f>
        <v>#VALUE!</v>
      </c>
      <c r="U5" s="22" t="e">
        <f aca="false">AND('Current Index'!I114,"AAAAAHzv9BQ=")</f>
        <v>#VALUE!</v>
      </c>
      <c r="V5" s="22" t="n">
        <f aca="false">IF('Current Index'!115:115,"AAAAAHzv9BU=",0)</f>
        <v>0</v>
      </c>
      <c r="W5" s="22" t="e">
        <f aca="false">AND('Current Index'!A115,"AAAAAHzv9BY=")</f>
        <v>#VALUE!</v>
      </c>
      <c r="X5" s="22" t="e">
        <f aca="false">AND('current index'!#ref!,"AAAAAHzv9Bc=")</f>
        <v>#VALUE!</v>
      </c>
      <c r="Y5" s="22" t="e">
        <f aca="false">AND('Current Index'!B115,"AAAAAHzv9Bg=")</f>
        <v>#VALUE!</v>
      </c>
      <c r="Z5" s="22" t="e">
        <f aca="false">AND('Current Index'!C115,"AAAAAHzv9Bk=")</f>
        <v>#VALUE!</v>
      </c>
      <c r="AA5" s="22" t="e">
        <f aca="false">AND('Current Index'!D115,"AAAAAHzv9Bo=")</f>
        <v>#VALUE!</v>
      </c>
      <c r="AB5" s="22" t="e">
        <f aca="false">AND('Current Index'!E115,"AAAAAHzv9Bs=")</f>
        <v>#VALUE!</v>
      </c>
      <c r="AC5" s="22" t="e">
        <f aca="false">AND('Current Index'!F115,"AAAAAHzv9Bw=")</f>
        <v>#VALUE!</v>
      </c>
      <c r="AD5" s="22" t="e">
        <f aca="false">AND('Current Index'!G115,"AAAAAHzv9B0=")</f>
        <v>#VALUE!</v>
      </c>
      <c r="AE5" s="22" t="e">
        <f aca="false">AND('Current Index'!H115,"AAAAAHzv9B4=")</f>
        <v>#VALUE!</v>
      </c>
      <c r="AF5" s="22" t="e">
        <f aca="false">AND('Current Index'!I115,"AAAAAHzv9B8=")</f>
        <v>#VALUE!</v>
      </c>
      <c r="AG5" s="22" t="e">
        <f aca="false">IF('current index'!#ref!,"AAAAAHzv9CA=",0)</f>
        <v>#VALUE!</v>
      </c>
      <c r="AH5" s="22" t="e">
        <f aca="false">AND('current index'!#ref!,"AAAAAHzv9CE=")</f>
        <v>#VALUE!</v>
      </c>
      <c r="AI5" s="22" t="e">
        <f aca="false">AND('current index'!#ref!,"AAAAAHzv9CI=")</f>
        <v>#VALUE!</v>
      </c>
      <c r="AJ5" s="22" t="e">
        <f aca="false">AND('current index'!#ref!,"AAAAAHzv9CM=")</f>
        <v>#VALUE!</v>
      </c>
      <c r="AK5" s="22" t="e">
        <f aca="false">AND('current index'!#ref!,"AAAAAHzv9CQ=")</f>
        <v>#VALUE!</v>
      </c>
      <c r="AL5" s="22" t="e">
        <f aca="false">AND('current index'!#ref!,"AAAAAHzv9CU=")</f>
        <v>#VALUE!</v>
      </c>
      <c r="AM5" s="22" t="e">
        <f aca="false">AND('current index'!#ref!,"AAAAAHzv9CY=")</f>
        <v>#VALUE!</v>
      </c>
      <c r="AN5" s="22" t="e">
        <f aca="false">AND('current index'!#ref!,"AAAAAHzv9Cc=")</f>
        <v>#VALUE!</v>
      </c>
      <c r="AO5" s="22" t="e">
        <f aca="false">AND('current index'!#ref!,"AAAAAHzv9Cg=")</f>
        <v>#VALUE!</v>
      </c>
      <c r="AP5" s="22" t="e">
        <f aca="false">AND('current index'!#ref!,"AAAAAHzv9Ck=")</f>
        <v>#VALUE!</v>
      </c>
      <c r="AQ5" s="22" t="e">
        <f aca="false">AND('current index'!#ref!,"AAAAAHzv9Co=")</f>
        <v>#VALUE!</v>
      </c>
      <c r="AR5" s="22" t="n">
        <f aca="false">IF('Current Index'!116:116,"AAAAAHzv9Cs=",0)</f>
        <v>0</v>
      </c>
      <c r="AS5" s="22" t="e">
        <f aca="false">AND('Current Index'!A116,"AAAAAHzv9Cw=")</f>
        <v>#VALUE!</v>
      </c>
      <c r="AT5" s="22" t="e">
        <f aca="false">AND('current index'!#ref!,"AAAAAHzv9C0=")</f>
        <v>#VALUE!</v>
      </c>
      <c r="AU5" s="22" t="e">
        <f aca="false">AND('Current Index'!B116,"AAAAAHzv9C4=")</f>
        <v>#VALUE!</v>
      </c>
      <c r="AV5" s="22" t="e">
        <f aca="false">AND('Current Index'!C116,"AAAAAHzv9C8=")</f>
        <v>#VALUE!</v>
      </c>
      <c r="AW5" s="22" t="e">
        <f aca="false">AND('Current Index'!D116,"AAAAAHzv9DA=")</f>
        <v>#VALUE!</v>
      </c>
      <c r="AX5" s="22" t="e">
        <f aca="false">AND('Current Index'!E116,"AAAAAHzv9DE=")</f>
        <v>#VALUE!</v>
      </c>
      <c r="AY5" s="22" t="e">
        <f aca="false">AND('Current Index'!F116,"AAAAAHzv9DI=")</f>
        <v>#VALUE!</v>
      </c>
      <c r="AZ5" s="22" t="e">
        <f aca="false">AND('Current Index'!G116,"AAAAAHzv9DM=")</f>
        <v>#VALUE!</v>
      </c>
      <c r="BA5" s="22" t="e">
        <f aca="false">AND('Current Index'!H116,"AAAAAHzv9DQ=")</f>
        <v>#VALUE!</v>
      </c>
      <c r="BB5" s="22" t="e">
        <f aca="false">AND('Current Index'!I116,"AAAAAHzv9DU=")</f>
        <v>#VALUE!</v>
      </c>
      <c r="BC5" s="22" t="e">
        <f aca="false">IF('current index'!#ref!,"AAAAAHzv9DY=",0)</f>
        <v>#VALUE!</v>
      </c>
      <c r="BD5" s="22" t="e">
        <f aca="false">AND('current index'!#ref!,"AAAAAHzv9Dc=")</f>
        <v>#VALUE!</v>
      </c>
      <c r="BE5" s="22" t="e">
        <f aca="false">AND('current index'!#ref!,"AAAAAHzv9Dg=")</f>
        <v>#VALUE!</v>
      </c>
      <c r="BF5" s="22" t="e">
        <f aca="false">AND('current index'!#ref!,"AAAAAHzv9Dk=")</f>
        <v>#VALUE!</v>
      </c>
      <c r="BG5" s="22" t="e">
        <f aca="false">AND('current index'!#ref!,"AAAAAHzv9Do=")</f>
        <v>#VALUE!</v>
      </c>
      <c r="BH5" s="22" t="e">
        <f aca="false">AND('current index'!#ref!,"AAAAAHzv9Ds=")</f>
        <v>#VALUE!</v>
      </c>
      <c r="BI5" s="22" t="e">
        <f aca="false">AND('current index'!#ref!,"AAAAAHzv9Dw=")</f>
        <v>#VALUE!</v>
      </c>
      <c r="BJ5" s="22" t="e">
        <f aca="false">AND('current index'!#ref!,"AAAAAHzv9D0=")</f>
        <v>#VALUE!</v>
      </c>
      <c r="BK5" s="22" t="e">
        <f aca="false">AND('current index'!#ref!,"AAAAAHzv9D4=")</f>
        <v>#VALUE!</v>
      </c>
      <c r="BL5" s="22" t="e">
        <f aca="false">AND('current index'!#ref!,"AAAAAHzv9D8=")</f>
        <v>#VALUE!</v>
      </c>
      <c r="BM5" s="22" t="e">
        <f aca="false">AND('current index'!#ref!,"AAAAAHzv9EA=")</f>
        <v>#VALUE!</v>
      </c>
      <c r="BN5" s="22" t="n">
        <f aca="false">IF('Current Index'!117:117,"AAAAAHzv9EE=",0)</f>
        <v>0</v>
      </c>
      <c r="BO5" s="22" t="e">
        <f aca="false">AND('Current Index'!A117,"AAAAAHzv9EI=")</f>
        <v>#VALUE!</v>
      </c>
      <c r="BP5" s="22" t="e">
        <f aca="false">AND('current index'!#ref!,"AAAAAHzv9EM=")</f>
        <v>#VALUE!</v>
      </c>
      <c r="BQ5" s="22" t="e">
        <f aca="false">AND('Current Index'!B117,"AAAAAHzv9EQ=")</f>
        <v>#VALUE!</v>
      </c>
      <c r="BR5" s="22" t="e">
        <f aca="false">AND('Current Index'!C117,"AAAAAHzv9EU=")</f>
        <v>#VALUE!</v>
      </c>
      <c r="BS5" s="22" t="e">
        <f aca="false">AND('Current Index'!D117,"AAAAAHzv9EY=")</f>
        <v>#VALUE!</v>
      </c>
      <c r="BT5" s="22" t="e">
        <f aca="false">AND('Current Index'!E117,"AAAAAHzv9Ec=")</f>
        <v>#VALUE!</v>
      </c>
      <c r="BU5" s="22" t="e">
        <f aca="false">AND('Current Index'!F117,"AAAAAHzv9Eg=")</f>
        <v>#VALUE!</v>
      </c>
      <c r="BV5" s="22" t="e">
        <f aca="false">AND('Current Index'!G117,"AAAAAHzv9Ek=")</f>
        <v>#VALUE!</v>
      </c>
      <c r="BW5" s="22" t="e">
        <f aca="false">AND('Current Index'!H117,"AAAAAHzv9Eo=")</f>
        <v>#VALUE!</v>
      </c>
      <c r="BX5" s="22" t="e">
        <f aca="false">AND('Current Index'!I117,"AAAAAHzv9Es=")</f>
        <v>#VALUE!</v>
      </c>
      <c r="BY5" s="22" t="n">
        <f aca="false">IF('Current Index'!118:118,"AAAAAHzv9Ew=",0)</f>
        <v>0</v>
      </c>
      <c r="BZ5" s="22" t="e">
        <f aca="false">AND('Current Index'!A118,"AAAAAHzv9E0=")</f>
        <v>#VALUE!</v>
      </c>
      <c r="CA5" s="22" t="e">
        <f aca="false">AND('current index'!#ref!,"AAAAAHzv9E4=")</f>
        <v>#VALUE!</v>
      </c>
      <c r="CB5" s="22" t="e">
        <f aca="false">AND('Current Index'!B118,"AAAAAHzv9E8=")</f>
        <v>#VALUE!</v>
      </c>
      <c r="CC5" s="22" t="e">
        <f aca="false">AND('Current Index'!C118,"AAAAAHzv9FA=")</f>
        <v>#VALUE!</v>
      </c>
      <c r="CD5" s="22" t="e">
        <f aca="false">AND('Current Index'!D118,"AAAAAHzv9FE=")</f>
        <v>#VALUE!</v>
      </c>
      <c r="CE5" s="22" t="e">
        <f aca="false">AND('Current Index'!E118,"AAAAAHzv9FI=")</f>
        <v>#VALUE!</v>
      </c>
      <c r="CF5" s="22" t="e">
        <f aca="false">AND('Current Index'!F118,"AAAAAHzv9FM=")</f>
        <v>#VALUE!</v>
      </c>
      <c r="CG5" s="22" t="e">
        <f aca="false">AND('Current Index'!G118,"AAAAAHzv9FQ=")</f>
        <v>#VALUE!</v>
      </c>
      <c r="CH5" s="22" t="e">
        <f aca="false">AND('Current Index'!H118,"AAAAAHzv9FU=")</f>
        <v>#VALUE!</v>
      </c>
      <c r="CI5" s="22" t="e">
        <f aca="false">AND('Current Index'!I118,"AAAAAHzv9FY=")</f>
        <v>#VALUE!</v>
      </c>
      <c r="CJ5" s="22" t="n">
        <f aca="false">IF('Current Index'!119:119,"AAAAAHzv9Fc=",0)</f>
        <v>0</v>
      </c>
      <c r="CK5" s="22" t="e">
        <f aca="false">AND('Current Index'!A119,"AAAAAHzv9Fg=")</f>
        <v>#VALUE!</v>
      </c>
      <c r="CL5" s="22" t="e">
        <f aca="false">AND('current index'!#ref!,"AAAAAHzv9Fk=")</f>
        <v>#VALUE!</v>
      </c>
      <c r="CM5" s="22" t="e">
        <f aca="false">AND('Current Index'!B119,"AAAAAHzv9Fo=")</f>
        <v>#VALUE!</v>
      </c>
      <c r="CN5" s="22" t="e">
        <f aca="false">AND('Current Index'!C119,"AAAAAHzv9Fs=")</f>
        <v>#VALUE!</v>
      </c>
      <c r="CO5" s="22" t="e">
        <f aca="false">AND('Current Index'!D119,"AAAAAHzv9Fw=")</f>
        <v>#VALUE!</v>
      </c>
      <c r="CP5" s="22" t="e">
        <f aca="false">AND('Current Index'!E119,"AAAAAHzv9F0=")</f>
        <v>#VALUE!</v>
      </c>
      <c r="CQ5" s="22" t="e">
        <f aca="false">AND('Current Index'!F119,"AAAAAHzv9F4=")</f>
        <v>#VALUE!</v>
      </c>
      <c r="CR5" s="22" t="e">
        <f aca="false">AND('Current Index'!G119,"AAAAAHzv9F8=")</f>
        <v>#VALUE!</v>
      </c>
      <c r="CS5" s="22" t="e">
        <f aca="false">AND('Current Index'!H119,"AAAAAHzv9GA=")</f>
        <v>#VALUE!</v>
      </c>
      <c r="CT5" s="22" t="e">
        <f aca="false">AND('Current Index'!I119,"AAAAAHzv9GE=")</f>
        <v>#VALUE!</v>
      </c>
      <c r="CU5" s="22" t="n">
        <f aca="false">IF('Current Index'!120:120,"AAAAAHzv9GI=",0)</f>
        <v>0</v>
      </c>
      <c r="CV5" s="22" t="e">
        <f aca="false">AND('Current Index'!A120,"AAAAAHzv9GM=")</f>
        <v>#VALUE!</v>
      </c>
      <c r="CW5" s="22" t="e">
        <f aca="false">AND('current index'!#ref!,"AAAAAHzv9GQ=")</f>
        <v>#VALUE!</v>
      </c>
      <c r="CX5" s="22" t="e">
        <f aca="false">AND('Current Index'!B120,"AAAAAHzv9GU=")</f>
        <v>#VALUE!</v>
      </c>
      <c r="CY5" s="22" t="e">
        <f aca="false">AND('Current Index'!C120,"AAAAAHzv9GY=")</f>
        <v>#VALUE!</v>
      </c>
      <c r="CZ5" s="22" t="e">
        <f aca="false">AND('Current Index'!D120,"AAAAAHzv9Gc=")</f>
        <v>#VALUE!</v>
      </c>
      <c r="DA5" s="22" t="e">
        <f aca="false">AND('Current Index'!E120,"AAAAAHzv9Gg=")</f>
        <v>#VALUE!</v>
      </c>
      <c r="DB5" s="22" t="e">
        <f aca="false">AND('Current Index'!F120,"AAAAAHzv9Gk=")</f>
        <v>#VALUE!</v>
      </c>
      <c r="DC5" s="22" t="e">
        <f aca="false">AND('Current Index'!G120,"AAAAAHzv9Go=")</f>
        <v>#VALUE!</v>
      </c>
      <c r="DD5" s="22" t="e">
        <f aca="false">AND('Current Index'!H120,"AAAAAHzv9Gs=")</f>
        <v>#VALUE!</v>
      </c>
      <c r="DE5" s="22" t="e">
        <f aca="false">AND('Current Index'!I120,"AAAAAHzv9Gw=")</f>
        <v>#VALUE!</v>
      </c>
      <c r="DF5" s="22" t="n">
        <f aca="false">IF('Current Index'!121:121,"AAAAAHzv9G0=",0)</f>
        <v>0</v>
      </c>
      <c r="DG5" s="22" t="e">
        <f aca="false">AND('Current Index'!A121,"AAAAAHzv9G4=")</f>
        <v>#VALUE!</v>
      </c>
      <c r="DH5" s="22" t="e">
        <f aca="false">AND('current index'!#ref!,"AAAAAHzv9G8=")</f>
        <v>#VALUE!</v>
      </c>
      <c r="DI5" s="22" t="e">
        <f aca="false">AND('Current Index'!B121,"AAAAAHzv9HA=")</f>
        <v>#VALUE!</v>
      </c>
      <c r="DJ5" s="22" t="e">
        <f aca="false">AND('Current Index'!C121,"AAAAAHzv9HE=")</f>
        <v>#VALUE!</v>
      </c>
      <c r="DK5" s="22" t="e">
        <f aca="false">AND('Current Index'!D121,"AAAAAHzv9HI=")</f>
        <v>#VALUE!</v>
      </c>
      <c r="DL5" s="22" t="e">
        <f aca="false">AND('Current Index'!E121,"AAAAAHzv9HM=")</f>
        <v>#VALUE!</v>
      </c>
      <c r="DM5" s="22" t="e">
        <f aca="false">AND('Current Index'!F121,"AAAAAHzv9HQ=")</f>
        <v>#VALUE!</v>
      </c>
      <c r="DN5" s="22" t="e">
        <f aca="false">AND('Current Index'!G121,"AAAAAHzv9HU=")</f>
        <v>#VALUE!</v>
      </c>
      <c r="DO5" s="22" t="e">
        <f aca="false">AND('Current Index'!H121,"AAAAAHzv9HY=")</f>
        <v>#VALUE!</v>
      </c>
      <c r="DP5" s="22" t="e">
        <f aca="false">AND('Current Index'!I121,"AAAAAHzv9Hc=")</f>
        <v>#VALUE!</v>
      </c>
      <c r="DQ5" s="22" t="n">
        <f aca="false">IF('Current Index'!122:122,"AAAAAHzv9Hg=",0)</f>
        <v>0</v>
      </c>
      <c r="DR5" s="22" t="e">
        <f aca="false">AND('Current Index'!A122,"AAAAAHzv9Hk=")</f>
        <v>#VALUE!</v>
      </c>
      <c r="DS5" s="22" t="e">
        <f aca="false">AND('current index'!#ref!,"AAAAAHzv9Ho=")</f>
        <v>#VALUE!</v>
      </c>
      <c r="DT5" s="22" t="e">
        <f aca="false">AND('Current Index'!B122,"AAAAAHzv9Hs=")</f>
        <v>#VALUE!</v>
      </c>
      <c r="DU5" s="22" t="e">
        <f aca="false">AND('Current Index'!C122,"AAAAAHzv9Hw=")</f>
        <v>#VALUE!</v>
      </c>
      <c r="DV5" s="22" t="e">
        <f aca="false">AND('Current Index'!D122,"AAAAAHzv9H0=")</f>
        <v>#VALUE!</v>
      </c>
      <c r="DW5" s="22" t="e">
        <f aca="false">AND('Current Index'!E122,"AAAAAHzv9H4=")</f>
        <v>#VALUE!</v>
      </c>
      <c r="DX5" s="22" t="e">
        <f aca="false">AND('Current Index'!F122,"AAAAAHzv9H8=")</f>
        <v>#VALUE!</v>
      </c>
      <c r="DY5" s="22" t="e">
        <f aca="false">AND('Current Index'!G122,"AAAAAHzv9IA=")</f>
        <v>#VALUE!</v>
      </c>
      <c r="DZ5" s="22" t="e">
        <f aca="false">AND('Current Index'!H122,"AAAAAHzv9IE=")</f>
        <v>#VALUE!</v>
      </c>
      <c r="EA5" s="22" t="e">
        <f aca="false">AND('Current Index'!I122,"AAAAAHzv9II=")</f>
        <v>#VALUE!</v>
      </c>
      <c r="EB5" s="22" t="n">
        <f aca="false">IF('Current Index'!123:123,"AAAAAHzv9IM=",0)</f>
        <v>0</v>
      </c>
      <c r="EC5" s="22" t="e">
        <f aca="false">AND('Current Index'!A123,"AAAAAHzv9IQ=")</f>
        <v>#VALUE!</v>
      </c>
      <c r="ED5" s="22" t="e">
        <f aca="false">AND('current index'!#ref!,"AAAAAHzv9IU=")</f>
        <v>#VALUE!</v>
      </c>
      <c r="EE5" s="22" t="e">
        <f aca="false">AND('Current Index'!B123,"AAAAAHzv9IY=")</f>
        <v>#VALUE!</v>
      </c>
      <c r="EF5" s="22" t="e">
        <f aca="false">AND('Current Index'!C123,"AAAAAHzv9Ic=")</f>
        <v>#VALUE!</v>
      </c>
      <c r="EG5" s="22" t="e">
        <f aca="false">AND('Current Index'!D123,"AAAAAHzv9Ig=")</f>
        <v>#VALUE!</v>
      </c>
      <c r="EH5" s="22" t="e">
        <f aca="false">AND('Current Index'!E123,"AAAAAHzv9Ik=")</f>
        <v>#VALUE!</v>
      </c>
      <c r="EI5" s="22" t="e">
        <f aca="false">AND('Current Index'!F123,"AAAAAHzv9Io=")</f>
        <v>#VALUE!</v>
      </c>
      <c r="EJ5" s="22" t="e">
        <f aca="false">AND('Current Index'!G123,"AAAAAHzv9Is=")</f>
        <v>#VALUE!</v>
      </c>
      <c r="EK5" s="22" t="e">
        <f aca="false">AND('Current Index'!H123,"AAAAAHzv9Iw=")</f>
        <v>#VALUE!</v>
      </c>
      <c r="EL5" s="22" t="e">
        <f aca="false">AND('Current Index'!I123,"AAAAAHzv9I0=")</f>
        <v>#VALUE!</v>
      </c>
      <c r="EM5" s="22" t="e">
        <f aca="false">IF('current index'!#ref!,"AAAAAHzv9I4=",0)</f>
        <v>#VALUE!</v>
      </c>
      <c r="EN5" s="22" t="e">
        <f aca="false">AND('current index'!#ref!,"AAAAAHzv9I8=")</f>
        <v>#VALUE!</v>
      </c>
      <c r="EO5" s="22" t="e">
        <f aca="false">AND('current index'!#ref!,"AAAAAHzv9JA=")</f>
        <v>#VALUE!</v>
      </c>
      <c r="EP5" s="22" t="e">
        <f aca="false">AND('current index'!#ref!,"AAAAAHzv9JE=")</f>
        <v>#VALUE!</v>
      </c>
      <c r="EQ5" s="22" t="e">
        <f aca="false">AND('current index'!#ref!,"AAAAAHzv9JI=")</f>
        <v>#VALUE!</v>
      </c>
      <c r="ER5" s="22" t="e">
        <f aca="false">AND('current index'!#ref!,"AAAAAHzv9JM=")</f>
        <v>#VALUE!</v>
      </c>
      <c r="ES5" s="22" t="e">
        <f aca="false">AND('current index'!#ref!,"AAAAAHzv9JQ=")</f>
        <v>#VALUE!</v>
      </c>
      <c r="ET5" s="22" t="e">
        <f aca="false">AND('current index'!#ref!,"AAAAAHzv9JU=")</f>
        <v>#VALUE!</v>
      </c>
      <c r="EU5" s="22" t="e">
        <f aca="false">AND('current index'!#ref!,"AAAAAHzv9JY=")</f>
        <v>#VALUE!</v>
      </c>
      <c r="EV5" s="22" t="e">
        <f aca="false">AND('current index'!#ref!,"AAAAAHzv9Jc=")</f>
        <v>#VALUE!</v>
      </c>
      <c r="EW5" s="22" t="e">
        <f aca="false">AND('current index'!#ref!,"AAAAAHzv9Jg=")</f>
        <v>#VALUE!</v>
      </c>
      <c r="EX5" s="22" t="n">
        <f aca="false">IF('Current Index'!125:125,"AAAAAHzv9Jk=",0)</f>
        <v>0</v>
      </c>
      <c r="EY5" s="22" t="e">
        <f aca="false">AND('Current Index'!A125,"AAAAAHzv9Jo=")</f>
        <v>#VALUE!</v>
      </c>
      <c r="EZ5" s="22" t="e">
        <f aca="false">AND('current index'!#ref!,"AAAAAHzv9Js=")</f>
        <v>#VALUE!</v>
      </c>
      <c r="FA5" s="22" t="e">
        <f aca="false">AND('Current Index'!B125,"AAAAAHzv9Jw=")</f>
        <v>#VALUE!</v>
      </c>
      <c r="FB5" s="22" t="e">
        <f aca="false">AND('Current Index'!C125,"AAAAAHzv9J0=")</f>
        <v>#VALUE!</v>
      </c>
      <c r="FC5" s="22" t="e">
        <f aca="false">AND('Current Index'!D125,"AAAAAHzv9J4=")</f>
        <v>#VALUE!</v>
      </c>
      <c r="FD5" s="22" t="e">
        <f aca="false">AND('Current Index'!E125,"AAAAAHzv9J8=")</f>
        <v>#VALUE!</v>
      </c>
      <c r="FE5" s="22" t="e">
        <f aca="false">AND('Current Index'!F125,"AAAAAHzv9KA=")</f>
        <v>#VALUE!</v>
      </c>
      <c r="FF5" s="22" t="e">
        <f aca="false">AND('Current Index'!G125,"AAAAAHzv9KE=")</f>
        <v>#VALUE!</v>
      </c>
      <c r="FG5" s="22" t="e">
        <f aca="false">AND('Current Index'!H125,"AAAAAHzv9KI=")</f>
        <v>#VALUE!</v>
      </c>
      <c r="FH5" s="22" t="e">
        <f aca="false">AND('Current Index'!I125,"AAAAAHzv9KM=")</f>
        <v>#VALUE!</v>
      </c>
      <c r="FI5" s="22" t="n">
        <f aca="false">IF('Current Index'!126:126,"AAAAAHzv9KQ=",0)</f>
        <v>0</v>
      </c>
      <c r="FJ5" s="22" t="e">
        <f aca="false">AND('Current Index'!A126,"AAAAAHzv9KU=")</f>
        <v>#VALUE!</v>
      </c>
      <c r="FK5" s="22" t="e">
        <f aca="false">AND('current index'!#ref!,"AAAAAHzv9KY=")</f>
        <v>#VALUE!</v>
      </c>
      <c r="FL5" s="22" t="e">
        <f aca="false">AND('Current Index'!B126,"AAAAAHzv9Kc=")</f>
        <v>#VALUE!</v>
      </c>
      <c r="FM5" s="22" t="e">
        <f aca="false">AND('Current Index'!C126,"AAAAAHzv9Kg=")</f>
        <v>#VALUE!</v>
      </c>
      <c r="FN5" s="22" t="e">
        <f aca="false">AND('Current Index'!D126,"AAAAAHzv9Kk=")</f>
        <v>#VALUE!</v>
      </c>
      <c r="FO5" s="22" t="e">
        <f aca="false">AND('Current Index'!E126,"AAAAAHzv9Ko=")</f>
        <v>#VALUE!</v>
      </c>
      <c r="FP5" s="22" t="e">
        <f aca="false">AND('Current Index'!F126,"AAAAAHzv9Ks=")</f>
        <v>#VALUE!</v>
      </c>
      <c r="FQ5" s="22" t="e">
        <f aca="false">AND('Current Index'!G126,"AAAAAHzv9Kw=")</f>
        <v>#VALUE!</v>
      </c>
      <c r="FR5" s="22" t="e">
        <f aca="false">AND('Current Index'!H126,"AAAAAHzv9K0=")</f>
        <v>#VALUE!</v>
      </c>
      <c r="FS5" s="22" t="e">
        <f aca="false">AND('Current Index'!I126,"AAAAAHzv9K4=")</f>
        <v>#VALUE!</v>
      </c>
      <c r="FT5" s="22" t="e">
        <f aca="false">IF('current index'!#ref!,"AAAAAHzv9K8=",0)</f>
        <v>#VALUE!</v>
      </c>
      <c r="FU5" s="22" t="e">
        <f aca="false">AND('current index'!#ref!,"AAAAAHzv9LA=")</f>
        <v>#VALUE!</v>
      </c>
      <c r="FV5" s="22" t="e">
        <f aca="false">AND('current index'!#ref!,"AAAAAHzv9LE=")</f>
        <v>#VALUE!</v>
      </c>
      <c r="FW5" s="22" t="e">
        <f aca="false">AND('current index'!#ref!,"AAAAAHzv9LI=")</f>
        <v>#VALUE!</v>
      </c>
      <c r="FX5" s="22" t="e">
        <f aca="false">AND('current index'!#ref!,"AAAAAHzv9LM=")</f>
        <v>#VALUE!</v>
      </c>
      <c r="FY5" s="22" t="e">
        <f aca="false">AND('current index'!#ref!,"AAAAAHzv9LQ=")</f>
        <v>#VALUE!</v>
      </c>
      <c r="FZ5" s="22" t="e">
        <f aca="false">AND('current index'!#ref!,"AAAAAHzv9LU=")</f>
        <v>#VALUE!</v>
      </c>
      <c r="GA5" s="22" t="e">
        <f aca="false">AND('current index'!#ref!,"AAAAAHzv9LY=")</f>
        <v>#VALUE!</v>
      </c>
      <c r="GB5" s="22" t="e">
        <f aca="false">AND('current index'!#ref!,"AAAAAHzv9Lc=")</f>
        <v>#VALUE!</v>
      </c>
      <c r="GC5" s="22" t="e">
        <f aca="false">AND('current index'!#ref!,"AAAAAHzv9Lg=")</f>
        <v>#VALUE!</v>
      </c>
      <c r="GD5" s="22" t="e">
        <f aca="false">AND('current index'!#ref!,"AAAAAHzv9Lk=")</f>
        <v>#VALUE!</v>
      </c>
      <c r="GE5" s="22" t="e">
        <f aca="false">IF('current index'!#ref!,"AAAAAHzv9Lo=",0)</f>
        <v>#VALUE!</v>
      </c>
      <c r="GF5" s="22" t="e">
        <f aca="false">AND('current index'!#ref!,"AAAAAHzv9Ls=")</f>
        <v>#VALUE!</v>
      </c>
      <c r="GG5" s="22" t="e">
        <f aca="false">AND('current index'!#ref!,"AAAAAHzv9Lw=")</f>
        <v>#VALUE!</v>
      </c>
      <c r="GH5" s="22" t="e">
        <f aca="false">AND('current index'!#ref!,"AAAAAHzv9L0=")</f>
        <v>#VALUE!</v>
      </c>
      <c r="GI5" s="22" t="e">
        <f aca="false">AND('current index'!#ref!,"AAAAAHzv9L4=")</f>
        <v>#VALUE!</v>
      </c>
      <c r="GJ5" s="22" t="e">
        <f aca="false">AND('current index'!#ref!,"AAAAAHzv9L8=")</f>
        <v>#VALUE!</v>
      </c>
      <c r="GK5" s="22" t="e">
        <f aca="false">AND('current index'!#ref!,"AAAAAHzv9MA=")</f>
        <v>#VALUE!</v>
      </c>
      <c r="GL5" s="22" t="e">
        <f aca="false">AND('current index'!#ref!,"AAAAAHzv9ME=")</f>
        <v>#VALUE!</v>
      </c>
      <c r="GM5" s="22" t="e">
        <f aca="false">AND('current index'!#ref!,"AAAAAHzv9MI=")</f>
        <v>#VALUE!</v>
      </c>
      <c r="GN5" s="22" t="e">
        <f aca="false">AND('current index'!#ref!,"AAAAAHzv9MM=")</f>
        <v>#VALUE!</v>
      </c>
      <c r="GO5" s="22" t="e">
        <f aca="false">AND('current index'!#ref!,"AAAAAHzv9MQ=")</f>
        <v>#VALUE!</v>
      </c>
      <c r="GP5" s="22" t="e">
        <f aca="false">IF('current index'!#ref!,"AAAAAHzv9MU=",0)</f>
        <v>#VALUE!</v>
      </c>
      <c r="GQ5" s="22" t="e">
        <f aca="false">AND('current index'!#ref!,"AAAAAHzv9MY=")</f>
        <v>#VALUE!</v>
      </c>
      <c r="GR5" s="22" t="e">
        <f aca="false">AND('current index'!#ref!,"AAAAAHzv9Mc=")</f>
        <v>#VALUE!</v>
      </c>
      <c r="GS5" s="22" t="e">
        <f aca="false">AND('current index'!#ref!,"AAAAAHzv9Mg=")</f>
        <v>#VALUE!</v>
      </c>
      <c r="GT5" s="22" t="e">
        <f aca="false">AND('current index'!#ref!,"AAAAAHzv9Mk=")</f>
        <v>#VALUE!</v>
      </c>
      <c r="GU5" s="22" t="e">
        <f aca="false">AND('current index'!#ref!,"AAAAAHzv9Mo=")</f>
        <v>#VALUE!</v>
      </c>
      <c r="GV5" s="22" t="e">
        <f aca="false">AND('current index'!#ref!,"AAAAAHzv9Ms=")</f>
        <v>#VALUE!</v>
      </c>
      <c r="GW5" s="22" t="e">
        <f aca="false">AND('current index'!#ref!,"AAAAAHzv9Mw=")</f>
        <v>#VALUE!</v>
      </c>
      <c r="GX5" s="22" t="e">
        <f aca="false">AND('current index'!#ref!,"AAAAAHzv9M0=")</f>
        <v>#VALUE!</v>
      </c>
      <c r="GY5" s="22" t="e">
        <f aca="false">AND('current index'!#ref!,"AAAAAHzv9M4=")</f>
        <v>#VALUE!</v>
      </c>
      <c r="GZ5" s="22" t="e">
        <f aca="false">AND('current index'!#ref!,"AAAAAHzv9M8=")</f>
        <v>#VALUE!</v>
      </c>
      <c r="HA5" s="22" t="e">
        <f aca="false">IF('current index'!#ref!,"AAAAAHzv9NA=",0)</f>
        <v>#VALUE!</v>
      </c>
      <c r="HB5" s="22" t="e">
        <f aca="false">AND('current index'!#ref!,"AAAAAHzv9NE=")</f>
        <v>#VALUE!</v>
      </c>
      <c r="HC5" s="22" t="e">
        <f aca="false">AND('current index'!#ref!,"AAAAAHzv9NI=")</f>
        <v>#VALUE!</v>
      </c>
      <c r="HD5" s="22" t="e">
        <f aca="false">AND('current index'!#ref!,"AAAAAHzv9NM=")</f>
        <v>#VALUE!</v>
      </c>
      <c r="HE5" s="22" t="e">
        <f aca="false">AND('current index'!#ref!,"AAAAAHzv9NQ=")</f>
        <v>#VALUE!</v>
      </c>
      <c r="HF5" s="22" t="e">
        <f aca="false">AND('current index'!#ref!,"AAAAAHzv9NU=")</f>
        <v>#VALUE!</v>
      </c>
      <c r="HG5" s="22" t="e">
        <f aca="false">AND('current index'!#ref!,"AAAAAHzv9NY=")</f>
        <v>#VALUE!</v>
      </c>
      <c r="HH5" s="22" t="e">
        <f aca="false">AND('current index'!#ref!,"AAAAAHzv9Nc=")</f>
        <v>#VALUE!</v>
      </c>
      <c r="HI5" s="22" t="e">
        <f aca="false">AND('current index'!#ref!,"AAAAAHzv9Ng=")</f>
        <v>#VALUE!</v>
      </c>
      <c r="HJ5" s="22" t="e">
        <f aca="false">AND('current index'!#ref!,"AAAAAHzv9Nk=")</f>
        <v>#VALUE!</v>
      </c>
      <c r="HK5" s="22" t="e">
        <f aca="false">AND('current index'!#ref!,"AAAAAHzv9No=")</f>
        <v>#VALUE!</v>
      </c>
      <c r="HL5" s="22" t="e">
        <f aca="false">IF('current index'!#ref!,"AAAAAHzv9Ns=",0)</f>
        <v>#VALUE!</v>
      </c>
      <c r="HM5" s="22" t="e">
        <f aca="false">AND('current index'!#ref!,"AAAAAHzv9Nw=")</f>
        <v>#VALUE!</v>
      </c>
      <c r="HN5" s="22" t="e">
        <f aca="false">AND('current index'!#ref!,"AAAAAHzv9N0=")</f>
        <v>#VALUE!</v>
      </c>
      <c r="HO5" s="22" t="e">
        <f aca="false">AND('current index'!#ref!,"AAAAAHzv9N4=")</f>
        <v>#VALUE!</v>
      </c>
      <c r="HP5" s="22" t="e">
        <f aca="false">AND('current index'!#ref!,"AAAAAHzv9N8=")</f>
        <v>#VALUE!</v>
      </c>
      <c r="HQ5" s="22" t="e">
        <f aca="false">AND('current index'!#ref!,"AAAAAHzv9OA=")</f>
        <v>#VALUE!</v>
      </c>
      <c r="HR5" s="22" t="e">
        <f aca="false">AND('current index'!#ref!,"AAAAAHzv9OE=")</f>
        <v>#VALUE!</v>
      </c>
      <c r="HS5" s="22" t="e">
        <f aca="false">AND('current index'!#ref!,"AAAAAHzv9OI=")</f>
        <v>#VALUE!</v>
      </c>
      <c r="HT5" s="22" t="e">
        <f aca="false">AND('current index'!#ref!,"AAAAAHzv9OM=")</f>
        <v>#VALUE!</v>
      </c>
      <c r="HU5" s="22" t="e">
        <f aca="false">AND('current index'!#ref!,"AAAAAHzv9OQ=")</f>
        <v>#VALUE!</v>
      </c>
      <c r="HV5" s="22" t="e">
        <f aca="false">AND('current index'!#ref!,"AAAAAHzv9OU=")</f>
        <v>#VALUE!</v>
      </c>
      <c r="HW5" s="22" t="n">
        <f aca="false">IF('Current Index'!130:130,"AAAAAHzv9OY=",0)</f>
        <v>0</v>
      </c>
      <c r="HX5" s="22" t="e">
        <f aca="false">AND('Current Index'!A130,"AAAAAHzv9Oc=")</f>
        <v>#VALUE!</v>
      </c>
      <c r="HY5" s="22" t="e">
        <f aca="false">AND('current index'!#ref!,"AAAAAHzv9Og=")</f>
        <v>#VALUE!</v>
      </c>
      <c r="HZ5" s="22" t="e">
        <f aca="false">AND('Current Index'!B130,"AAAAAHzv9Ok=")</f>
        <v>#VALUE!</v>
      </c>
      <c r="IA5" s="22" t="e">
        <f aca="false">AND('Current Index'!C130,"AAAAAHzv9Oo=")</f>
        <v>#VALUE!</v>
      </c>
      <c r="IB5" s="22" t="e">
        <f aca="false">AND('Current Index'!D130,"AAAAAHzv9Os=")</f>
        <v>#VALUE!</v>
      </c>
      <c r="IC5" s="22" t="e">
        <f aca="false">AND('Current Index'!E130,"AAAAAHzv9Ow=")</f>
        <v>#VALUE!</v>
      </c>
      <c r="ID5" s="22" t="e">
        <f aca="false">AND('Current Index'!F130,"AAAAAHzv9O0=")</f>
        <v>#VALUE!</v>
      </c>
      <c r="IE5" s="22" t="e">
        <f aca="false">AND('Current Index'!G130,"AAAAAHzv9O4=")</f>
        <v>#VALUE!</v>
      </c>
      <c r="IF5" s="22" t="e">
        <f aca="false">AND('Current Index'!H130,"AAAAAHzv9O8=")</f>
        <v>#VALUE!</v>
      </c>
      <c r="IG5" s="22" t="e">
        <f aca="false">AND('Current Index'!I130,"AAAAAHzv9PA=")</f>
        <v>#VALUE!</v>
      </c>
      <c r="IH5" s="22" t="e">
        <f aca="false">IF('current index'!#ref!,"AAAAAHzv9PE=",0)</f>
        <v>#VALUE!</v>
      </c>
      <c r="II5" s="22" t="e">
        <f aca="false">AND('current index'!#ref!,"AAAAAHzv9PI=")</f>
        <v>#VALUE!</v>
      </c>
      <c r="IJ5" s="22" t="e">
        <f aca="false">AND('current index'!#ref!,"AAAAAHzv9PM=")</f>
        <v>#VALUE!</v>
      </c>
      <c r="IK5" s="22" t="e">
        <f aca="false">AND('current index'!#ref!,"AAAAAHzv9PQ=")</f>
        <v>#VALUE!</v>
      </c>
      <c r="IL5" s="22" t="e">
        <f aca="false">AND('current index'!#ref!,"AAAAAHzv9PU=")</f>
        <v>#VALUE!</v>
      </c>
      <c r="IM5" s="22" t="e">
        <f aca="false">AND('current index'!#ref!,"AAAAAHzv9PY=")</f>
        <v>#VALUE!</v>
      </c>
      <c r="IN5" s="22" t="e">
        <f aca="false">AND('current index'!#ref!,"AAAAAHzv9Pc=")</f>
        <v>#VALUE!</v>
      </c>
      <c r="IO5" s="22" t="e">
        <f aca="false">AND('current index'!#ref!,"AAAAAHzv9Pg=")</f>
        <v>#VALUE!</v>
      </c>
      <c r="IP5" s="22" t="e">
        <f aca="false">AND('current index'!#ref!,"AAAAAHzv9Pk=")</f>
        <v>#VALUE!</v>
      </c>
      <c r="IQ5" s="22" t="e">
        <f aca="false">AND('current index'!#ref!,"AAAAAHzv9Po=")</f>
        <v>#VALUE!</v>
      </c>
      <c r="IR5" s="22" t="e">
        <f aca="false">AND('current index'!#ref!,"AAAAAHzv9Ps=")</f>
        <v>#VALUE!</v>
      </c>
      <c r="IS5" s="22" t="e">
        <f aca="false">IF(#REF!,"AAAAAHzv9Pw=",0)</f>
        <v>#REF!</v>
      </c>
      <c r="IT5" s="22" t="e">
        <f aca="false">AND(#REF!,"AAAAAHzv9P0=")</f>
        <v>#VALUE!</v>
      </c>
      <c r="IU5" s="22" t="e">
        <f aca="false">AND('current index'!#ref!,"AAAAAHzv9P4=")</f>
        <v>#VALUE!</v>
      </c>
      <c r="IV5" s="22" t="e">
        <f aca="false">AND(#REF!,"AAAAAHzv9P8=")</f>
        <v>#VALUE!</v>
      </c>
    </row>
    <row r="6" customFormat="false" ht="12.75" hidden="false" customHeight="false" outlineLevel="0" collapsed="false">
      <c r="A6" s="22" t="e">
        <f aca="false">AND(#REF!,"AAAAAFjruwA=")</f>
        <v>#VALUE!</v>
      </c>
      <c r="B6" s="22" t="e">
        <f aca="false">AND(#REF!,"AAAAAFjruwE=")</f>
        <v>#VALUE!</v>
      </c>
      <c r="C6" s="22" t="e">
        <f aca="false">AND(#REF!,"AAAAAFjruwI=")</f>
        <v>#VALUE!</v>
      </c>
      <c r="D6" s="22" t="e">
        <f aca="false">AND(#REF!,"AAAAAFjruwM=")</f>
        <v>#VALUE!</v>
      </c>
      <c r="E6" s="22" t="e">
        <f aca="false">AND(#REF!,"AAAAAFjruwQ=")</f>
        <v>#VALUE!</v>
      </c>
      <c r="F6" s="22" t="e">
        <f aca="false">AND(#REF!,"AAAAAFjruwU=")</f>
        <v>#VALUE!</v>
      </c>
      <c r="G6" s="22" t="e">
        <f aca="false">AND(#REF!,"AAAAAFjruwY=")</f>
        <v>#VALUE!</v>
      </c>
      <c r="H6" s="22" t="e">
        <f aca="false">IF('current index'!#ref!,"AAAAAFjruwc=",0)</f>
        <v>#VALUE!</v>
      </c>
      <c r="I6" s="22" t="e">
        <f aca="false">AND('current index'!#ref!,"AAAAAFjruwg=")</f>
        <v>#VALUE!</v>
      </c>
      <c r="J6" s="22" t="e">
        <f aca="false">AND('current index'!#ref!,"AAAAAFjruwk=")</f>
        <v>#VALUE!</v>
      </c>
      <c r="K6" s="22" t="e">
        <f aca="false">AND('current index'!#ref!,"AAAAAFjruwo=")</f>
        <v>#VALUE!</v>
      </c>
      <c r="L6" s="22" t="e">
        <f aca="false">AND('current index'!#ref!,"AAAAAFjruws=")</f>
        <v>#VALUE!</v>
      </c>
      <c r="M6" s="22" t="e">
        <f aca="false">AND('current index'!#ref!,"AAAAAFjruww=")</f>
        <v>#VALUE!</v>
      </c>
      <c r="N6" s="22" t="e">
        <f aca="false">AND('current index'!#ref!,"AAAAAFjruw0=")</f>
        <v>#VALUE!</v>
      </c>
      <c r="O6" s="22" t="e">
        <f aca="false">AND('current index'!#ref!,"AAAAAFjruw4=")</f>
        <v>#VALUE!</v>
      </c>
      <c r="P6" s="22" t="e">
        <f aca="false">AND('current index'!#ref!,"AAAAAFjruw8=")</f>
        <v>#VALUE!</v>
      </c>
      <c r="Q6" s="22" t="e">
        <f aca="false">AND('current index'!#ref!,"AAAAAFjruxA=")</f>
        <v>#VALUE!</v>
      </c>
      <c r="R6" s="22" t="e">
        <f aca="false">AND('current index'!#ref!,"AAAAAFjruxE=")</f>
        <v>#VALUE!</v>
      </c>
      <c r="S6" s="22" t="n">
        <f aca="false">IF('Current Index'!131:131,"AAAAAFjruxI=",0)</f>
        <v>0</v>
      </c>
      <c r="T6" s="22" t="e">
        <f aca="false">AND('Current Index'!A131,"AAAAAFjruxM=")</f>
        <v>#VALUE!</v>
      </c>
      <c r="U6" s="22" t="e">
        <f aca="false">AND('current index'!#ref!,"AAAAAFjruxQ=")</f>
        <v>#VALUE!</v>
      </c>
      <c r="V6" s="22" t="e">
        <f aca="false">AND('Current Index'!B131,"AAAAAFjruxU=")</f>
        <v>#VALUE!</v>
      </c>
      <c r="W6" s="22" t="e">
        <f aca="false">AND('Current Index'!C131,"AAAAAFjruxY=")</f>
        <v>#VALUE!</v>
      </c>
      <c r="X6" s="22" t="e">
        <f aca="false">AND('Current Index'!D131,"AAAAAFjruxc=")</f>
        <v>#VALUE!</v>
      </c>
      <c r="Y6" s="22" t="e">
        <f aca="false">AND('Current Index'!E131,"AAAAAFjruxg=")</f>
        <v>#VALUE!</v>
      </c>
      <c r="Z6" s="22" t="e">
        <f aca="false">AND('Current Index'!F131,"AAAAAFjruxk=")</f>
        <v>#VALUE!</v>
      </c>
      <c r="AA6" s="22" t="e">
        <f aca="false">AND('Current Index'!G131,"AAAAAFjruxo=")</f>
        <v>#VALUE!</v>
      </c>
      <c r="AB6" s="22" t="e">
        <f aca="false">AND('Current Index'!H131,"AAAAAFjruxs=")</f>
        <v>#VALUE!</v>
      </c>
      <c r="AC6" s="22" t="e">
        <f aca="false">AND('Current Index'!I131,"AAAAAFjruxw=")</f>
        <v>#VALUE!</v>
      </c>
      <c r="AD6" s="22" t="n">
        <f aca="false">IF('Current Index'!132:132,"AAAAAFjrux0=",0)</f>
        <v>0</v>
      </c>
      <c r="AE6" s="22" t="e">
        <f aca="false">AND('Current Index'!A132,"AAAAAFjrux4=")</f>
        <v>#VALUE!</v>
      </c>
      <c r="AF6" s="22" t="e">
        <f aca="false">AND('current index'!#ref!,"AAAAAFjrux8=")</f>
        <v>#VALUE!</v>
      </c>
      <c r="AG6" s="22" t="e">
        <f aca="false">AND('Current Index'!B132,"AAAAAFjruyA=")</f>
        <v>#VALUE!</v>
      </c>
      <c r="AH6" s="22" t="e">
        <f aca="false">AND('Current Index'!C132,"AAAAAFjruyE=")</f>
        <v>#VALUE!</v>
      </c>
      <c r="AI6" s="22" t="e">
        <f aca="false">AND('Current Index'!D132,"AAAAAFjruyI=")</f>
        <v>#VALUE!</v>
      </c>
      <c r="AJ6" s="22" t="e">
        <f aca="false">AND('Current Index'!E132,"AAAAAFjruyM=")</f>
        <v>#VALUE!</v>
      </c>
      <c r="AK6" s="22" t="e">
        <f aca="false">AND('Current Index'!F132,"AAAAAFjruyQ=")</f>
        <v>#VALUE!</v>
      </c>
      <c r="AL6" s="22" t="e">
        <f aca="false">AND('Current Index'!G132,"AAAAAFjruyU=")</f>
        <v>#VALUE!</v>
      </c>
      <c r="AM6" s="22" t="e">
        <f aca="false">AND('Current Index'!H132,"AAAAAFjruyY=")</f>
        <v>#VALUE!</v>
      </c>
      <c r="AN6" s="22" t="e">
        <f aca="false">AND('Current Index'!I132,"AAAAAFjruyc=")</f>
        <v>#VALUE!</v>
      </c>
      <c r="AO6" s="22" t="n">
        <f aca="false">IF('Current Index'!133:133,"AAAAAFjruyg=",0)</f>
        <v>0</v>
      </c>
      <c r="AP6" s="22" t="e">
        <f aca="false">AND('Current Index'!A133,"AAAAAFjruyk=")</f>
        <v>#VALUE!</v>
      </c>
      <c r="AQ6" s="22" t="e">
        <f aca="false">AND('current index'!#ref!,"AAAAAFjruyo=")</f>
        <v>#VALUE!</v>
      </c>
      <c r="AR6" s="22" t="e">
        <f aca="false">AND('Current Index'!B133,"AAAAAFjruys=")</f>
        <v>#VALUE!</v>
      </c>
      <c r="AS6" s="22" t="e">
        <f aca="false">AND('Current Index'!C133,"AAAAAFjruyw=")</f>
        <v>#VALUE!</v>
      </c>
      <c r="AT6" s="22" t="e">
        <f aca="false">AND('Current Index'!D133,"AAAAAFjruy0=")</f>
        <v>#VALUE!</v>
      </c>
      <c r="AU6" s="22" t="e">
        <f aca="false">AND('Current Index'!E133,"AAAAAFjruy4=")</f>
        <v>#VALUE!</v>
      </c>
      <c r="AV6" s="22" t="e">
        <f aca="false">AND('Current Index'!F133,"AAAAAFjruy8=")</f>
        <v>#VALUE!</v>
      </c>
      <c r="AW6" s="22" t="e">
        <f aca="false">AND('Current Index'!G133,"AAAAAFjruzA=")</f>
        <v>#VALUE!</v>
      </c>
      <c r="AX6" s="22" t="e">
        <f aca="false">AND('Current Index'!H133,"AAAAAFjruzE=")</f>
        <v>#VALUE!</v>
      </c>
      <c r="AY6" s="22" t="e">
        <f aca="false">AND('Current Index'!I133,"AAAAAFjruzI=")</f>
        <v>#VALUE!</v>
      </c>
      <c r="AZ6" s="22" t="n">
        <f aca="false">IF('Current Index'!134:134,"AAAAAFjruzM=",0)</f>
        <v>0</v>
      </c>
      <c r="BA6" s="22" t="e">
        <f aca="false">AND('Current Index'!A134,"AAAAAFjruzQ=")</f>
        <v>#VALUE!</v>
      </c>
      <c r="BB6" s="22" t="e">
        <f aca="false">AND('current index'!#ref!,"AAAAAFjruzU=")</f>
        <v>#VALUE!</v>
      </c>
      <c r="BC6" s="22" t="e">
        <f aca="false">AND('Current Index'!B134,"AAAAAFjruzY=")</f>
        <v>#VALUE!</v>
      </c>
      <c r="BD6" s="22" t="e">
        <f aca="false">AND('Current Index'!C134,"AAAAAFjruzc=")</f>
        <v>#VALUE!</v>
      </c>
      <c r="BE6" s="22" t="e">
        <f aca="false">AND('Current Index'!D134,"AAAAAFjruzg=")</f>
        <v>#VALUE!</v>
      </c>
      <c r="BF6" s="22" t="e">
        <f aca="false">AND('Current Index'!E134,"AAAAAFjruzk=")</f>
        <v>#VALUE!</v>
      </c>
      <c r="BG6" s="22" t="e">
        <f aca="false">AND('Current Index'!F134,"AAAAAFjruzo=")</f>
        <v>#VALUE!</v>
      </c>
      <c r="BH6" s="22" t="e">
        <f aca="false">AND('Current Index'!G134,"AAAAAFjruzs=")</f>
        <v>#VALUE!</v>
      </c>
      <c r="BI6" s="22" t="e">
        <f aca="false">AND('Current Index'!H134,"AAAAAFjruzw=")</f>
        <v>#VALUE!</v>
      </c>
      <c r="BJ6" s="22" t="e">
        <f aca="false">AND('Current Index'!I134,"AAAAAFjruz0=")</f>
        <v>#VALUE!</v>
      </c>
      <c r="BK6" s="22" t="n">
        <f aca="false">IF('Current Index'!135:135,"AAAAAFjruz4=",0)</f>
        <v>0</v>
      </c>
      <c r="BL6" s="22" t="e">
        <f aca="false">AND('Current Index'!A135,"AAAAAFjruz8=")</f>
        <v>#VALUE!</v>
      </c>
      <c r="BM6" s="22" t="e">
        <f aca="false">AND('current index'!#ref!,"AAAAAFjru0A=")</f>
        <v>#VALUE!</v>
      </c>
      <c r="BN6" s="22" t="e">
        <f aca="false">AND('Current Index'!B135,"AAAAAFjru0E=")</f>
        <v>#VALUE!</v>
      </c>
      <c r="BO6" s="22" t="e">
        <f aca="false">AND('Current Index'!C135,"AAAAAFjru0I=")</f>
        <v>#VALUE!</v>
      </c>
      <c r="BP6" s="22" t="e">
        <f aca="false">AND('Current Index'!D135,"AAAAAFjru0M=")</f>
        <v>#VALUE!</v>
      </c>
      <c r="BQ6" s="22" t="e">
        <f aca="false">AND('Current Index'!E135,"AAAAAFjru0Q=")</f>
        <v>#VALUE!</v>
      </c>
      <c r="BR6" s="22" t="e">
        <f aca="false">AND('Current Index'!F135,"AAAAAFjru0U=")</f>
        <v>#VALUE!</v>
      </c>
      <c r="BS6" s="22" t="e">
        <f aca="false">AND('Current Index'!G135,"AAAAAFjru0Y=")</f>
        <v>#VALUE!</v>
      </c>
      <c r="BT6" s="22" t="e">
        <f aca="false">AND('Current Index'!H135,"AAAAAFjru0c=")</f>
        <v>#VALUE!</v>
      </c>
      <c r="BU6" s="22" t="e">
        <f aca="false">AND('Current Index'!I135,"AAAAAFjru0g=")</f>
        <v>#VALUE!</v>
      </c>
      <c r="BV6" s="22" t="n">
        <f aca="false">IF('Current Index'!136:136,"AAAAAFjru0k=",0)</f>
        <v>0</v>
      </c>
      <c r="BW6" s="22" t="e">
        <f aca="false">AND('Current Index'!A136,"AAAAAFjru0o=")</f>
        <v>#VALUE!</v>
      </c>
      <c r="BX6" s="22" t="e">
        <f aca="false">AND('current index'!#ref!,"AAAAAFjru0s=")</f>
        <v>#VALUE!</v>
      </c>
      <c r="BY6" s="22" t="e">
        <f aca="false">AND('Current Index'!B136,"AAAAAFjru0w=")</f>
        <v>#VALUE!</v>
      </c>
      <c r="BZ6" s="22" t="e">
        <f aca="false">AND('Current Index'!C136,"AAAAAFjru00=")</f>
        <v>#VALUE!</v>
      </c>
      <c r="CA6" s="22" t="e">
        <f aca="false">AND('Current Index'!D136,"AAAAAFjru04=")</f>
        <v>#VALUE!</v>
      </c>
      <c r="CB6" s="22" t="e">
        <f aca="false">AND('Current Index'!E136,"AAAAAFjru08=")</f>
        <v>#VALUE!</v>
      </c>
      <c r="CC6" s="22" t="e">
        <f aca="false">AND('Current Index'!F136,"AAAAAFjru1A=")</f>
        <v>#VALUE!</v>
      </c>
      <c r="CD6" s="22" t="e">
        <f aca="false">AND('Current Index'!G136,"AAAAAFjru1E=")</f>
        <v>#VALUE!</v>
      </c>
      <c r="CE6" s="22" t="e">
        <f aca="false">AND('Current Index'!H136,"AAAAAFjru1I=")</f>
        <v>#VALUE!</v>
      </c>
      <c r="CF6" s="22" t="e">
        <f aca="false">AND('Current Index'!I136,"AAAAAFjru1M=")</f>
        <v>#VALUE!</v>
      </c>
      <c r="CG6" s="22" t="n">
        <f aca="false">IF('Current Index'!140:140,"AAAAAFjru1Q=",0)</f>
        <v>0</v>
      </c>
      <c r="CH6" s="22" t="e">
        <f aca="false">AND('Current Index'!A140,"AAAAAFjru1U=")</f>
        <v>#VALUE!</v>
      </c>
      <c r="CI6" s="22" t="e">
        <f aca="false">AND('current index'!#ref!,"AAAAAFjru1Y=")</f>
        <v>#VALUE!</v>
      </c>
      <c r="CJ6" s="22" t="e">
        <f aca="false">AND('Current Index'!B140,"AAAAAFjru1c=")</f>
        <v>#VALUE!</v>
      </c>
      <c r="CK6" s="22" t="e">
        <f aca="false">AND('Current Index'!C140,"AAAAAFjru1g=")</f>
        <v>#VALUE!</v>
      </c>
      <c r="CL6" s="22" t="e">
        <f aca="false">AND('Current Index'!D140,"AAAAAFjru1k=")</f>
        <v>#VALUE!</v>
      </c>
      <c r="CM6" s="22" t="e">
        <f aca="false">AND('Current Index'!E140,"AAAAAFjru1o=")</f>
        <v>#VALUE!</v>
      </c>
      <c r="CN6" s="22" t="e">
        <f aca="false">AND('Current Index'!F140,"AAAAAFjru1s=")</f>
        <v>#VALUE!</v>
      </c>
      <c r="CO6" s="22" t="e">
        <f aca="false">AND('Current Index'!G140,"AAAAAFjru1w=")</f>
        <v>#VALUE!</v>
      </c>
      <c r="CP6" s="22" t="e">
        <f aca="false">AND('Current Index'!H140,"AAAAAFjru10=")</f>
        <v>#VALUE!</v>
      </c>
      <c r="CQ6" s="22" t="e">
        <f aca="false">AND('Current Index'!I140,"AAAAAFjru14=")</f>
        <v>#VALUE!</v>
      </c>
      <c r="CR6" s="22" t="n">
        <f aca="false">IF('Current Index'!142:142,"AAAAAFjru18=",0)</f>
        <v>0</v>
      </c>
      <c r="CS6" s="22" t="e">
        <f aca="false">AND('Current Index'!A142,"AAAAAFjru2A=")</f>
        <v>#VALUE!</v>
      </c>
      <c r="CT6" s="22" t="e">
        <f aca="false">AND('current index'!#ref!,"AAAAAFjru2E=")</f>
        <v>#VALUE!</v>
      </c>
      <c r="CU6" s="22" t="e">
        <f aca="false">AND('Current Index'!B142,"AAAAAFjru2I=")</f>
        <v>#VALUE!</v>
      </c>
      <c r="CV6" s="22" t="e">
        <f aca="false">AND('Current Index'!C142,"AAAAAFjru2M=")</f>
        <v>#VALUE!</v>
      </c>
      <c r="CW6" s="22" t="e">
        <f aca="false">AND('Current Index'!D142,"AAAAAFjru2Q=")</f>
        <v>#VALUE!</v>
      </c>
      <c r="CX6" s="22" t="e">
        <f aca="false">AND('Current Index'!E142,"AAAAAFjru2U=")</f>
        <v>#VALUE!</v>
      </c>
      <c r="CY6" s="22" t="e">
        <f aca="false">AND('Current Index'!F142,"AAAAAFjru2Y=")</f>
        <v>#VALUE!</v>
      </c>
      <c r="CZ6" s="22" t="e">
        <f aca="false">AND('Current Index'!G142,"AAAAAFjru2c=")</f>
        <v>#VALUE!</v>
      </c>
      <c r="DA6" s="22" t="e">
        <f aca="false">AND('Current Index'!H142,"AAAAAFjru2g=")</f>
        <v>#VALUE!</v>
      </c>
      <c r="DB6" s="22" t="e">
        <f aca="false">AND('Current Index'!I142,"AAAAAFjru2k=")</f>
        <v>#VALUE!</v>
      </c>
      <c r="DC6" s="22" t="n">
        <f aca="false">IF('Current Index'!144:144,"AAAAAFjru2o=",0)</f>
        <v>0</v>
      </c>
      <c r="DD6" s="22" t="e">
        <f aca="false">AND('Current Index'!A144,"AAAAAFjru2s=")</f>
        <v>#VALUE!</v>
      </c>
      <c r="DE6" s="22" t="e">
        <f aca="false">AND('current index'!#ref!,"AAAAAFjru2w=")</f>
        <v>#VALUE!</v>
      </c>
      <c r="DF6" s="22" t="e">
        <f aca="false">AND('Current Index'!B144,"AAAAAFjru20=")</f>
        <v>#VALUE!</v>
      </c>
      <c r="DG6" s="22" t="e">
        <f aca="false">AND('Current Index'!C144,"AAAAAFjru24=")</f>
        <v>#VALUE!</v>
      </c>
      <c r="DH6" s="22" t="e">
        <f aca="false">AND('Current Index'!D144,"AAAAAFjru28=")</f>
        <v>#VALUE!</v>
      </c>
      <c r="DI6" s="22" t="e">
        <f aca="false">AND('Current Index'!E144,"AAAAAFjru3A=")</f>
        <v>#VALUE!</v>
      </c>
      <c r="DJ6" s="22" t="e">
        <f aca="false">AND('Current Index'!F144,"AAAAAFjru3E=")</f>
        <v>#VALUE!</v>
      </c>
      <c r="DK6" s="22" t="e">
        <f aca="false">AND('Current Index'!G144,"AAAAAFjru3I=")</f>
        <v>#VALUE!</v>
      </c>
      <c r="DL6" s="22" t="e">
        <f aca="false">AND('Current Index'!H144,"AAAAAFjru3M=")</f>
        <v>#VALUE!</v>
      </c>
      <c r="DM6" s="22" t="e">
        <f aca="false">AND('Current Index'!I144,"AAAAAFjru3Q=")</f>
        <v>#VALUE!</v>
      </c>
      <c r="DN6" s="22" t="e">
        <f aca="false">IF('current index'!#ref!,"AAAAAFjru3U=",0)</f>
        <v>#VALUE!</v>
      </c>
      <c r="DO6" s="22" t="e">
        <f aca="false">AND('current index'!#ref!,"AAAAAFjru3Y=")</f>
        <v>#VALUE!</v>
      </c>
      <c r="DP6" s="22" t="e">
        <f aca="false">AND('current index'!#ref!,"AAAAAFjru3c=")</f>
        <v>#VALUE!</v>
      </c>
      <c r="DQ6" s="22" t="e">
        <f aca="false">AND('current index'!#ref!,"AAAAAFjru3g=")</f>
        <v>#VALUE!</v>
      </c>
      <c r="DR6" s="22" t="e">
        <f aca="false">AND('current index'!#ref!,"AAAAAFjru3k=")</f>
        <v>#VALUE!</v>
      </c>
      <c r="DS6" s="22" t="e">
        <f aca="false">AND('current index'!#ref!,"AAAAAFjru3o=")</f>
        <v>#VALUE!</v>
      </c>
      <c r="DT6" s="22" t="e">
        <f aca="false">AND('current index'!#ref!,"AAAAAFjru3s=")</f>
        <v>#VALUE!</v>
      </c>
      <c r="DU6" s="22" t="e">
        <f aca="false">AND('current index'!#ref!,"AAAAAFjru3w=")</f>
        <v>#VALUE!</v>
      </c>
      <c r="DV6" s="22" t="e">
        <f aca="false">AND('current index'!#ref!,"AAAAAFjru30=")</f>
        <v>#VALUE!</v>
      </c>
      <c r="DW6" s="22" t="e">
        <f aca="false">AND('current index'!#ref!,"AAAAAFjru34=")</f>
        <v>#VALUE!</v>
      </c>
      <c r="DX6" s="22" t="e">
        <f aca="false">AND('current index'!#ref!,"AAAAAFjru38=")</f>
        <v>#VALUE!</v>
      </c>
      <c r="DY6" s="22" t="e">
        <f aca="false">IF('current index'!#ref!,"AAAAAFjru4A=",0)</f>
        <v>#VALUE!</v>
      </c>
      <c r="DZ6" s="22" t="e">
        <f aca="false">AND('current index'!#ref!,"AAAAAFjru4E=")</f>
        <v>#VALUE!</v>
      </c>
      <c r="EA6" s="22" t="e">
        <f aca="false">AND('current index'!#ref!,"AAAAAFjru4I=")</f>
        <v>#VALUE!</v>
      </c>
      <c r="EB6" s="22" t="e">
        <f aca="false">AND('current index'!#ref!,"AAAAAFjru4M=")</f>
        <v>#VALUE!</v>
      </c>
      <c r="EC6" s="22" t="e">
        <f aca="false">AND('current index'!#ref!,"AAAAAFjru4Q=")</f>
        <v>#VALUE!</v>
      </c>
      <c r="ED6" s="22" t="e">
        <f aca="false">AND('current index'!#ref!,"AAAAAFjru4U=")</f>
        <v>#VALUE!</v>
      </c>
      <c r="EE6" s="22" t="e">
        <f aca="false">AND('current index'!#ref!,"AAAAAFjru4Y=")</f>
        <v>#VALUE!</v>
      </c>
      <c r="EF6" s="22" t="e">
        <f aca="false">AND('current index'!#ref!,"AAAAAFjru4c=")</f>
        <v>#VALUE!</v>
      </c>
      <c r="EG6" s="22" t="e">
        <f aca="false">AND('current index'!#ref!,"AAAAAFjru4g=")</f>
        <v>#VALUE!</v>
      </c>
      <c r="EH6" s="22" t="e">
        <f aca="false">AND('current index'!#ref!,"AAAAAFjru4k=")</f>
        <v>#VALUE!</v>
      </c>
      <c r="EI6" s="22" t="e">
        <f aca="false">AND('current index'!#ref!,"AAAAAFjru4o=")</f>
        <v>#VALUE!</v>
      </c>
      <c r="EJ6" s="22" t="e">
        <f aca="false">IF('current index'!#ref!,"AAAAAFjru4s=",0)</f>
        <v>#VALUE!</v>
      </c>
      <c r="EK6" s="22" t="e">
        <f aca="false">AND('current index'!#ref!,"AAAAAFjru4w=")</f>
        <v>#VALUE!</v>
      </c>
      <c r="EL6" s="22" t="e">
        <f aca="false">AND('current index'!#ref!,"AAAAAFjru40=")</f>
        <v>#VALUE!</v>
      </c>
      <c r="EM6" s="22" t="e">
        <f aca="false">AND('current index'!#ref!,"AAAAAFjru44=")</f>
        <v>#VALUE!</v>
      </c>
      <c r="EN6" s="22" t="e">
        <f aca="false">AND('current index'!#ref!,"AAAAAFjru48=")</f>
        <v>#VALUE!</v>
      </c>
      <c r="EO6" s="22" t="e">
        <f aca="false">AND('current index'!#ref!,"AAAAAFjru5A=")</f>
        <v>#VALUE!</v>
      </c>
      <c r="EP6" s="22" t="e">
        <f aca="false">AND('current index'!#ref!,"AAAAAFjru5E=")</f>
        <v>#VALUE!</v>
      </c>
      <c r="EQ6" s="22" t="e">
        <f aca="false">AND('current index'!#ref!,"AAAAAFjru5I=")</f>
        <v>#VALUE!</v>
      </c>
      <c r="ER6" s="22" t="e">
        <f aca="false">AND('current index'!#ref!,"AAAAAFjru5M=")</f>
        <v>#VALUE!</v>
      </c>
      <c r="ES6" s="22" t="e">
        <f aca="false">AND('current index'!#ref!,"AAAAAFjru5Q=")</f>
        <v>#VALUE!</v>
      </c>
      <c r="ET6" s="22" t="e">
        <f aca="false">AND('current index'!#ref!,"AAAAAFjru5U=")</f>
        <v>#VALUE!</v>
      </c>
      <c r="EU6" s="22" t="n">
        <f aca="false">IF('Current Index'!145:145,"AAAAAFjru5Y=",0)</f>
        <v>0</v>
      </c>
      <c r="EV6" s="22" t="e">
        <f aca="false">AND('Current Index'!A145,"AAAAAFjru5c=")</f>
        <v>#VALUE!</v>
      </c>
      <c r="EW6" s="22" t="e">
        <f aca="false">AND('current index'!#ref!,"AAAAAFjru5g=")</f>
        <v>#VALUE!</v>
      </c>
      <c r="EX6" s="22" t="e">
        <f aca="false">AND('Current Index'!B145,"AAAAAFjru5k=")</f>
        <v>#VALUE!</v>
      </c>
      <c r="EY6" s="22" t="e">
        <f aca="false">AND('Current Index'!C145,"AAAAAFjru5o=")</f>
        <v>#VALUE!</v>
      </c>
      <c r="EZ6" s="22" t="e">
        <f aca="false">AND('Current Index'!D145,"AAAAAFjru5s=")</f>
        <v>#VALUE!</v>
      </c>
      <c r="FA6" s="22" t="e">
        <f aca="false">AND('Current Index'!E145,"AAAAAFjru5w=")</f>
        <v>#VALUE!</v>
      </c>
      <c r="FB6" s="22" t="e">
        <f aca="false">AND('Current Index'!F145,"AAAAAFjru50=")</f>
        <v>#VALUE!</v>
      </c>
      <c r="FC6" s="22" t="e">
        <f aca="false">AND('Current Index'!G145,"AAAAAFjru54=")</f>
        <v>#VALUE!</v>
      </c>
      <c r="FD6" s="22" t="e">
        <f aca="false">AND('Current Index'!H145,"AAAAAFjru58=")</f>
        <v>#VALUE!</v>
      </c>
      <c r="FE6" s="22" t="e">
        <f aca="false">AND('Current Index'!I145,"AAAAAFjru6A=")</f>
        <v>#VALUE!</v>
      </c>
      <c r="FF6" s="22" t="n">
        <f aca="false">IF('Current Index'!147:147,"AAAAAFjru6E=",0)</f>
        <v>0</v>
      </c>
      <c r="FG6" s="22" t="e">
        <f aca="false">AND('Current Index'!A147,"AAAAAFjru6I=")</f>
        <v>#VALUE!</v>
      </c>
      <c r="FH6" s="22" t="e">
        <f aca="false">AND('current index'!#ref!,"AAAAAFjru6M=")</f>
        <v>#VALUE!</v>
      </c>
      <c r="FI6" s="22" t="e">
        <f aca="false">AND('Current Index'!B147,"AAAAAFjru6Q=")</f>
        <v>#VALUE!</v>
      </c>
      <c r="FJ6" s="22" t="e">
        <f aca="false">AND('Current Index'!C147,"AAAAAFjru6U=")</f>
        <v>#VALUE!</v>
      </c>
      <c r="FK6" s="22" t="e">
        <f aca="false">AND('Current Index'!D147,"AAAAAFjru6Y=")</f>
        <v>#VALUE!</v>
      </c>
      <c r="FL6" s="22" t="e">
        <f aca="false">AND('Current Index'!E147,"AAAAAFjru6c=")</f>
        <v>#VALUE!</v>
      </c>
      <c r="FM6" s="22" t="e">
        <f aca="false">AND('Current Index'!F147,"AAAAAFjru6g=")</f>
        <v>#VALUE!</v>
      </c>
      <c r="FN6" s="22" t="e">
        <f aca="false">AND('Current Index'!G147,"AAAAAFjru6k=")</f>
        <v>#VALUE!</v>
      </c>
      <c r="FO6" s="22" t="e">
        <f aca="false">AND('Current Index'!H147,"AAAAAFjru6o=")</f>
        <v>#VALUE!</v>
      </c>
      <c r="FP6" s="22" t="e">
        <f aca="false">AND('Current Index'!I147,"AAAAAFjru6s=")</f>
        <v>#VALUE!</v>
      </c>
      <c r="FQ6" s="22" t="n">
        <f aca="false">IF('Current Index'!149:149,"AAAAAFjru6w=",0)</f>
        <v>0</v>
      </c>
      <c r="FR6" s="22" t="e">
        <f aca="false">AND('Current Index'!A149,"AAAAAFjru60=")</f>
        <v>#VALUE!</v>
      </c>
      <c r="FS6" s="22" t="e">
        <f aca="false">AND('current index'!#ref!,"AAAAAFjru64=")</f>
        <v>#VALUE!</v>
      </c>
      <c r="FT6" s="22" t="e">
        <f aca="false">AND('Current Index'!B149,"AAAAAFjru68=")</f>
        <v>#VALUE!</v>
      </c>
      <c r="FU6" s="22" t="e">
        <f aca="false">AND('Current Index'!C149,"AAAAAFjru7A=")</f>
        <v>#VALUE!</v>
      </c>
      <c r="FV6" s="22" t="e">
        <f aca="false">AND('Current Index'!D149,"AAAAAFjru7E=")</f>
        <v>#VALUE!</v>
      </c>
      <c r="FW6" s="22" t="e">
        <f aca="false">AND('Current Index'!E149,"AAAAAFjru7I=")</f>
        <v>#VALUE!</v>
      </c>
      <c r="FX6" s="22" t="e">
        <f aca="false">AND('Current Index'!F149,"AAAAAFjru7M=")</f>
        <v>#VALUE!</v>
      </c>
      <c r="FY6" s="22" t="e">
        <f aca="false">AND('Current Index'!G149,"AAAAAFjru7Q=")</f>
        <v>#VALUE!</v>
      </c>
      <c r="FZ6" s="22" t="e">
        <f aca="false">AND('Current Index'!H149,"AAAAAFjru7U=")</f>
        <v>#VALUE!</v>
      </c>
      <c r="GA6" s="22" t="e">
        <f aca="false">AND('Current Index'!I149,"AAAAAFjru7Y=")</f>
        <v>#VALUE!</v>
      </c>
      <c r="GB6" s="22" t="n">
        <f aca="false">IF('Current Index'!150:150,"AAAAAFjru7c=",0)</f>
        <v>0</v>
      </c>
      <c r="GC6" s="22" t="e">
        <f aca="false">AND('Current Index'!A150,"AAAAAFjru7g=")</f>
        <v>#VALUE!</v>
      </c>
      <c r="GD6" s="22" t="e">
        <f aca="false">AND('current index'!#ref!,"AAAAAFjru7k=")</f>
        <v>#VALUE!</v>
      </c>
      <c r="GE6" s="22" t="e">
        <f aca="false">AND('Current Index'!B150,"AAAAAFjru7o=")</f>
        <v>#VALUE!</v>
      </c>
      <c r="GF6" s="22" t="e">
        <f aca="false">AND('Current Index'!C150,"AAAAAFjru7s=")</f>
        <v>#VALUE!</v>
      </c>
      <c r="GG6" s="22" t="e">
        <f aca="false">AND('Current Index'!D150,"AAAAAFjru7w=")</f>
        <v>#VALUE!</v>
      </c>
      <c r="GH6" s="22" t="e">
        <f aca="false">AND('Current Index'!E150,"AAAAAFjru70=")</f>
        <v>#VALUE!</v>
      </c>
      <c r="GI6" s="22" t="e">
        <f aca="false">AND('Current Index'!F150,"AAAAAFjru74=")</f>
        <v>#VALUE!</v>
      </c>
      <c r="GJ6" s="22" t="e">
        <f aca="false">AND('Current Index'!G150,"AAAAAFjru78=")</f>
        <v>#VALUE!</v>
      </c>
      <c r="GK6" s="22" t="e">
        <f aca="false">AND('Current Index'!H150,"AAAAAFjru8A=")</f>
        <v>#VALUE!</v>
      </c>
      <c r="GL6" s="22" t="e">
        <f aca="false">AND('Current Index'!I150,"AAAAAFjru8E=")</f>
        <v>#VALUE!</v>
      </c>
      <c r="GM6" s="22" t="n">
        <f aca="false">IF('Current Index'!151:151,"AAAAAFjru8I=",0)</f>
        <v>0</v>
      </c>
      <c r="GN6" s="22" t="e">
        <f aca="false">AND('Current Index'!A151,"AAAAAFjru8M=")</f>
        <v>#VALUE!</v>
      </c>
      <c r="GO6" s="22" t="e">
        <f aca="false">AND('current index'!#ref!,"AAAAAFjru8Q=")</f>
        <v>#VALUE!</v>
      </c>
      <c r="GP6" s="22" t="e">
        <f aca="false">AND('Current Index'!B151,"AAAAAFjru8U=")</f>
        <v>#VALUE!</v>
      </c>
      <c r="GQ6" s="22" t="e">
        <f aca="false">AND('Current Index'!C151,"AAAAAFjru8Y=")</f>
        <v>#VALUE!</v>
      </c>
      <c r="GR6" s="22" t="e">
        <f aca="false">AND('Current Index'!D151,"AAAAAFjru8c=")</f>
        <v>#VALUE!</v>
      </c>
      <c r="GS6" s="22" t="e">
        <f aca="false">AND('Current Index'!E151,"AAAAAFjru8g=")</f>
        <v>#VALUE!</v>
      </c>
      <c r="GT6" s="22" t="e">
        <f aca="false">AND('Current Index'!F151,"AAAAAFjru8k=")</f>
        <v>#VALUE!</v>
      </c>
      <c r="GU6" s="22" t="e">
        <f aca="false">AND('Current Index'!G151,"AAAAAFjru8o=")</f>
        <v>#VALUE!</v>
      </c>
      <c r="GV6" s="22" t="e">
        <f aca="false">AND('Current Index'!H151,"AAAAAFjru8s=")</f>
        <v>#VALUE!</v>
      </c>
      <c r="GW6" s="22" t="e">
        <f aca="false">AND('Current Index'!I151,"AAAAAFjru8w=")</f>
        <v>#VALUE!</v>
      </c>
      <c r="GX6" s="22" t="n">
        <f aca="false">IF('Current Index'!155:155,"AAAAAFjru80=",0)</f>
        <v>0</v>
      </c>
      <c r="GY6" s="22" t="e">
        <f aca="false">AND('Current Index'!A155,"AAAAAFjru84=")</f>
        <v>#VALUE!</v>
      </c>
      <c r="GZ6" s="22" t="e">
        <f aca="false">AND('current index'!#ref!,"AAAAAFjru88=")</f>
        <v>#VALUE!</v>
      </c>
      <c r="HA6" s="22" t="e">
        <f aca="false">AND('Current Index'!B155,"AAAAAFjru9A=")</f>
        <v>#VALUE!</v>
      </c>
      <c r="HB6" s="22" t="e">
        <f aca="false">AND('Current Index'!C155,"AAAAAFjru9E=")</f>
        <v>#VALUE!</v>
      </c>
      <c r="HC6" s="22" t="e">
        <f aca="false">AND('Current Index'!D155,"AAAAAFjru9I=")</f>
        <v>#VALUE!</v>
      </c>
      <c r="HD6" s="22" t="e">
        <f aca="false">AND('Current Index'!E155,"AAAAAFjru9M=")</f>
        <v>#VALUE!</v>
      </c>
      <c r="HE6" s="22" t="e">
        <f aca="false">AND('Current Index'!F155,"AAAAAFjru9Q=")</f>
        <v>#VALUE!</v>
      </c>
      <c r="HF6" s="22" t="e">
        <f aca="false">AND('Current Index'!G155,"AAAAAFjru9U=")</f>
        <v>#VALUE!</v>
      </c>
      <c r="HG6" s="22" t="e">
        <f aca="false">AND('Current Index'!H155,"AAAAAFjru9Y=")</f>
        <v>#VALUE!</v>
      </c>
      <c r="HH6" s="22" t="e">
        <f aca="false">AND('Current Index'!I155,"AAAAAFjru9c=")</f>
        <v>#VALUE!</v>
      </c>
      <c r="HI6" s="22" t="n">
        <f aca="false">IF('Current Index'!156:156,"AAAAAFjru9g=",0)</f>
        <v>0</v>
      </c>
      <c r="HJ6" s="22" t="e">
        <f aca="false">AND('Current Index'!A156,"AAAAAFjru9k=")</f>
        <v>#VALUE!</v>
      </c>
      <c r="HK6" s="22" t="e">
        <f aca="false">AND('current index'!#ref!,"AAAAAFjru9o=")</f>
        <v>#VALUE!</v>
      </c>
      <c r="HL6" s="22" t="e">
        <f aca="false">AND('Current Index'!B156,"AAAAAFjru9s=")</f>
        <v>#VALUE!</v>
      </c>
      <c r="HM6" s="22" t="e">
        <f aca="false">AND('Current Index'!C156,"AAAAAFjru9w=")</f>
        <v>#VALUE!</v>
      </c>
      <c r="HN6" s="22" t="e">
        <f aca="false">AND('Current Index'!D156,"AAAAAFjru90=")</f>
        <v>#VALUE!</v>
      </c>
      <c r="HO6" s="22" t="e">
        <f aca="false">AND('Current Index'!E156,"AAAAAFjru94=")</f>
        <v>#VALUE!</v>
      </c>
      <c r="HP6" s="22" t="e">
        <f aca="false">AND('Current Index'!F156,"AAAAAFjru98=")</f>
        <v>#VALUE!</v>
      </c>
      <c r="HQ6" s="22" t="e">
        <f aca="false">AND('Current Index'!G156,"AAAAAFjru+A=")</f>
        <v>#VALUE!</v>
      </c>
      <c r="HR6" s="22" t="e">
        <f aca="false">AND('Current Index'!H156,"AAAAAFjru+E=")</f>
        <v>#VALUE!</v>
      </c>
      <c r="HS6" s="22" t="e">
        <f aca="false">AND('Current Index'!I156,"AAAAAFjru+I=")</f>
        <v>#VALUE!</v>
      </c>
      <c r="HT6" s="22" t="e">
        <f aca="false">IF('current index'!#ref!,"AAAAAFjru+M=",0)</f>
        <v>#VALUE!</v>
      </c>
      <c r="HU6" s="22" t="e">
        <f aca="false">AND('current index'!#ref!,"AAAAAFjru+Q=")</f>
        <v>#VALUE!</v>
      </c>
      <c r="HV6" s="22" t="e">
        <f aca="false">AND('current index'!#ref!,"AAAAAFjru+U=")</f>
        <v>#VALUE!</v>
      </c>
      <c r="HW6" s="22" t="e">
        <f aca="false">AND('current index'!#ref!,"AAAAAFjru+Y=")</f>
        <v>#VALUE!</v>
      </c>
      <c r="HX6" s="22" t="e">
        <f aca="false">AND('current index'!#ref!,"AAAAAFjru+c=")</f>
        <v>#VALUE!</v>
      </c>
      <c r="HY6" s="22" t="e">
        <f aca="false">AND('current index'!#ref!,"AAAAAFjru+g=")</f>
        <v>#VALUE!</v>
      </c>
      <c r="HZ6" s="22" t="e">
        <f aca="false">AND('current index'!#ref!,"AAAAAFjru+k=")</f>
        <v>#VALUE!</v>
      </c>
      <c r="IA6" s="22" t="e">
        <f aca="false">AND('current index'!#ref!,"AAAAAFjru+o=")</f>
        <v>#VALUE!</v>
      </c>
      <c r="IB6" s="22" t="e">
        <f aca="false">AND('current index'!#ref!,"AAAAAFjru+s=")</f>
        <v>#VALUE!</v>
      </c>
      <c r="IC6" s="22" t="e">
        <f aca="false">AND('current index'!#ref!,"AAAAAFjru+w=")</f>
        <v>#VALUE!</v>
      </c>
      <c r="ID6" s="22" t="e">
        <f aca="false">AND('current index'!#ref!,"AAAAAFjru+0=")</f>
        <v>#VALUE!</v>
      </c>
      <c r="IE6" s="22" t="n">
        <f aca="false">IF('Current Index'!157:157,"AAAAAFjru+4=",0)</f>
        <v>0</v>
      </c>
      <c r="IF6" s="22" t="e">
        <f aca="false">AND('Current Index'!A157,"AAAAAFjru+8=")</f>
        <v>#VALUE!</v>
      </c>
      <c r="IG6" s="22" t="e">
        <f aca="false">AND('current index'!#ref!,"AAAAAFjru/A=")</f>
        <v>#VALUE!</v>
      </c>
      <c r="IH6" s="22" t="e">
        <f aca="false">AND('Current Index'!B157,"AAAAAFjru/E=")</f>
        <v>#VALUE!</v>
      </c>
      <c r="II6" s="22" t="e">
        <f aca="false">AND('Current Index'!C157,"AAAAAFjru/I=")</f>
        <v>#VALUE!</v>
      </c>
      <c r="IJ6" s="22" t="e">
        <f aca="false">AND('Current Index'!D157,"AAAAAFjru/M=")</f>
        <v>#VALUE!</v>
      </c>
      <c r="IK6" s="22" t="e">
        <f aca="false">AND('Current Index'!E157,"AAAAAFjru/Q=")</f>
        <v>#VALUE!</v>
      </c>
      <c r="IL6" s="22" t="e">
        <f aca="false">AND('Current Index'!F157,"AAAAAFjru/U=")</f>
        <v>#VALUE!</v>
      </c>
      <c r="IM6" s="22" t="e">
        <f aca="false">AND('Current Index'!G157,"AAAAAFjru/Y=")</f>
        <v>#VALUE!</v>
      </c>
      <c r="IN6" s="22" t="e">
        <f aca="false">AND('Current Index'!H157,"AAAAAFjru/c=")</f>
        <v>#VALUE!</v>
      </c>
      <c r="IO6" s="22" t="e">
        <f aca="false">AND('Current Index'!I157,"AAAAAFjru/g=")</f>
        <v>#VALUE!</v>
      </c>
      <c r="IP6" s="22" t="n">
        <f aca="false">IF('Current Index'!158:158,"AAAAAFjru/k=",0)</f>
        <v>0</v>
      </c>
      <c r="IQ6" s="22" t="e">
        <f aca="false">AND('Current Index'!A158,"AAAAAFjru/o=")</f>
        <v>#VALUE!</v>
      </c>
      <c r="IR6" s="22" t="e">
        <f aca="false">AND('current index'!#ref!,"AAAAAFjru/s=")</f>
        <v>#VALUE!</v>
      </c>
      <c r="IS6" s="22" t="e">
        <f aca="false">AND('Current Index'!B158,"AAAAAFjru/w=")</f>
        <v>#VALUE!</v>
      </c>
      <c r="IT6" s="22" t="e">
        <f aca="false">AND('Current Index'!C158,"AAAAAFjru/0=")</f>
        <v>#VALUE!</v>
      </c>
      <c r="IU6" s="22" t="e">
        <f aca="false">AND('Current Index'!D158,"AAAAAFjru/4=")</f>
        <v>#VALUE!</v>
      </c>
      <c r="IV6" s="22" t="e">
        <f aca="false">AND('Current Index'!E158,"AAAAAFjru/8=")</f>
        <v>#VALUE!</v>
      </c>
    </row>
    <row r="7" customFormat="false" ht="12.75" hidden="false" customHeight="false" outlineLevel="0" collapsed="false">
      <c r="A7" s="22" t="e">
        <f aca="false">AND('Current Index'!F158,"AAAAAHd/cwA=")</f>
        <v>#VALUE!</v>
      </c>
      <c r="B7" s="22" t="e">
        <f aca="false">AND('Current Index'!G158,"AAAAAHd/cwE=")</f>
        <v>#VALUE!</v>
      </c>
      <c r="C7" s="22" t="e">
        <f aca="false">AND('Current Index'!H158,"AAAAAHd/cwI=")</f>
        <v>#VALUE!</v>
      </c>
      <c r="D7" s="22" t="e">
        <f aca="false">AND('Current Index'!I158,"AAAAAHd/cwM=")</f>
        <v>#VALUE!</v>
      </c>
      <c r="E7" s="22" t="e">
        <f aca="false">IF('Current Index'!159:159,"AAAAAHd/cwQ=",0)</f>
        <v>#VALUE!</v>
      </c>
      <c r="F7" s="22" t="e">
        <f aca="false">AND('Current Index'!A159,"AAAAAHd/cwU=")</f>
        <v>#VALUE!</v>
      </c>
      <c r="G7" s="22" t="e">
        <f aca="false">AND('current index'!#ref!,"AAAAAHd/cwY=")</f>
        <v>#VALUE!</v>
      </c>
      <c r="H7" s="22" t="e">
        <f aca="false">AND('Current Index'!B159,"AAAAAHd/cwc=")</f>
        <v>#VALUE!</v>
      </c>
      <c r="I7" s="22" t="e">
        <f aca="false">AND('Current Index'!C159,"AAAAAHd/cwg=")</f>
        <v>#VALUE!</v>
      </c>
      <c r="J7" s="22" t="e">
        <f aca="false">AND('Current Index'!D159,"AAAAAHd/cwk=")</f>
        <v>#VALUE!</v>
      </c>
      <c r="K7" s="22" t="e">
        <f aca="false">AND('Current Index'!E159,"AAAAAHd/cwo=")</f>
        <v>#VALUE!</v>
      </c>
      <c r="L7" s="22" t="e">
        <f aca="false">AND('Current Index'!F159,"AAAAAHd/cws=")</f>
        <v>#VALUE!</v>
      </c>
      <c r="M7" s="22" t="e">
        <f aca="false">AND('Current Index'!G159,"AAAAAHd/cww=")</f>
        <v>#VALUE!</v>
      </c>
      <c r="N7" s="22" t="e">
        <f aca="false">AND('Current Index'!H159,"AAAAAHd/cw0=")</f>
        <v>#VALUE!</v>
      </c>
      <c r="O7" s="22" t="e">
        <f aca="false">AND('Current Index'!I159,"AAAAAHd/cw4=")</f>
        <v>#VALUE!</v>
      </c>
      <c r="P7" s="22" t="n">
        <f aca="false">IF('Current Index'!160:160,"AAAAAHd/cw8=",0)</f>
        <v>0</v>
      </c>
      <c r="Q7" s="22" t="e">
        <f aca="false">AND('Current Index'!A160,"AAAAAHd/cxA=")</f>
        <v>#VALUE!</v>
      </c>
      <c r="R7" s="22" t="e">
        <f aca="false">AND('current index'!#ref!,"AAAAAHd/cxE=")</f>
        <v>#VALUE!</v>
      </c>
      <c r="S7" s="22" t="e">
        <f aca="false">AND('Current Index'!B160,"AAAAAHd/cxI=")</f>
        <v>#VALUE!</v>
      </c>
      <c r="T7" s="22" t="e">
        <f aca="false">AND('Current Index'!C160,"AAAAAHd/cxM=")</f>
        <v>#VALUE!</v>
      </c>
      <c r="U7" s="22" t="e">
        <f aca="false">AND('Current Index'!D160,"AAAAAHd/cxQ=")</f>
        <v>#VALUE!</v>
      </c>
      <c r="V7" s="22" t="e">
        <f aca="false">AND('Current Index'!E160,"AAAAAHd/cxU=")</f>
        <v>#VALUE!</v>
      </c>
      <c r="W7" s="22" t="e">
        <f aca="false">AND('Current Index'!F160,"AAAAAHd/cxY=")</f>
        <v>#VALUE!</v>
      </c>
      <c r="X7" s="22" t="e">
        <f aca="false">AND('Current Index'!G160,"AAAAAHd/cxc=")</f>
        <v>#VALUE!</v>
      </c>
      <c r="Y7" s="22" t="e">
        <f aca="false">AND('Current Index'!H160,"AAAAAHd/cxg=")</f>
        <v>#VALUE!</v>
      </c>
      <c r="Z7" s="22" t="e">
        <f aca="false">AND('Current Index'!I160,"AAAAAHd/cxk=")</f>
        <v>#VALUE!</v>
      </c>
      <c r="AA7" s="22" t="n">
        <f aca="false">IF('Current Index'!161:161,"AAAAAHd/cxo=",0)</f>
        <v>0</v>
      </c>
      <c r="AB7" s="22" t="e">
        <f aca="false">AND('Current Index'!A161,"AAAAAHd/cxs=")</f>
        <v>#VALUE!</v>
      </c>
      <c r="AC7" s="22" t="e">
        <f aca="false">AND('current index'!#ref!,"AAAAAHd/cxw=")</f>
        <v>#VALUE!</v>
      </c>
      <c r="AD7" s="22" t="e">
        <f aca="false">AND('Current Index'!B161,"AAAAAHd/cx0=")</f>
        <v>#VALUE!</v>
      </c>
      <c r="AE7" s="22" t="e">
        <f aca="false">AND('Current Index'!C161,"AAAAAHd/cx4=")</f>
        <v>#VALUE!</v>
      </c>
      <c r="AF7" s="22" t="e">
        <f aca="false">AND('Current Index'!D161,"AAAAAHd/cx8=")</f>
        <v>#VALUE!</v>
      </c>
      <c r="AG7" s="22" t="e">
        <f aca="false">AND('Current Index'!E161,"AAAAAHd/cyA=")</f>
        <v>#VALUE!</v>
      </c>
      <c r="AH7" s="22" t="e">
        <f aca="false">AND('Current Index'!F161,"AAAAAHd/cyE=")</f>
        <v>#VALUE!</v>
      </c>
      <c r="AI7" s="22" t="e">
        <f aca="false">AND('Current Index'!G161,"AAAAAHd/cyI=")</f>
        <v>#VALUE!</v>
      </c>
      <c r="AJ7" s="22" t="e">
        <f aca="false">AND('Current Index'!H161,"AAAAAHd/cyM=")</f>
        <v>#VALUE!</v>
      </c>
      <c r="AK7" s="22" t="e">
        <f aca="false">AND('Current Index'!I161,"AAAAAHd/cyQ=")</f>
        <v>#VALUE!</v>
      </c>
      <c r="AL7" s="22" t="n">
        <f aca="false">IF('Current Index'!162:162,"AAAAAHd/cyU=",0)</f>
        <v>0</v>
      </c>
      <c r="AM7" s="22" t="e">
        <f aca="false">AND('Current Index'!A162,"AAAAAHd/cyY=")</f>
        <v>#VALUE!</v>
      </c>
      <c r="AN7" s="22" t="e">
        <f aca="false">AND('current index'!#ref!,"AAAAAHd/cyc=")</f>
        <v>#VALUE!</v>
      </c>
      <c r="AO7" s="22" t="e">
        <f aca="false">AND('Current Index'!B162,"AAAAAHd/cyg=")</f>
        <v>#VALUE!</v>
      </c>
      <c r="AP7" s="22" t="e">
        <f aca="false">AND('Current Index'!C162,"AAAAAHd/cyk=")</f>
        <v>#VALUE!</v>
      </c>
      <c r="AQ7" s="22" t="e">
        <f aca="false">AND('Current Index'!D162,"AAAAAHd/cyo=")</f>
        <v>#VALUE!</v>
      </c>
      <c r="AR7" s="22" t="e">
        <f aca="false">AND('Current Index'!E162,"AAAAAHd/cys=")</f>
        <v>#VALUE!</v>
      </c>
      <c r="AS7" s="22" t="e">
        <f aca="false">AND('Current Index'!F162,"AAAAAHd/cyw=")</f>
        <v>#VALUE!</v>
      </c>
      <c r="AT7" s="22" t="e">
        <f aca="false">AND('Current Index'!G162,"AAAAAHd/cy0=")</f>
        <v>#VALUE!</v>
      </c>
      <c r="AU7" s="22" t="e">
        <f aca="false">AND('Current Index'!H162,"AAAAAHd/cy4=")</f>
        <v>#VALUE!</v>
      </c>
      <c r="AV7" s="22" t="e">
        <f aca="false">AND('Current Index'!I162,"AAAAAHd/cy8=")</f>
        <v>#VALUE!</v>
      </c>
      <c r="AW7" s="22" t="n">
        <f aca="false">IF('Current Index'!163:163,"AAAAAHd/czA=",0)</f>
        <v>0</v>
      </c>
      <c r="AX7" s="22" t="e">
        <f aca="false">AND('Current Index'!A163,"AAAAAHd/czE=")</f>
        <v>#VALUE!</v>
      </c>
      <c r="AY7" s="22" t="e">
        <f aca="false">AND('current index'!#ref!,"AAAAAHd/czI=")</f>
        <v>#VALUE!</v>
      </c>
      <c r="AZ7" s="22" t="e">
        <f aca="false">AND('Current Index'!B163,"AAAAAHd/czM=")</f>
        <v>#VALUE!</v>
      </c>
      <c r="BA7" s="22" t="e">
        <f aca="false">AND('Current Index'!C163,"AAAAAHd/czQ=")</f>
        <v>#VALUE!</v>
      </c>
      <c r="BB7" s="22" t="e">
        <f aca="false">AND('Current Index'!D163,"AAAAAHd/czU=")</f>
        <v>#VALUE!</v>
      </c>
      <c r="BC7" s="22" t="e">
        <f aca="false">AND('Current Index'!E163,"AAAAAHd/czY=")</f>
        <v>#VALUE!</v>
      </c>
      <c r="BD7" s="22" t="e">
        <f aca="false">AND('Current Index'!F163,"AAAAAHd/czc=")</f>
        <v>#VALUE!</v>
      </c>
      <c r="BE7" s="22" t="e">
        <f aca="false">AND('Current Index'!G163,"AAAAAHd/czg=")</f>
        <v>#VALUE!</v>
      </c>
      <c r="BF7" s="22" t="e">
        <f aca="false">AND('Current Index'!H163,"AAAAAHd/czk=")</f>
        <v>#VALUE!</v>
      </c>
      <c r="BG7" s="22" t="e">
        <f aca="false">AND('Current Index'!I163,"AAAAAHd/czo=")</f>
        <v>#VALUE!</v>
      </c>
      <c r="BH7" s="22" t="n">
        <f aca="false">IF('Current Index'!164:164,"AAAAAHd/czs=",0)</f>
        <v>0</v>
      </c>
      <c r="BI7" s="22" t="e">
        <f aca="false">AND('Current Index'!A164,"AAAAAHd/czw=")</f>
        <v>#VALUE!</v>
      </c>
      <c r="BJ7" s="22" t="e">
        <f aca="false">AND('current index'!#ref!,"AAAAAHd/cz0=")</f>
        <v>#VALUE!</v>
      </c>
      <c r="BK7" s="22" t="e">
        <f aca="false">AND('Current Index'!B164,"AAAAAHd/cz4=")</f>
        <v>#VALUE!</v>
      </c>
      <c r="BL7" s="22" t="e">
        <f aca="false">AND('Current Index'!C164,"AAAAAHd/cz8=")</f>
        <v>#VALUE!</v>
      </c>
      <c r="BM7" s="22" t="e">
        <f aca="false">AND('Current Index'!D164,"AAAAAHd/c0A=")</f>
        <v>#VALUE!</v>
      </c>
      <c r="BN7" s="22" t="e">
        <f aca="false">AND('Current Index'!E164,"AAAAAHd/c0E=")</f>
        <v>#VALUE!</v>
      </c>
      <c r="BO7" s="22" t="e">
        <f aca="false">AND('Current Index'!F164,"AAAAAHd/c0I=")</f>
        <v>#VALUE!</v>
      </c>
      <c r="BP7" s="22" t="e">
        <f aca="false">AND('Current Index'!G164,"AAAAAHd/c0M=")</f>
        <v>#VALUE!</v>
      </c>
      <c r="BQ7" s="22" t="e">
        <f aca="false">AND('Current Index'!H164,"AAAAAHd/c0Q=")</f>
        <v>#VALUE!</v>
      </c>
      <c r="BR7" s="22" t="e">
        <f aca="false">AND('Current Index'!I164,"AAAAAHd/c0U=")</f>
        <v>#VALUE!</v>
      </c>
      <c r="BS7" s="22" t="e">
        <f aca="false">IF('current index'!#ref!,"AAAAAHd/c0Y=",0)</f>
        <v>#VALUE!</v>
      </c>
      <c r="BT7" s="22" t="e">
        <f aca="false">AND('current index'!#ref!,"AAAAAHd/c0c=")</f>
        <v>#VALUE!</v>
      </c>
      <c r="BU7" s="22" t="e">
        <f aca="false">AND('current index'!#ref!,"AAAAAHd/c0g=")</f>
        <v>#VALUE!</v>
      </c>
      <c r="BV7" s="22" t="e">
        <f aca="false">AND('current index'!#ref!,"AAAAAHd/c0k=")</f>
        <v>#VALUE!</v>
      </c>
      <c r="BW7" s="22" t="e">
        <f aca="false">AND('current index'!#ref!,"AAAAAHd/c0o=")</f>
        <v>#VALUE!</v>
      </c>
      <c r="BX7" s="22" t="e">
        <f aca="false">AND('current index'!#ref!,"AAAAAHd/c0s=")</f>
        <v>#VALUE!</v>
      </c>
      <c r="BY7" s="22" t="e">
        <f aca="false">AND('current index'!#ref!,"AAAAAHd/c0w=")</f>
        <v>#VALUE!</v>
      </c>
      <c r="BZ7" s="22" t="e">
        <f aca="false">AND('current index'!#ref!,"AAAAAHd/c00=")</f>
        <v>#VALUE!</v>
      </c>
      <c r="CA7" s="22" t="e">
        <f aca="false">AND('current index'!#ref!,"AAAAAHd/c04=")</f>
        <v>#VALUE!</v>
      </c>
      <c r="CB7" s="22" t="e">
        <f aca="false">AND('current index'!#ref!,"AAAAAHd/c08=")</f>
        <v>#VALUE!</v>
      </c>
      <c r="CC7" s="22" t="e">
        <f aca="false">AND('current index'!#ref!,"AAAAAHd/c1A=")</f>
        <v>#VALUE!</v>
      </c>
      <c r="CD7" s="22" t="n">
        <f aca="false">IF('Current Index'!166:166,"AAAAAHd/c1E=",0)</f>
        <v>0</v>
      </c>
      <c r="CE7" s="22" t="e">
        <f aca="false">AND('Current Index'!A166,"AAAAAHd/c1I=")</f>
        <v>#VALUE!</v>
      </c>
      <c r="CF7" s="22" t="e">
        <f aca="false">AND('current index'!#ref!,"AAAAAHd/c1M=")</f>
        <v>#VALUE!</v>
      </c>
      <c r="CG7" s="22" t="e">
        <f aca="false">AND('Current Index'!B166,"AAAAAHd/c1Q=")</f>
        <v>#VALUE!</v>
      </c>
      <c r="CH7" s="22" t="e">
        <f aca="false">AND('Current Index'!C166,"AAAAAHd/c1U=")</f>
        <v>#VALUE!</v>
      </c>
      <c r="CI7" s="22" t="e">
        <f aca="false">AND('Current Index'!D166,"AAAAAHd/c1Y=")</f>
        <v>#VALUE!</v>
      </c>
      <c r="CJ7" s="22" t="e">
        <f aca="false">AND('Current Index'!E166,"AAAAAHd/c1c=")</f>
        <v>#VALUE!</v>
      </c>
      <c r="CK7" s="22" t="e">
        <f aca="false">AND('Current Index'!F166,"AAAAAHd/c1g=")</f>
        <v>#VALUE!</v>
      </c>
      <c r="CL7" s="22" t="e">
        <f aca="false">AND('Current Index'!G166,"AAAAAHd/c1k=")</f>
        <v>#VALUE!</v>
      </c>
      <c r="CM7" s="22" t="e">
        <f aca="false">AND('Current Index'!H166,"AAAAAHd/c1o=")</f>
        <v>#VALUE!</v>
      </c>
      <c r="CN7" s="22" t="e">
        <f aca="false">AND('Current Index'!I166,"AAAAAHd/c1s=")</f>
        <v>#VALUE!</v>
      </c>
      <c r="CO7" s="22" t="n">
        <f aca="false">IF('Current Index'!167:167,"AAAAAHd/c1w=",0)</f>
        <v>0</v>
      </c>
      <c r="CP7" s="22" t="e">
        <f aca="false">AND('Current Index'!A167,"AAAAAHd/c10=")</f>
        <v>#VALUE!</v>
      </c>
      <c r="CQ7" s="22" t="e">
        <f aca="false">AND('current index'!#ref!,"AAAAAHd/c14=")</f>
        <v>#VALUE!</v>
      </c>
      <c r="CR7" s="22" t="e">
        <f aca="false">AND('Current Index'!B167,"AAAAAHd/c18=")</f>
        <v>#VALUE!</v>
      </c>
      <c r="CS7" s="22" t="e">
        <f aca="false">AND('Current Index'!C167,"AAAAAHd/c2A=")</f>
        <v>#VALUE!</v>
      </c>
      <c r="CT7" s="22" t="e">
        <f aca="false">AND('Current Index'!D167,"AAAAAHd/c2E=")</f>
        <v>#VALUE!</v>
      </c>
      <c r="CU7" s="22" t="e">
        <f aca="false">AND('Current Index'!E167,"AAAAAHd/c2I=")</f>
        <v>#VALUE!</v>
      </c>
      <c r="CV7" s="22" t="e">
        <f aca="false">AND('Current Index'!F167,"AAAAAHd/c2M=")</f>
        <v>#VALUE!</v>
      </c>
      <c r="CW7" s="22" t="e">
        <f aca="false">AND('Current Index'!G167,"AAAAAHd/c2Q=")</f>
        <v>#VALUE!</v>
      </c>
      <c r="CX7" s="22" t="e">
        <f aca="false">AND('Current Index'!H167,"AAAAAHd/c2U=")</f>
        <v>#VALUE!</v>
      </c>
      <c r="CY7" s="22" t="e">
        <f aca="false">AND('Current Index'!I167,"AAAAAHd/c2Y=")</f>
        <v>#VALUE!</v>
      </c>
      <c r="CZ7" s="22" t="n">
        <f aca="false">IF('Current Index'!168:168,"AAAAAHd/c2c=",0)</f>
        <v>0</v>
      </c>
      <c r="DA7" s="22" t="e">
        <f aca="false">AND('Current Index'!A168,"AAAAAHd/c2g=")</f>
        <v>#VALUE!</v>
      </c>
      <c r="DB7" s="22" t="e">
        <f aca="false">AND('current index'!#ref!,"AAAAAHd/c2k=")</f>
        <v>#VALUE!</v>
      </c>
      <c r="DC7" s="22" t="e">
        <f aca="false">AND('Current Index'!B168,"AAAAAHd/c2o=")</f>
        <v>#VALUE!</v>
      </c>
      <c r="DD7" s="22" t="e">
        <f aca="false">AND('Current Index'!C168,"AAAAAHd/c2s=")</f>
        <v>#VALUE!</v>
      </c>
      <c r="DE7" s="22" t="e">
        <f aca="false">AND('Current Index'!D168,"AAAAAHd/c2w=")</f>
        <v>#VALUE!</v>
      </c>
      <c r="DF7" s="22" t="e">
        <f aca="false">AND('Current Index'!E168,"AAAAAHd/c20=")</f>
        <v>#VALUE!</v>
      </c>
      <c r="DG7" s="22" t="e">
        <f aca="false">AND('Current Index'!F168,"AAAAAHd/c24=")</f>
        <v>#VALUE!</v>
      </c>
      <c r="DH7" s="22" t="e">
        <f aca="false">AND('Current Index'!G168,"AAAAAHd/c28=")</f>
        <v>#VALUE!</v>
      </c>
      <c r="DI7" s="22" t="e">
        <f aca="false">AND('Current Index'!H168,"AAAAAHd/c3A=")</f>
        <v>#VALUE!</v>
      </c>
      <c r="DJ7" s="22" t="e">
        <f aca="false">AND('Current Index'!I168,"AAAAAHd/c3E=")</f>
        <v>#VALUE!</v>
      </c>
      <c r="DK7" s="22" t="n">
        <f aca="false">IF('Current Index'!169:169,"AAAAAHd/c3I=",0)</f>
        <v>0</v>
      </c>
      <c r="DL7" s="22" t="e">
        <f aca="false">AND('Current Index'!A169,"AAAAAHd/c3M=")</f>
        <v>#VALUE!</v>
      </c>
      <c r="DM7" s="22" t="e">
        <f aca="false">AND('current index'!#ref!,"AAAAAHd/c3Q=")</f>
        <v>#VALUE!</v>
      </c>
      <c r="DN7" s="22" t="e">
        <f aca="false">AND('Current Index'!B169,"AAAAAHd/c3U=")</f>
        <v>#VALUE!</v>
      </c>
      <c r="DO7" s="22" t="e">
        <f aca="false">AND('Current Index'!C169,"AAAAAHd/c3Y=")</f>
        <v>#VALUE!</v>
      </c>
      <c r="DP7" s="22" t="e">
        <f aca="false">AND('Current Index'!D169,"AAAAAHd/c3c=")</f>
        <v>#VALUE!</v>
      </c>
      <c r="DQ7" s="22" t="e">
        <f aca="false">AND('Current Index'!E169,"AAAAAHd/c3g=")</f>
        <v>#VALUE!</v>
      </c>
      <c r="DR7" s="22" t="e">
        <f aca="false">AND('Current Index'!F169,"AAAAAHd/c3k=")</f>
        <v>#VALUE!</v>
      </c>
      <c r="DS7" s="22" t="e">
        <f aca="false">AND('Current Index'!G169,"AAAAAHd/c3o=")</f>
        <v>#VALUE!</v>
      </c>
      <c r="DT7" s="22" t="e">
        <f aca="false">AND('Current Index'!H169,"AAAAAHd/c3s=")</f>
        <v>#VALUE!</v>
      </c>
      <c r="DU7" s="22" t="e">
        <f aca="false">AND('Current Index'!I169,"AAAAAHd/c3w=")</f>
        <v>#VALUE!</v>
      </c>
      <c r="DV7" s="22" t="n">
        <f aca="false">IF('Current Index'!170:170,"AAAAAHd/c30=",0)</f>
        <v>0</v>
      </c>
      <c r="DW7" s="22" t="e">
        <f aca="false">AND('Current Index'!A170,"AAAAAHd/c34=")</f>
        <v>#VALUE!</v>
      </c>
      <c r="DX7" s="22" t="e">
        <f aca="false">AND('current index'!#ref!,"AAAAAHd/c38=")</f>
        <v>#VALUE!</v>
      </c>
      <c r="DY7" s="22" t="e">
        <f aca="false">AND('Current Index'!B170,"AAAAAHd/c4A=")</f>
        <v>#VALUE!</v>
      </c>
      <c r="DZ7" s="22" t="e">
        <f aca="false">AND('Current Index'!C170,"AAAAAHd/c4E=")</f>
        <v>#VALUE!</v>
      </c>
      <c r="EA7" s="22" t="e">
        <f aca="false">AND('Current Index'!D170,"AAAAAHd/c4I=")</f>
        <v>#VALUE!</v>
      </c>
      <c r="EB7" s="22" t="e">
        <f aca="false">AND('Current Index'!E170,"AAAAAHd/c4M=")</f>
        <v>#VALUE!</v>
      </c>
      <c r="EC7" s="22" t="e">
        <f aca="false">AND('Current Index'!F170,"AAAAAHd/c4Q=")</f>
        <v>#VALUE!</v>
      </c>
      <c r="ED7" s="22" t="e">
        <f aca="false">AND('Current Index'!G170,"AAAAAHd/c4U=")</f>
        <v>#VALUE!</v>
      </c>
      <c r="EE7" s="22" t="e">
        <f aca="false">AND('Current Index'!H170,"AAAAAHd/c4Y=")</f>
        <v>#VALUE!</v>
      </c>
      <c r="EF7" s="22" t="e">
        <f aca="false">AND('Current Index'!I170,"AAAAAHd/c4c=")</f>
        <v>#VALUE!</v>
      </c>
      <c r="EG7" s="22" t="n">
        <f aca="false">IF('Current Index'!171:171,"AAAAAHd/c4g=",0)</f>
        <v>0</v>
      </c>
      <c r="EH7" s="22" t="e">
        <f aca="false">AND('Current Index'!A171,"AAAAAHd/c4k=")</f>
        <v>#VALUE!</v>
      </c>
      <c r="EI7" s="22" t="e">
        <f aca="false">AND('current index'!#ref!,"AAAAAHd/c4o=")</f>
        <v>#VALUE!</v>
      </c>
      <c r="EJ7" s="22" t="e">
        <f aca="false">AND('Current Index'!B171,"AAAAAHd/c4s=")</f>
        <v>#VALUE!</v>
      </c>
      <c r="EK7" s="22" t="e">
        <f aca="false">AND('Current Index'!C171,"AAAAAHd/c4w=")</f>
        <v>#VALUE!</v>
      </c>
      <c r="EL7" s="22" t="e">
        <f aca="false">AND('Current Index'!D171,"AAAAAHd/c40=")</f>
        <v>#VALUE!</v>
      </c>
      <c r="EM7" s="22" t="e">
        <f aca="false">AND('Current Index'!E171,"AAAAAHd/c44=")</f>
        <v>#VALUE!</v>
      </c>
      <c r="EN7" s="22" t="e">
        <f aca="false">AND('Current Index'!F171,"AAAAAHd/c48=")</f>
        <v>#VALUE!</v>
      </c>
      <c r="EO7" s="22" t="e">
        <f aca="false">AND('Current Index'!G171,"AAAAAHd/c5A=")</f>
        <v>#VALUE!</v>
      </c>
      <c r="EP7" s="22" t="e">
        <f aca="false">AND('Current Index'!H171,"AAAAAHd/c5E=")</f>
        <v>#VALUE!</v>
      </c>
      <c r="EQ7" s="22" t="e">
        <f aca="false">AND('Current Index'!I171,"AAAAAHd/c5I=")</f>
        <v>#VALUE!</v>
      </c>
      <c r="ER7" s="22" t="n">
        <f aca="false">IF('Current Index'!172:172,"AAAAAHd/c5M=",0)</f>
        <v>0</v>
      </c>
      <c r="ES7" s="22" t="e">
        <f aca="false">AND('Current Index'!A172,"AAAAAHd/c5Q=")</f>
        <v>#VALUE!</v>
      </c>
      <c r="ET7" s="22" t="e">
        <f aca="false">AND('current index'!#ref!,"AAAAAHd/c5U=")</f>
        <v>#VALUE!</v>
      </c>
      <c r="EU7" s="22" t="e">
        <f aca="false">AND('Current Index'!B172,"AAAAAHd/c5Y=")</f>
        <v>#VALUE!</v>
      </c>
      <c r="EV7" s="22" t="e">
        <f aca="false">AND('Current Index'!C172,"AAAAAHd/c5c=")</f>
        <v>#VALUE!</v>
      </c>
      <c r="EW7" s="22" t="e">
        <f aca="false">AND('Current Index'!D172,"AAAAAHd/c5g=")</f>
        <v>#VALUE!</v>
      </c>
      <c r="EX7" s="22" t="e">
        <f aca="false">AND('Current Index'!E172,"AAAAAHd/c5k=")</f>
        <v>#VALUE!</v>
      </c>
      <c r="EY7" s="22" t="e">
        <f aca="false">AND('Current Index'!F172,"AAAAAHd/c5o=")</f>
        <v>#VALUE!</v>
      </c>
      <c r="EZ7" s="22" t="e">
        <f aca="false">AND('Current Index'!G172,"AAAAAHd/c5s=")</f>
        <v>#VALUE!</v>
      </c>
      <c r="FA7" s="22" t="e">
        <f aca="false">AND('Current Index'!H172,"AAAAAHd/c5w=")</f>
        <v>#VALUE!</v>
      </c>
      <c r="FB7" s="22" t="e">
        <f aca="false">AND('Current Index'!I172,"AAAAAHd/c50=")</f>
        <v>#VALUE!</v>
      </c>
      <c r="FC7" s="22" t="n">
        <f aca="false">IF('Current Index'!173:173,"AAAAAHd/c54=",0)</f>
        <v>0</v>
      </c>
      <c r="FD7" s="22" t="e">
        <f aca="false">AND('Current Index'!A173,"AAAAAHd/c58=")</f>
        <v>#VALUE!</v>
      </c>
      <c r="FE7" s="22" t="e">
        <f aca="false">AND('current index'!#ref!,"AAAAAHd/c6A=")</f>
        <v>#VALUE!</v>
      </c>
      <c r="FF7" s="22" t="e">
        <f aca="false">AND('Current Index'!B173,"AAAAAHd/c6E=")</f>
        <v>#VALUE!</v>
      </c>
      <c r="FG7" s="22" t="e">
        <f aca="false">AND('Current Index'!C173,"AAAAAHd/c6I=")</f>
        <v>#VALUE!</v>
      </c>
      <c r="FH7" s="22" t="e">
        <f aca="false">AND('Current Index'!D173,"AAAAAHd/c6M=")</f>
        <v>#VALUE!</v>
      </c>
      <c r="FI7" s="22" t="e">
        <f aca="false">AND('Current Index'!E173,"AAAAAHd/c6Q=")</f>
        <v>#VALUE!</v>
      </c>
      <c r="FJ7" s="22" t="e">
        <f aca="false">AND('Current Index'!F173,"AAAAAHd/c6U=")</f>
        <v>#VALUE!</v>
      </c>
      <c r="FK7" s="22" t="e">
        <f aca="false">AND('Current Index'!G173,"AAAAAHd/c6Y=")</f>
        <v>#VALUE!</v>
      </c>
      <c r="FL7" s="22" t="e">
        <f aca="false">AND('Current Index'!H173,"AAAAAHd/c6c=")</f>
        <v>#VALUE!</v>
      </c>
      <c r="FM7" s="22" t="e">
        <f aca="false">AND('Current Index'!I173,"AAAAAHd/c6g=")</f>
        <v>#VALUE!</v>
      </c>
      <c r="FN7" s="22" t="n">
        <f aca="false">IF('Current Index'!174:174,"AAAAAHd/c6k=",0)</f>
        <v>0</v>
      </c>
      <c r="FO7" s="22" t="e">
        <f aca="false">AND('Current Index'!A174,"AAAAAHd/c6o=")</f>
        <v>#VALUE!</v>
      </c>
      <c r="FP7" s="22" t="e">
        <f aca="false">AND('current index'!#ref!,"AAAAAHd/c6s=")</f>
        <v>#VALUE!</v>
      </c>
      <c r="FQ7" s="22" t="e">
        <f aca="false">AND('Current Index'!B174,"AAAAAHd/c6w=")</f>
        <v>#VALUE!</v>
      </c>
      <c r="FR7" s="22" t="e">
        <f aca="false">AND('Current Index'!C174,"AAAAAHd/c60=")</f>
        <v>#VALUE!</v>
      </c>
      <c r="FS7" s="22" t="e">
        <f aca="false">AND('Current Index'!D174,"AAAAAHd/c64=")</f>
        <v>#VALUE!</v>
      </c>
      <c r="FT7" s="22" t="e">
        <f aca="false">AND('Current Index'!E174,"AAAAAHd/c68=")</f>
        <v>#VALUE!</v>
      </c>
      <c r="FU7" s="22" t="e">
        <f aca="false">AND('Current Index'!F174,"AAAAAHd/c7A=")</f>
        <v>#VALUE!</v>
      </c>
      <c r="FV7" s="22" t="e">
        <f aca="false">AND('Current Index'!G174,"AAAAAHd/c7E=")</f>
        <v>#VALUE!</v>
      </c>
      <c r="FW7" s="22" t="e">
        <f aca="false">AND('Current Index'!H174,"AAAAAHd/c7I=")</f>
        <v>#VALUE!</v>
      </c>
      <c r="FX7" s="22" t="e">
        <f aca="false">AND('Current Index'!I174,"AAAAAHd/c7M=")</f>
        <v>#VALUE!</v>
      </c>
      <c r="FY7" s="22" t="n">
        <f aca="false">IF('Current Index'!175:175,"AAAAAHd/c7Q=",0)</f>
        <v>0</v>
      </c>
      <c r="FZ7" s="22" t="e">
        <f aca="false">AND('Current Index'!A175,"AAAAAHd/c7U=")</f>
        <v>#VALUE!</v>
      </c>
      <c r="GA7" s="22" t="e">
        <f aca="false">AND('current index'!#ref!,"AAAAAHd/c7Y=")</f>
        <v>#VALUE!</v>
      </c>
      <c r="GB7" s="22" t="e">
        <f aca="false">AND('Current Index'!B175,"AAAAAHd/c7c=")</f>
        <v>#VALUE!</v>
      </c>
      <c r="GC7" s="22" t="e">
        <f aca="false">AND('Current Index'!C175,"AAAAAHd/c7g=")</f>
        <v>#VALUE!</v>
      </c>
      <c r="GD7" s="22" t="e">
        <f aca="false">AND('Current Index'!D175,"AAAAAHd/c7k=")</f>
        <v>#VALUE!</v>
      </c>
      <c r="GE7" s="22" t="e">
        <f aca="false">AND('Current Index'!E175,"AAAAAHd/c7o=")</f>
        <v>#VALUE!</v>
      </c>
      <c r="GF7" s="22" t="e">
        <f aca="false">AND('Current Index'!F175,"AAAAAHd/c7s=")</f>
        <v>#VALUE!</v>
      </c>
      <c r="GG7" s="22" t="e">
        <f aca="false">AND('Current Index'!G175,"AAAAAHd/c7w=")</f>
        <v>#VALUE!</v>
      </c>
      <c r="GH7" s="22" t="e">
        <f aca="false">AND('Current Index'!H175,"AAAAAHd/c70=")</f>
        <v>#VALUE!</v>
      </c>
      <c r="GI7" s="22" t="e">
        <f aca="false">AND('Current Index'!I175,"AAAAAHd/c74=")</f>
        <v>#VALUE!</v>
      </c>
      <c r="GJ7" s="22" t="n">
        <f aca="false">IF('Current Index'!176:176,"AAAAAHd/c78=",0)</f>
        <v>0</v>
      </c>
      <c r="GK7" s="22" t="e">
        <f aca="false">AND('Current Index'!A176,"AAAAAHd/c8A=")</f>
        <v>#VALUE!</v>
      </c>
      <c r="GL7" s="22" t="e">
        <f aca="false">AND('current index'!#ref!,"AAAAAHd/c8E=")</f>
        <v>#VALUE!</v>
      </c>
      <c r="GM7" s="22" t="e">
        <f aca="false">AND('Current Index'!B176,"AAAAAHd/c8I=")</f>
        <v>#VALUE!</v>
      </c>
      <c r="GN7" s="22" t="e">
        <f aca="false">AND('Current Index'!C176,"AAAAAHd/c8M=")</f>
        <v>#VALUE!</v>
      </c>
      <c r="GO7" s="22" t="e">
        <f aca="false">AND('Current Index'!D176,"AAAAAHd/c8Q=")</f>
        <v>#VALUE!</v>
      </c>
      <c r="GP7" s="22" t="e">
        <f aca="false">AND('Current Index'!E176,"AAAAAHd/c8U=")</f>
        <v>#VALUE!</v>
      </c>
      <c r="GQ7" s="22" t="e">
        <f aca="false">AND('Current Index'!F176,"AAAAAHd/c8Y=")</f>
        <v>#VALUE!</v>
      </c>
      <c r="GR7" s="22" t="e">
        <f aca="false">AND('Current Index'!G176,"AAAAAHd/c8c=")</f>
        <v>#VALUE!</v>
      </c>
      <c r="GS7" s="22" t="e">
        <f aca="false">AND('Current Index'!H176,"AAAAAHd/c8g=")</f>
        <v>#VALUE!</v>
      </c>
      <c r="GT7" s="22" t="e">
        <f aca="false">AND('Current Index'!I176,"AAAAAHd/c8k=")</f>
        <v>#VALUE!</v>
      </c>
      <c r="GU7" s="22" t="n">
        <f aca="false">IF('Current Index'!177:177,"AAAAAHd/c8o=",0)</f>
        <v>0</v>
      </c>
      <c r="GV7" s="22" t="e">
        <f aca="false">AND('Current Index'!A177,"AAAAAHd/c8s=")</f>
        <v>#VALUE!</v>
      </c>
      <c r="GW7" s="22" t="e">
        <f aca="false">AND('current index'!#ref!,"AAAAAHd/c8w=")</f>
        <v>#VALUE!</v>
      </c>
      <c r="GX7" s="22" t="e">
        <f aca="false">AND('Current Index'!B177,"AAAAAHd/c80=")</f>
        <v>#VALUE!</v>
      </c>
      <c r="GY7" s="22" t="e">
        <f aca="false">AND('Current Index'!C177,"AAAAAHd/c84=")</f>
        <v>#VALUE!</v>
      </c>
      <c r="GZ7" s="22" t="e">
        <f aca="false">AND('Current Index'!D177,"AAAAAHd/c88=")</f>
        <v>#VALUE!</v>
      </c>
      <c r="HA7" s="22" t="e">
        <f aca="false">AND('Current Index'!E177,"AAAAAHd/c9A=")</f>
        <v>#VALUE!</v>
      </c>
      <c r="HB7" s="22" t="e">
        <f aca="false">AND('Current Index'!F177,"AAAAAHd/c9E=")</f>
        <v>#VALUE!</v>
      </c>
      <c r="HC7" s="22" t="e">
        <f aca="false">AND('Current Index'!G177,"AAAAAHd/c9I=")</f>
        <v>#VALUE!</v>
      </c>
      <c r="HD7" s="22" t="e">
        <f aca="false">AND('Current Index'!H177,"AAAAAHd/c9M=")</f>
        <v>#VALUE!</v>
      </c>
      <c r="HE7" s="22" t="e">
        <f aca="false">AND('Current Index'!I177,"AAAAAHd/c9Q=")</f>
        <v>#VALUE!</v>
      </c>
      <c r="HF7" s="22" t="n">
        <f aca="false">IF('Current Index'!178:178,"AAAAAHd/c9U=",0)</f>
        <v>0</v>
      </c>
      <c r="HG7" s="22" t="e">
        <f aca="false">AND('Current Index'!A178,"AAAAAHd/c9Y=")</f>
        <v>#VALUE!</v>
      </c>
      <c r="HH7" s="22" t="e">
        <f aca="false">AND('current index'!#ref!,"AAAAAHd/c9c=")</f>
        <v>#VALUE!</v>
      </c>
      <c r="HI7" s="22" t="e">
        <f aca="false">AND('Current Index'!B178,"AAAAAHd/c9g=")</f>
        <v>#VALUE!</v>
      </c>
      <c r="HJ7" s="22" t="e">
        <f aca="false">AND('Current Index'!C178,"AAAAAHd/c9k=")</f>
        <v>#VALUE!</v>
      </c>
      <c r="HK7" s="22" t="e">
        <f aca="false">AND('Current Index'!D178,"AAAAAHd/c9o=")</f>
        <v>#VALUE!</v>
      </c>
      <c r="HL7" s="22" t="e">
        <f aca="false">AND('Current Index'!E178,"AAAAAHd/c9s=")</f>
        <v>#VALUE!</v>
      </c>
      <c r="HM7" s="22" t="e">
        <f aca="false">AND('Current Index'!F178,"AAAAAHd/c9w=")</f>
        <v>#VALUE!</v>
      </c>
      <c r="HN7" s="22" t="e">
        <f aca="false">AND('Current Index'!G178,"AAAAAHd/c90=")</f>
        <v>#VALUE!</v>
      </c>
      <c r="HO7" s="22" t="e">
        <f aca="false">AND('Current Index'!H178,"AAAAAHd/c94=")</f>
        <v>#VALUE!</v>
      </c>
      <c r="HP7" s="22" t="e">
        <f aca="false">AND('Current Index'!I178,"AAAAAHd/c98=")</f>
        <v>#VALUE!</v>
      </c>
      <c r="HQ7" s="22" t="n">
        <f aca="false">IF('Current Index'!179:179,"AAAAAHd/c+A=",0)</f>
        <v>0</v>
      </c>
      <c r="HR7" s="22" t="e">
        <f aca="false">AND('Current Index'!A179,"AAAAAHd/c+E=")</f>
        <v>#VALUE!</v>
      </c>
      <c r="HS7" s="22" t="e">
        <f aca="false">AND('current index'!#ref!,"AAAAAHd/c+I=")</f>
        <v>#VALUE!</v>
      </c>
      <c r="HT7" s="22" t="e">
        <f aca="false">AND('Current Index'!B179,"AAAAAHd/c+M=")</f>
        <v>#VALUE!</v>
      </c>
      <c r="HU7" s="22" t="e">
        <f aca="false">AND('Current Index'!C179,"AAAAAHd/c+Q=")</f>
        <v>#VALUE!</v>
      </c>
      <c r="HV7" s="22" t="e">
        <f aca="false">AND('Current Index'!D179,"AAAAAHd/c+U=")</f>
        <v>#VALUE!</v>
      </c>
      <c r="HW7" s="22" t="e">
        <f aca="false">AND('Current Index'!E179,"AAAAAHd/c+Y=")</f>
        <v>#VALUE!</v>
      </c>
      <c r="HX7" s="22" t="e">
        <f aca="false">AND('Current Index'!F179,"AAAAAHd/c+c=")</f>
        <v>#VALUE!</v>
      </c>
      <c r="HY7" s="22" t="e">
        <f aca="false">AND('Current Index'!G179,"AAAAAHd/c+g=")</f>
        <v>#VALUE!</v>
      </c>
      <c r="HZ7" s="22" t="e">
        <f aca="false">AND('Current Index'!H179,"AAAAAHd/c+k=")</f>
        <v>#VALUE!</v>
      </c>
      <c r="IA7" s="22" t="e">
        <f aca="false">AND('Current Index'!I179,"AAAAAHd/c+o=")</f>
        <v>#VALUE!</v>
      </c>
      <c r="IB7" s="22" t="n">
        <f aca="false">IF('Current Index'!183:183,"AAAAAHd/c+s=",0)</f>
        <v>0</v>
      </c>
      <c r="IC7" s="22" t="e">
        <f aca="false">AND('Current Index'!A183,"AAAAAHd/c+w=")</f>
        <v>#VALUE!</v>
      </c>
      <c r="ID7" s="22" t="e">
        <f aca="false">AND('current index'!#ref!,"AAAAAHd/c+0=")</f>
        <v>#VALUE!</v>
      </c>
      <c r="IE7" s="22" t="e">
        <f aca="false">AND('Current Index'!B183,"AAAAAHd/c+4=")</f>
        <v>#VALUE!</v>
      </c>
      <c r="IF7" s="22" t="e">
        <f aca="false">AND('Current Index'!C183,"AAAAAHd/c+8=")</f>
        <v>#VALUE!</v>
      </c>
      <c r="IG7" s="22" t="e">
        <f aca="false">AND('Current Index'!D183,"AAAAAHd/c/A=")</f>
        <v>#VALUE!</v>
      </c>
      <c r="IH7" s="22" t="e">
        <f aca="false">AND('Current Index'!E183,"AAAAAHd/c/E=")</f>
        <v>#VALUE!</v>
      </c>
      <c r="II7" s="22" t="e">
        <f aca="false">AND('Current Index'!F183,"AAAAAHd/c/I=")</f>
        <v>#VALUE!</v>
      </c>
      <c r="IJ7" s="22" t="e">
        <f aca="false">AND('Current Index'!G183,"AAAAAHd/c/M=")</f>
        <v>#VALUE!</v>
      </c>
      <c r="IK7" s="22" t="e">
        <f aca="false">AND('Current Index'!H183,"AAAAAHd/c/Q=")</f>
        <v>#VALUE!</v>
      </c>
      <c r="IL7" s="22" t="e">
        <f aca="false">AND('Current Index'!I183,"AAAAAHd/c/U=")</f>
        <v>#VALUE!</v>
      </c>
      <c r="IM7" s="22" t="n">
        <f aca="false">IF('Current Index'!184:184,"AAAAAHd/c/Y=",0)</f>
        <v>0</v>
      </c>
      <c r="IN7" s="22" t="e">
        <f aca="false">AND('Current Index'!A184,"AAAAAHd/c/c=")</f>
        <v>#VALUE!</v>
      </c>
      <c r="IO7" s="22" t="e">
        <f aca="false">AND('current index'!#ref!,"AAAAAHd/c/g=")</f>
        <v>#VALUE!</v>
      </c>
      <c r="IP7" s="22" t="e">
        <f aca="false">AND('Current Index'!B184,"AAAAAHd/c/k=")</f>
        <v>#VALUE!</v>
      </c>
      <c r="IQ7" s="22" t="e">
        <f aca="false">AND('Current Index'!C184,"AAAAAHd/c/o=")</f>
        <v>#VALUE!</v>
      </c>
      <c r="IR7" s="22" t="e">
        <f aca="false">AND('Current Index'!D184,"AAAAAHd/c/s=")</f>
        <v>#VALUE!</v>
      </c>
      <c r="IS7" s="22" t="e">
        <f aca="false">AND('Current Index'!E184,"AAAAAHd/c/w=")</f>
        <v>#VALUE!</v>
      </c>
      <c r="IT7" s="22" t="e">
        <f aca="false">AND('Current Index'!F184,"AAAAAHd/c/0=")</f>
        <v>#VALUE!</v>
      </c>
      <c r="IU7" s="22" t="e">
        <f aca="false">AND('Current Index'!G184,"AAAAAHd/c/4=")</f>
        <v>#VALUE!</v>
      </c>
      <c r="IV7" s="22" t="e">
        <f aca="false">AND('Current Index'!H184,"AAAAAHd/c/8=")</f>
        <v>#VALUE!</v>
      </c>
    </row>
    <row r="8" customFormat="false" ht="12.75" hidden="false" customHeight="false" outlineLevel="0" collapsed="false">
      <c r="A8" s="22" t="e">
        <f aca="false">AND('Current Index'!I184,"AAAAAGvtzwA=")</f>
        <v>#VALUE!</v>
      </c>
      <c r="B8" s="22" t="e">
        <f aca="false">IF('Current Index'!185:185,"AAAAAGvtzwE=",0)</f>
        <v>#VALUE!</v>
      </c>
      <c r="C8" s="22" t="e">
        <f aca="false">AND('Current Index'!A185,"AAAAAGvtzwI=")</f>
        <v>#VALUE!</v>
      </c>
      <c r="D8" s="22" t="e">
        <f aca="false">AND('current index'!#ref!,"AAAAAGvtzwM=")</f>
        <v>#VALUE!</v>
      </c>
      <c r="E8" s="22" t="e">
        <f aca="false">AND('Current Index'!B185,"AAAAAGvtzwQ=")</f>
        <v>#VALUE!</v>
      </c>
      <c r="F8" s="22" t="e">
        <f aca="false">AND('Current Index'!C185,"AAAAAGvtzwU=")</f>
        <v>#VALUE!</v>
      </c>
      <c r="G8" s="22" t="e">
        <f aca="false">AND('Current Index'!D185,"AAAAAGvtzwY=")</f>
        <v>#VALUE!</v>
      </c>
      <c r="H8" s="22" t="e">
        <f aca="false">AND('Current Index'!E185,"AAAAAGvtzwc=")</f>
        <v>#VALUE!</v>
      </c>
      <c r="I8" s="22" t="e">
        <f aca="false">AND('Current Index'!F185,"AAAAAGvtzwg=")</f>
        <v>#VALUE!</v>
      </c>
      <c r="J8" s="22" t="e">
        <f aca="false">AND('Current Index'!G185,"AAAAAGvtzwk=")</f>
        <v>#VALUE!</v>
      </c>
      <c r="K8" s="22" t="e">
        <f aca="false">AND('Current Index'!H185,"AAAAAGvtzwo=")</f>
        <v>#VALUE!</v>
      </c>
      <c r="L8" s="22" t="e">
        <f aca="false">AND('Current Index'!I185,"AAAAAGvtzws=")</f>
        <v>#VALUE!</v>
      </c>
      <c r="M8" s="22" t="n">
        <f aca="false">IF('Current Index'!186:186,"AAAAAGvtzww=",0)</f>
        <v>0</v>
      </c>
      <c r="N8" s="22" t="e">
        <f aca="false">AND('Current Index'!A186,"AAAAAGvtzw0=")</f>
        <v>#VALUE!</v>
      </c>
      <c r="O8" s="22" t="e">
        <f aca="false">AND('current index'!#ref!,"AAAAAGvtzw4=")</f>
        <v>#VALUE!</v>
      </c>
      <c r="P8" s="22" t="e">
        <f aca="false">AND('Current Index'!B186,"AAAAAGvtzw8=")</f>
        <v>#VALUE!</v>
      </c>
      <c r="Q8" s="22" t="e">
        <f aca="false">AND('Current Index'!C186,"AAAAAGvtzxA=")</f>
        <v>#VALUE!</v>
      </c>
      <c r="R8" s="22" t="e">
        <f aca="false">AND('Current Index'!D186,"AAAAAGvtzxE=")</f>
        <v>#VALUE!</v>
      </c>
      <c r="S8" s="22" t="e">
        <f aca="false">AND('Current Index'!E186,"AAAAAGvtzxI=")</f>
        <v>#VALUE!</v>
      </c>
      <c r="T8" s="22" t="e">
        <f aca="false">AND('Current Index'!F186,"AAAAAGvtzxM=")</f>
        <v>#VALUE!</v>
      </c>
      <c r="U8" s="22" t="e">
        <f aca="false">AND('Current Index'!G186,"AAAAAGvtzxQ=")</f>
        <v>#VALUE!</v>
      </c>
      <c r="V8" s="22" t="e">
        <f aca="false">AND('Current Index'!H186,"AAAAAGvtzxU=")</f>
        <v>#VALUE!</v>
      </c>
      <c r="W8" s="22" t="e">
        <f aca="false">AND('Current Index'!I186,"AAAAAGvtzxY=")</f>
        <v>#VALUE!</v>
      </c>
      <c r="X8" s="22" t="e">
        <f aca="false">IF('current index'!#ref!,"AAAAAGvtzxc=",0)</f>
        <v>#VALUE!</v>
      </c>
      <c r="Y8" s="22" t="e">
        <f aca="false">AND('current index'!#ref!,"AAAAAGvtzxg=")</f>
        <v>#VALUE!</v>
      </c>
      <c r="Z8" s="22" t="e">
        <f aca="false">AND('current index'!#ref!,"AAAAAGvtzxk=")</f>
        <v>#VALUE!</v>
      </c>
      <c r="AA8" s="22" t="e">
        <f aca="false">AND('current index'!#ref!,"AAAAAGvtzxo=")</f>
        <v>#VALUE!</v>
      </c>
      <c r="AB8" s="22" t="e">
        <f aca="false">AND('current index'!#ref!,"AAAAAGvtzxs=")</f>
        <v>#VALUE!</v>
      </c>
      <c r="AC8" s="22" t="e">
        <f aca="false">AND('current index'!#ref!,"AAAAAGvtzxw=")</f>
        <v>#VALUE!</v>
      </c>
      <c r="AD8" s="22" t="e">
        <f aca="false">AND('current index'!#ref!,"AAAAAGvtzx0=")</f>
        <v>#VALUE!</v>
      </c>
      <c r="AE8" s="22" t="e">
        <f aca="false">AND('current index'!#ref!,"AAAAAGvtzx4=")</f>
        <v>#VALUE!</v>
      </c>
      <c r="AF8" s="22" t="e">
        <f aca="false">AND('current index'!#ref!,"AAAAAGvtzx8=")</f>
        <v>#VALUE!</v>
      </c>
      <c r="AG8" s="22" t="e">
        <f aca="false">AND('current index'!#ref!,"AAAAAGvtzyA=")</f>
        <v>#VALUE!</v>
      </c>
      <c r="AH8" s="22" t="e">
        <f aca="false">AND('current index'!#ref!,"AAAAAGvtzyE=")</f>
        <v>#VALUE!</v>
      </c>
      <c r="AI8" s="22" t="n">
        <f aca="false">IF('Current Index'!188:188,"AAAAAGvtzyI=",0)</f>
        <v>0</v>
      </c>
      <c r="AJ8" s="22" t="e">
        <f aca="false">AND('Current Index'!A188,"AAAAAGvtzyM=")</f>
        <v>#VALUE!</v>
      </c>
      <c r="AK8" s="22" t="e">
        <f aca="false">AND('current index'!#ref!,"AAAAAGvtzyQ=")</f>
        <v>#VALUE!</v>
      </c>
      <c r="AL8" s="22" t="e">
        <f aca="false">AND('Current Index'!B188,"AAAAAGvtzyU=")</f>
        <v>#VALUE!</v>
      </c>
      <c r="AM8" s="22" t="e">
        <f aca="false">AND('Current Index'!C188,"AAAAAGvtzyY=")</f>
        <v>#VALUE!</v>
      </c>
      <c r="AN8" s="22" t="e">
        <f aca="false">AND('Current Index'!D188,"AAAAAGvtzyc=")</f>
        <v>#VALUE!</v>
      </c>
      <c r="AO8" s="22" t="e">
        <f aca="false">AND('Current Index'!E188,"AAAAAGvtzyg=")</f>
        <v>#VALUE!</v>
      </c>
      <c r="AP8" s="22" t="e">
        <f aca="false">AND('Current Index'!F188,"AAAAAGvtzyk=")</f>
        <v>#VALUE!</v>
      </c>
      <c r="AQ8" s="22" t="e">
        <f aca="false">AND('Current Index'!G188,"AAAAAGvtzyo=")</f>
        <v>#VALUE!</v>
      </c>
      <c r="AR8" s="22" t="e">
        <f aca="false">AND('Current Index'!H188,"AAAAAGvtzys=")</f>
        <v>#VALUE!</v>
      </c>
      <c r="AS8" s="22" t="e">
        <f aca="false">AND('Current Index'!I188,"AAAAAGvtzyw=")</f>
        <v>#VALUE!</v>
      </c>
      <c r="AT8" s="22" t="n">
        <f aca="false">IF('Current Index'!189:189,"AAAAAGvtzy0=",0)</f>
        <v>0</v>
      </c>
      <c r="AU8" s="22" t="e">
        <f aca="false">AND('Current Index'!A189,"AAAAAGvtzy4=")</f>
        <v>#VALUE!</v>
      </c>
      <c r="AV8" s="22" t="e">
        <f aca="false">AND('current index'!#ref!,"AAAAAGvtzy8=")</f>
        <v>#VALUE!</v>
      </c>
      <c r="AW8" s="22" t="e">
        <f aca="false">AND('Current Index'!B189,"AAAAAGvtzzA=")</f>
        <v>#VALUE!</v>
      </c>
      <c r="AX8" s="22" t="e">
        <f aca="false">AND('Current Index'!C189,"AAAAAGvtzzE=")</f>
        <v>#VALUE!</v>
      </c>
      <c r="AY8" s="22" t="e">
        <f aca="false">AND('Current Index'!D189,"AAAAAGvtzzI=")</f>
        <v>#VALUE!</v>
      </c>
      <c r="AZ8" s="22" t="e">
        <f aca="false">AND('Current Index'!E189,"AAAAAGvtzzM=")</f>
        <v>#VALUE!</v>
      </c>
      <c r="BA8" s="22" t="e">
        <f aca="false">AND('Current Index'!F189,"AAAAAGvtzzQ=")</f>
        <v>#VALUE!</v>
      </c>
      <c r="BB8" s="22" t="e">
        <f aca="false">AND('Current Index'!G189,"AAAAAGvtzzU=")</f>
        <v>#VALUE!</v>
      </c>
      <c r="BC8" s="22" t="e">
        <f aca="false">AND('Current Index'!H189,"AAAAAGvtzzY=")</f>
        <v>#VALUE!</v>
      </c>
      <c r="BD8" s="22" t="e">
        <f aca="false">AND('Current Index'!I189,"AAAAAGvtzzc=")</f>
        <v>#VALUE!</v>
      </c>
      <c r="BE8" s="22" t="n">
        <f aca="false">IF('Current Index'!190:190,"AAAAAGvtzzg=",0)</f>
        <v>0</v>
      </c>
      <c r="BF8" s="22" t="e">
        <f aca="false">AND('Current Index'!A190,"AAAAAGvtzzk=")</f>
        <v>#VALUE!</v>
      </c>
      <c r="BG8" s="22" t="e">
        <f aca="false">AND('current index'!#ref!,"AAAAAGvtzzo=")</f>
        <v>#VALUE!</v>
      </c>
      <c r="BH8" s="22" t="e">
        <f aca="false">AND('Current Index'!B190,"AAAAAGvtzzs=")</f>
        <v>#VALUE!</v>
      </c>
      <c r="BI8" s="22" t="e">
        <f aca="false">AND('Current Index'!C190,"AAAAAGvtzzw=")</f>
        <v>#VALUE!</v>
      </c>
      <c r="BJ8" s="22" t="e">
        <f aca="false">AND('Current Index'!D190,"AAAAAGvtzz0=")</f>
        <v>#VALUE!</v>
      </c>
      <c r="BK8" s="22" t="e">
        <f aca="false">AND('Current Index'!E190,"AAAAAGvtzz4=")</f>
        <v>#VALUE!</v>
      </c>
      <c r="BL8" s="22" t="e">
        <f aca="false">AND('Current Index'!F190,"AAAAAGvtzz8=")</f>
        <v>#VALUE!</v>
      </c>
      <c r="BM8" s="22" t="e">
        <f aca="false">AND('Current Index'!G190,"AAAAAGvtz0A=")</f>
        <v>#VALUE!</v>
      </c>
      <c r="BN8" s="22" t="e">
        <f aca="false">AND('Current Index'!H190,"AAAAAGvtz0E=")</f>
        <v>#VALUE!</v>
      </c>
      <c r="BO8" s="22" t="e">
        <f aca="false">AND('Current Index'!I190,"AAAAAGvtz0I=")</f>
        <v>#VALUE!</v>
      </c>
      <c r="BP8" s="22" t="n">
        <f aca="false">IF('Current Index'!191:191,"AAAAAGvtz0M=",0)</f>
        <v>0</v>
      </c>
      <c r="BQ8" s="22" t="e">
        <f aca="false">AND('Current Index'!A191,"AAAAAGvtz0Q=")</f>
        <v>#VALUE!</v>
      </c>
      <c r="BR8" s="22" t="e">
        <f aca="false">AND('current index'!#ref!,"AAAAAGvtz0U=")</f>
        <v>#VALUE!</v>
      </c>
      <c r="BS8" s="22" t="e">
        <f aca="false">AND('Current Index'!B191,"AAAAAGvtz0Y=")</f>
        <v>#VALUE!</v>
      </c>
      <c r="BT8" s="22" t="e">
        <f aca="false">AND('Current Index'!C191,"AAAAAGvtz0c=")</f>
        <v>#VALUE!</v>
      </c>
      <c r="BU8" s="22" t="e">
        <f aca="false">AND('Current Index'!D191,"AAAAAGvtz0g=")</f>
        <v>#VALUE!</v>
      </c>
      <c r="BV8" s="22" t="e">
        <f aca="false">AND('Current Index'!E191,"AAAAAGvtz0k=")</f>
        <v>#VALUE!</v>
      </c>
      <c r="BW8" s="22" t="e">
        <f aca="false">AND('Current Index'!F191,"AAAAAGvtz0o=")</f>
        <v>#VALUE!</v>
      </c>
      <c r="BX8" s="22" t="e">
        <f aca="false">AND('Current Index'!G191,"AAAAAGvtz0s=")</f>
        <v>#VALUE!</v>
      </c>
      <c r="BY8" s="22" t="e">
        <f aca="false">AND('Current Index'!H191,"AAAAAGvtz0w=")</f>
        <v>#VALUE!</v>
      </c>
      <c r="BZ8" s="22" t="e">
        <f aca="false">AND('Current Index'!I191,"AAAAAGvtz00=")</f>
        <v>#VALUE!</v>
      </c>
      <c r="CA8" s="22" t="n">
        <f aca="false">IF('Current Index'!192:192,"AAAAAGvtz04=",0)</f>
        <v>0</v>
      </c>
      <c r="CB8" s="22" t="e">
        <f aca="false">AND('Current Index'!A192,"AAAAAGvtz08=")</f>
        <v>#VALUE!</v>
      </c>
      <c r="CC8" s="22" t="e">
        <f aca="false">AND('current index'!#ref!,"AAAAAGvtz1A=")</f>
        <v>#VALUE!</v>
      </c>
      <c r="CD8" s="22" t="e">
        <f aca="false">AND('Current Index'!B192,"AAAAAGvtz1E=")</f>
        <v>#VALUE!</v>
      </c>
      <c r="CE8" s="22" t="e">
        <f aca="false">AND('Current Index'!C192,"AAAAAGvtz1I=")</f>
        <v>#VALUE!</v>
      </c>
      <c r="CF8" s="22" t="e">
        <f aca="false">AND('Current Index'!D192,"AAAAAGvtz1M=")</f>
        <v>#VALUE!</v>
      </c>
      <c r="CG8" s="22" t="e">
        <f aca="false">AND('Current Index'!E192,"AAAAAGvtz1Q=")</f>
        <v>#VALUE!</v>
      </c>
      <c r="CH8" s="22" t="e">
        <f aca="false">AND('Current Index'!F192,"AAAAAGvtz1U=")</f>
        <v>#VALUE!</v>
      </c>
      <c r="CI8" s="22" t="e">
        <f aca="false">AND('Current Index'!G192,"AAAAAGvtz1Y=")</f>
        <v>#VALUE!</v>
      </c>
      <c r="CJ8" s="22" t="e">
        <f aca="false">AND('Current Index'!H192,"AAAAAGvtz1c=")</f>
        <v>#VALUE!</v>
      </c>
      <c r="CK8" s="22" t="e">
        <f aca="false">AND('Current Index'!I192,"AAAAAGvtz1g=")</f>
        <v>#VALUE!</v>
      </c>
      <c r="CL8" s="22" t="n">
        <f aca="false">IF('Current Index'!193:193,"AAAAAGvtz1k=",0)</f>
        <v>0</v>
      </c>
      <c r="CM8" s="22" t="e">
        <f aca="false">AND('Current Index'!A193,"AAAAAGvtz1o=")</f>
        <v>#VALUE!</v>
      </c>
      <c r="CN8" s="22" t="e">
        <f aca="false">AND('current index'!#ref!,"AAAAAGvtz1s=")</f>
        <v>#VALUE!</v>
      </c>
      <c r="CO8" s="22" t="e">
        <f aca="false">AND('Current Index'!B193,"AAAAAGvtz1w=")</f>
        <v>#VALUE!</v>
      </c>
      <c r="CP8" s="22" t="e">
        <f aca="false">AND('Current Index'!C193,"AAAAAGvtz10=")</f>
        <v>#VALUE!</v>
      </c>
      <c r="CQ8" s="22" t="e">
        <f aca="false">AND('Current Index'!D193,"AAAAAGvtz14=")</f>
        <v>#VALUE!</v>
      </c>
      <c r="CR8" s="22" t="e">
        <f aca="false">AND('Current Index'!E193,"AAAAAGvtz18=")</f>
        <v>#VALUE!</v>
      </c>
      <c r="CS8" s="22" t="e">
        <f aca="false">AND('Current Index'!F193,"AAAAAGvtz2A=")</f>
        <v>#VALUE!</v>
      </c>
      <c r="CT8" s="22" t="e">
        <f aca="false">AND('Current Index'!G193,"AAAAAGvtz2E=")</f>
        <v>#VALUE!</v>
      </c>
      <c r="CU8" s="22" t="e">
        <f aca="false">AND('Current Index'!H193,"AAAAAGvtz2I=")</f>
        <v>#VALUE!</v>
      </c>
      <c r="CV8" s="22" t="e">
        <f aca="false">AND('Current Index'!I193,"AAAAAGvtz2M=")</f>
        <v>#VALUE!</v>
      </c>
      <c r="CW8" s="22" t="e">
        <f aca="false">IF('current index'!#ref!,"AAAAAGvtz2Q=",0)</f>
        <v>#VALUE!</v>
      </c>
      <c r="CX8" s="22" t="e">
        <f aca="false">AND('current index'!#ref!,"AAAAAGvtz2U=")</f>
        <v>#VALUE!</v>
      </c>
      <c r="CY8" s="22" t="e">
        <f aca="false">AND('current index'!#ref!,"AAAAAGvtz2Y=")</f>
        <v>#VALUE!</v>
      </c>
      <c r="CZ8" s="22" t="e">
        <f aca="false">AND('current index'!#ref!,"AAAAAGvtz2c=")</f>
        <v>#VALUE!</v>
      </c>
      <c r="DA8" s="22" t="e">
        <f aca="false">AND('current index'!#ref!,"AAAAAGvtz2g=")</f>
        <v>#VALUE!</v>
      </c>
      <c r="DB8" s="22" t="e">
        <f aca="false">AND('current index'!#ref!,"AAAAAGvtz2k=")</f>
        <v>#VALUE!</v>
      </c>
      <c r="DC8" s="22" t="e">
        <f aca="false">AND('current index'!#ref!,"AAAAAGvtz2o=")</f>
        <v>#VALUE!</v>
      </c>
      <c r="DD8" s="22" t="e">
        <f aca="false">AND('current index'!#ref!,"AAAAAGvtz2s=")</f>
        <v>#VALUE!</v>
      </c>
      <c r="DE8" s="22" t="e">
        <f aca="false">AND('current index'!#ref!,"AAAAAGvtz2w=")</f>
        <v>#VALUE!</v>
      </c>
      <c r="DF8" s="22" t="e">
        <f aca="false">AND('current index'!#ref!,"AAAAAGvtz20=")</f>
        <v>#VALUE!</v>
      </c>
      <c r="DG8" s="22" t="e">
        <f aca="false">AND('current index'!#ref!,"AAAAAGvtz24=")</f>
        <v>#VALUE!</v>
      </c>
      <c r="DH8" s="22" t="e">
        <f aca="false">IF('current index'!#ref!,"AAAAAGvtz28=",0)</f>
        <v>#VALUE!</v>
      </c>
      <c r="DI8" s="22" t="e">
        <f aca="false">AND('current index'!#ref!,"AAAAAGvtz3A=")</f>
        <v>#VALUE!</v>
      </c>
      <c r="DJ8" s="22" t="e">
        <f aca="false">AND('current index'!#ref!,"AAAAAGvtz3E=")</f>
        <v>#VALUE!</v>
      </c>
      <c r="DK8" s="22" t="e">
        <f aca="false">AND('current index'!#ref!,"AAAAAGvtz3I=")</f>
        <v>#VALUE!</v>
      </c>
      <c r="DL8" s="22" t="e">
        <f aca="false">AND('current index'!#ref!,"AAAAAGvtz3M=")</f>
        <v>#VALUE!</v>
      </c>
      <c r="DM8" s="22" t="e">
        <f aca="false">AND('current index'!#ref!,"AAAAAGvtz3Q=")</f>
        <v>#VALUE!</v>
      </c>
      <c r="DN8" s="22" t="e">
        <f aca="false">AND('current index'!#ref!,"AAAAAGvtz3U=")</f>
        <v>#VALUE!</v>
      </c>
      <c r="DO8" s="22" t="e">
        <f aca="false">AND('current index'!#ref!,"AAAAAGvtz3Y=")</f>
        <v>#VALUE!</v>
      </c>
      <c r="DP8" s="22" t="e">
        <f aca="false">AND('current index'!#ref!,"AAAAAGvtz3c=")</f>
        <v>#VALUE!</v>
      </c>
      <c r="DQ8" s="22" t="e">
        <f aca="false">AND('current index'!#ref!,"AAAAAGvtz3g=")</f>
        <v>#VALUE!</v>
      </c>
      <c r="DR8" s="22" t="e">
        <f aca="false">AND('current index'!#ref!,"AAAAAGvtz3k=")</f>
        <v>#VALUE!</v>
      </c>
      <c r="DS8" s="22" t="n">
        <f aca="false">IF('Current Index'!195:195,"AAAAAGvtz3o=",0)</f>
        <v>0</v>
      </c>
      <c r="DT8" s="22" t="e">
        <f aca="false">AND('Current Index'!A195,"AAAAAGvtz3s=")</f>
        <v>#VALUE!</v>
      </c>
      <c r="DU8" s="22" t="e">
        <f aca="false">AND('current index'!#ref!,"AAAAAGvtz3w=")</f>
        <v>#VALUE!</v>
      </c>
      <c r="DV8" s="22" t="e">
        <f aca="false">AND('Current Index'!B195,"AAAAAGvtz30=")</f>
        <v>#VALUE!</v>
      </c>
      <c r="DW8" s="22" t="e">
        <f aca="false">AND('Current Index'!C195,"AAAAAGvtz34=")</f>
        <v>#VALUE!</v>
      </c>
      <c r="DX8" s="22" t="e">
        <f aca="false">AND('Current Index'!D195,"AAAAAGvtz38=")</f>
        <v>#VALUE!</v>
      </c>
      <c r="DY8" s="22" t="e">
        <f aca="false">AND('Current Index'!E195,"AAAAAGvtz4A=")</f>
        <v>#VALUE!</v>
      </c>
      <c r="DZ8" s="22" t="e">
        <f aca="false">AND('Current Index'!F195,"AAAAAGvtz4E=")</f>
        <v>#VALUE!</v>
      </c>
      <c r="EA8" s="22" t="e">
        <f aca="false">AND('Current Index'!G195,"AAAAAGvtz4I=")</f>
        <v>#VALUE!</v>
      </c>
      <c r="EB8" s="22" t="e">
        <f aca="false">AND('Current Index'!H195,"AAAAAGvtz4M=")</f>
        <v>#VALUE!</v>
      </c>
      <c r="EC8" s="22" t="e">
        <f aca="false">AND('Current Index'!I195,"AAAAAGvtz4Q=")</f>
        <v>#VALUE!</v>
      </c>
      <c r="ED8" s="22" t="n">
        <f aca="false">IF('Current Index'!196:196,"AAAAAGvtz4U=",0)</f>
        <v>0</v>
      </c>
      <c r="EE8" s="22" t="e">
        <f aca="false">AND('Current Index'!A196,"AAAAAGvtz4Y=")</f>
        <v>#VALUE!</v>
      </c>
      <c r="EF8" s="22" t="e">
        <f aca="false">AND('current index'!#ref!,"AAAAAGvtz4c=")</f>
        <v>#VALUE!</v>
      </c>
      <c r="EG8" s="22" t="e">
        <f aca="false">AND('Current Index'!B196,"AAAAAGvtz4g=")</f>
        <v>#VALUE!</v>
      </c>
      <c r="EH8" s="22" t="e">
        <f aca="false">AND('Current Index'!C196,"AAAAAGvtz4k=")</f>
        <v>#VALUE!</v>
      </c>
      <c r="EI8" s="22" t="e">
        <f aca="false">AND('Current Index'!D196,"AAAAAGvtz4o=")</f>
        <v>#VALUE!</v>
      </c>
      <c r="EJ8" s="22" t="e">
        <f aca="false">AND('Current Index'!E196,"AAAAAGvtz4s=")</f>
        <v>#VALUE!</v>
      </c>
      <c r="EK8" s="22" t="e">
        <f aca="false">AND('Current Index'!F196,"AAAAAGvtz4w=")</f>
        <v>#VALUE!</v>
      </c>
      <c r="EL8" s="22" t="e">
        <f aca="false">AND('Current Index'!G196,"AAAAAGvtz40=")</f>
        <v>#VALUE!</v>
      </c>
      <c r="EM8" s="22" t="e">
        <f aca="false">AND('Current Index'!H196,"AAAAAGvtz44=")</f>
        <v>#VALUE!</v>
      </c>
      <c r="EN8" s="22" t="e">
        <f aca="false">AND('Current Index'!I196,"AAAAAGvtz48=")</f>
        <v>#VALUE!</v>
      </c>
      <c r="EO8" s="22" t="n">
        <f aca="false">IF('Current Index'!197:197,"AAAAAGvtz5A=",0)</f>
        <v>0</v>
      </c>
      <c r="EP8" s="22" t="e">
        <f aca="false">AND('Current Index'!A197,"AAAAAGvtz5E=")</f>
        <v>#VALUE!</v>
      </c>
      <c r="EQ8" s="22" t="e">
        <f aca="false">AND('current index'!#ref!,"AAAAAGvtz5I=")</f>
        <v>#VALUE!</v>
      </c>
      <c r="ER8" s="22" t="e">
        <f aca="false">AND('Current Index'!B197,"AAAAAGvtz5M=")</f>
        <v>#VALUE!</v>
      </c>
      <c r="ES8" s="22" t="e">
        <f aca="false">AND('Current Index'!C197,"AAAAAGvtz5Q=")</f>
        <v>#VALUE!</v>
      </c>
      <c r="ET8" s="22" t="e">
        <f aca="false">AND('Current Index'!D197,"AAAAAGvtz5U=")</f>
        <v>#VALUE!</v>
      </c>
      <c r="EU8" s="22" t="e">
        <f aca="false">AND('Current Index'!E197,"AAAAAGvtz5Y=")</f>
        <v>#VALUE!</v>
      </c>
      <c r="EV8" s="22" t="e">
        <f aca="false">AND('Current Index'!F197,"AAAAAGvtz5c=")</f>
        <v>#VALUE!</v>
      </c>
      <c r="EW8" s="22" t="e">
        <f aca="false">AND('Current Index'!G197,"AAAAAGvtz5g=")</f>
        <v>#VALUE!</v>
      </c>
      <c r="EX8" s="22" t="e">
        <f aca="false">AND('Current Index'!H197,"AAAAAGvtz5k=")</f>
        <v>#VALUE!</v>
      </c>
      <c r="EY8" s="22" t="e">
        <f aca="false">AND('Current Index'!I197,"AAAAAGvtz5o=")</f>
        <v>#VALUE!</v>
      </c>
      <c r="EZ8" s="22" t="n">
        <f aca="false">IF('Current Index'!198:198,"AAAAAGvtz5s=",0)</f>
        <v>0</v>
      </c>
      <c r="FA8" s="22" t="e">
        <f aca="false">AND('Current Index'!A198,"AAAAAGvtz5w=")</f>
        <v>#VALUE!</v>
      </c>
      <c r="FB8" s="22" t="e">
        <f aca="false">AND('current index'!#ref!,"AAAAAGvtz50=")</f>
        <v>#VALUE!</v>
      </c>
      <c r="FC8" s="22" t="e">
        <f aca="false">AND('Current Index'!B198,"AAAAAGvtz54=")</f>
        <v>#VALUE!</v>
      </c>
      <c r="FD8" s="22" t="e">
        <f aca="false">AND('Current Index'!C198,"AAAAAGvtz58=")</f>
        <v>#VALUE!</v>
      </c>
      <c r="FE8" s="22" t="e">
        <f aca="false">AND('Current Index'!D198,"AAAAAGvtz6A=")</f>
        <v>#VALUE!</v>
      </c>
      <c r="FF8" s="22" t="e">
        <f aca="false">AND('Current Index'!E198,"AAAAAGvtz6E=")</f>
        <v>#VALUE!</v>
      </c>
      <c r="FG8" s="22" t="e">
        <f aca="false">AND('Current Index'!F198,"AAAAAGvtz6I=")</f>
        <v>#VALUE!</v>
      </c>
      <c r="FH8" s="22" t="e">
        <f aca="false">AND('Current Index'!G198,"AAAAAGvtz6M=")</f>
        <v>#VALUE!</v>
      </c>
      <c r="FI8" s="22" t="e">
        <f aca="false">AND('Current Index'!H198,"AAAAAGvtz6Q=")</f>
        <v>#VALUE!</v>
      </c>
      <c r="FJ8" s="22" t="e">
        <f aca="false">AND('Current Index'!I198,"AAAAAGvtz6U=")</f>
        <v>#VALUE!</v>
      </c>
      <c r="FK8" s="22" t="n">
        <f aca="false">IF('Current Index'!199:199,"AAAAAGvtz6Y=",0)</f>
        <v>0</v>
      </c>
      <c r="FL8" s="22" t="e">
        <f aca="false">AND('Current Index'!A199,"AAAAAGvtz6c=")</f>
        <v>#VALUE!</v>
      </c>
      <c r="FM8" s="22" t="e">
        <f aca="false">AND('current index'!#ref!,"AAAAAGvtz6g=")</f>
        <v>#VALUE!</v>
      </c>
      <c r="FN8" s="22" t="e">
        <f aca="false">AND('Current Index'!B199,"AAAAAGvtz6k=")</f>
        <v>#VALUE!</v>
      </c>
      <c r="FO8" s="22" t="e">
        <f aca="false">AND('Current Index'!C199,"AAAAAGvtz6o=")</f>
        <v>#VALUE!</v>
      </c>
      <c r="FP8" s="22" t="e">
        <f aca="false">AND('Current Index'!D199,"AAAAAGvtz6s=")</f>
        <v>#VALUE!</v>
      </c>
      <c r="FQ8" s="22" t="e">
        <f aca="false">AND('Current Index'!E199,"AAAAAGvtz6w=")</f>
        <v>#VALUE!</v>
      </c>
      <c r="FR8" s="22" t="e">
        <f aca="false">AND('Current Index'!F199,"AAAAAGvtz60=")</f>
        <v>#VALUE!</v>
      </c>
      <c r="FS8" s="22" t="e">
        <f aca="false">AND('Current Index'!G199,"AAAAAGvtz64=")</f>
        <v>#VALUE!</v>
      </c>
      <c r="FT8" s="22" t="e">
        <f aca="false">AND('Current Index'!H199,"AAAAAGvtz68=")</f>
        <v>#VALUE!</v>
      </c>
      <c r="FU8" s="22" t="e">
        <f aca="false">AND('Current Index'!I199,"AAAAAGvtz7A=")</f>
        <v>#VALUE!</v>
      </c>
      <c r="FV8" s="22" t="n">
        <f aca="false">IF('Current Index'!200:200,"AAAAAGvtz7E=",0)</f>
        <v>0</v>
      </c>
      <c r="FW8" s="22" t="e">
        <f aca="false">AND('Current Index'!A200,"AAAAAGvtz7I=")</f>
        <v>#VALUE!</v>
      </c>
      <c r="FX8" s="22" t="e">
        <f aca="false">AND('current index'!#ref!,"AAAAAGvtz7M=")</f>
        <v>#VALUE!</v>
      </c>
      <c r="FY8" s="22" t="e">
        <f aca="false">AND('Current Index'!B200,"AAAAAGvtz7Q=")</f>
        <v>#VALUE!</v>
      </c>
      <c r="FZ8" s="22" t="e">
        <f aca="false">AND('Current Index'!C200,"AAAAAGvtz7U=")</f>
        <v>#VALUE!</v>
      </c>
      <c r="GA8" s="22" t="e">
        <f aca="false">AND('Current Index'!D200,"AAAAAGvtz7Y=")</f>
        <v>#VALUE!</v>
      </c>
      <c r="GB8" s="22" t="e">
        <f aca="false">AND('Current Index'!E200,"AAAAAGvtz7c=")</f>
        <v>#VALUE!</v>
      </c>
      <c r="GC8" s="22" t="e">
        <f aca="false">AND('Current Index'!F200,"AAAAAGvtz7g=")</f>
        <v>#VALUE!</v>
      </c>
      <c r="GD8" s="22" t="e">
        <f aca="false">AND('Current Index'!G200,"AAAAAGvtz7k=")</f>
        <v>#VALUE!</v>
      </c>
      <c r="GE8" s="22" t="e">
        <f aca="false">AND('Current Index'!H200,"AAAAAGvtz7o=")</f>
        <v>#VALUE!</v>
      </c>
      <c r="GF8" s="22" t="e">
        <f aca="false">AND('Current Index'!I200,"AAAAAGvtz7s=")</f>
        <v>#VALUE!</v>
      </c>
      <c r="GG8" s="22" t="n">
        <f aca="false">IF('Current Index'!201:201,"AAAAAGvtz7w=",0)</f>
        <v>0</v>
      </c>
      <c r="GH8" s="22" t="e">
        <f aca="false">AND('Current Index'!A201,"AAAAAGvtz70=")</f>
        <v>#VALUE!</v>
      </c>
      <c r="GI8" s="22" t="e">
        <f aca="false">AND('current index'!#ref!,"AAAAAGvtz74=")</f>
        <v>#VALUE!</v>
      </c>
      <c r="GJ8" s="22" t="e">
        <f aca="false">AND('Current Index'!B201,"AAAAAGvtz78=")</f>
        <v>#VALUE!</v>
      </c>
      <c r="GK8" s="22" t="e">
        <f aca="false">AND('Current Index'!C201,"AAAAAGvtz8A=")</f>
        <v>#VALUE!</v>
      </c>
      <c r="GL8" s="22" t="e">
        <f aca="false">AND('Current Index'!D201,"AAAAAGvtz8E=")</f>
        <v>#VALUE!</v>
      </c>
      <c r="GM8" s="22" t="e">
        <f aca="false">AND('Current Index'!E201,"AAAAAGvtz8I=")</f>
        <v>#VALUE!</v>
      </c>
      <c r="GN8" s="22" t="e">
        <f aca="false">AND('Current Index'!F201,"AAAAAGvtz8M=")</f>
        <v>#VALUE!</v>
      </c>
      <c r="GO8" s="22" t="e">
        <f aca="false">AND('Current Index'!G201,"AAAAAGvtz8Q=")</f>
        <v>#VALUE!</v>
      </c>
      <c r="GP8" s="22" t="e">
        <f aca="false">AND('Current Index'!H201,"AAAAAGvtz8U=")</f>
        <v>#VALUE!</v>
      </c>
      <c r="GQ8" s="22" t="e">
        <f aca="false">AND('Current Index'!I201,"AAAAAGvtz8Y=")</f>
        <v>#VALUE!</v>
      </c>
      <c r="GR8" s="22" t="n">
        <f aca="false">IF('Current Index'!202:202,"AAAAAGvtz8c=",0)</f>
        <v>0</v>
      </c>
      <c r="GS8" s="22" t="e">
        <f aca="false">AND('Current Index'!A202,"AAAAAGvtz8g=")</f>
        <v>#VALUE!</v>
      </c>
      <c r="GT8" s="22" t="e">
        <f aca="false">AND('current index'!#ref!,"AAAAAGvtz8k=")</f>
        <v>#VALUE!</v>
      </c>
      <c r="GU8" s="22" t="e">
        <f aca="false">AND('Current Index'!B202,"AAAAAGvtz8o=")</f>
        <v>#VALUE!</v>
      </c>
      <c r="GV8" s="22" t="e">
        <f aca="false">AND('Current Index'!C202,"AAAAAGvtz8s=")</f>
        <v>#VALUE!</v>
      </c>
      <c r="GW8" s="22" t="e">
        <f aca="false">AND('Current Index'!D202,"AAAAAGvtz8w=")</f>
        <v>#VALUE!</v>
      </c>
      <c r="GX8" s="22" t="e">
        <f aca="false">AND('Current Index'!E202,"AAAAAGvtz80=")</f>
        <v>#VALUE!</v>
      </c>
      <c r="GY8" s="22" t="e">
        <f aca="false">AND('Current Index'!F202,"AAAAAGvtz84=")</f>
        <v>#VALUE!</v>
      </c>
      <c r="GZ8" s="22" t="e">
        <f aca="false">AND('Current Index'!G202,"AAAAAGvtz88=")</f>
        <v>#VALUE!</v>
      </c>
      <c r="HA8" s="22" t="e">
        <f aca="false">AND('Current Index'!H202,"AAAAAGvtz9A=")</f>
        <v>#VALUE!</v>
      </c>
      <c r="HB8" s="22" t="e">
        <f aca="false">AND('Current Index'!I202,"AAAAAGvtz9E=")</f>
        <v>#VALUE!</v>
      </c>
      <c r="HC8" s="22" t="n">
        <f aca="false">IF('Current Index'!205:205,"AAAAAGvtz9I=",0)</f>
        <v>0</v>
      </c>
      <c r="HD8" s="22" t="e">
        <f aca="false">AND('Current Index'!A205,"AAAAAGvtz9M=")</f>
        <v>#VALUE!</v>
      </c>
      <c r="HE8" s="22" t="e">
        <f aca="false">AND('current index'!#ref!,"AAAAAGvtz9Q=")</f>
        <v>#VALUE!</v>
      </c>
      <c r="HF8" s="22" t="e">
        <f aca="false">AND('Current Index'!B205,"AAAAAGvtz9U=")</f>
        <v>#VALUE!</v>
      </c>
      <c r="HG8" s="22" t="e">
        <f aca="false">AND('Current Index'!C205,"AAAAAGvtz9Y=")</f>
        <v>#VALUE!</v>
      </c>
      <c r="HH8" s="22" t="e">
        <f aca="false">AND('Current Index'!D205,"AAAAAGvtz9c=")</f>
        <v>#VALUE!</v>
      </c>
      <c r="HI8" s="22" t="e">
        <f aca="false">AND('Current Index'!E205,"AAAAAGvtz9g=")</f>
        <v>#VALUE!</v>
      </c>
      <c r="HJ8" s="22" t="e">
        <f aca="false">AND('Current Index'!F205,"AAAAAGvtz9k=")</f>
        <v>#VALUE!</v>
      </c>
      <c r="HK8" s="22" t="e">
        <f aca="false">AND('Current Index'!G205,"AAAAAGvtz9o=")</f>
        <v>#VALUE!</v>
      </c>
      <c r="HL8" s="22" t="e">
        <f aca="false">AND('Current Index'!H205,"AAAAAGvtz9s=")</f>
        <v>#VALUE!</v>
      </c>
      <c r="HM8" s="22" t="e">
        <f aca="false">AND('Current Index'!I205,"AAAAAGvtz9w=")</f>
        <v>#VALUE!</v>
      </c>
      <c r="HN8" s="22" t="e">
        <f aca="false">IF('current index'!#ref!,"AAAAAGvtz90=",0)</f>
        <v>#VALUE!</v>
      </c>
      <c r="HO8" s="22" t="e">
        <f aca="false">AND('current index'!#ref!,"AAAAAGvtz94=")</f>
        <v>#VALUE!</v>
      </c>
      <c r="HP8" s="22" t="e">
        <f aca="false">AND('current index'!#ref!,"AAAAAGvtz98=")</f>
        <v>#VALUE!</v>
      </c>
      <c r="HQ8" s="22" t="e">
        <f aca="false">AND('current index'!#ref!,"AAAAAGvtz+A=")</f>
        <v>#VALUE!</v>
      </c>
      <c r="HR8" s="22" t="e">
        <f aca="false">AND('current index'!#ref!,"AAAAAGvtz+E=")</f>
        <v>#VALUE!</v>
      </c>
      <c r="HS8" s="22" t="e">
        <f aca="false">AND('current index'!#ref!,"AAAAAGvtz+I=")</f>
        <v>#VALUE!</v>
      </c>
      <c r="HT8" s="22" t="e">
        <f aca="false">AND('current index'!#ref!,"AAAAAGvtz+M=")</f>
        <v>#VALUE!</v>
      </c>
      <c r="HU8" s="22" t="e">
        <f aca="false">AND('current index'!#ref!,"AAAAAGvtz+Q=")</f>
        <v>#VALUE!</v>
      </c>
      <c r="HV8" s="22" t="e">
        <f aca="false">AND('current index'!#ref!,"AAAAAGvtz+U=")</f>
        <v>#VALUE!</v>
      </c>
      <c r="HW8" s="22" t="e">
        <f aca="false">AND('current index'!#ref!,"AAAAAGvtz+Y=")</f>
        <v>#VALUE!</v>
      </c>
      <c r="HX8" s="22" t="e">
        <f aca="false">AND('current index'!#ref!,"AAAAAGvtz+c=")</f>
        <v>#VALUE!</v>
      </c>
      <c r="HY8" s="22" t="n">
        <f aca="false">IF('Current Index'!206:206,"AAAAAGvtz+g=",0)</f>
        <v>0</v>
      </c>
      <c r="HZ8" s="22" t="e">
        <f aca="false">AND('Current Index'!A206,"AAAAAGvtz+k=")</f>
        <v>#VALUE!</v>
      </c>
      <c r="IA8" s="22" t="e">
        <f aca="false">AND('current index'!#ref!,"AAAAAGvtz+o=")</f>
        <v>#VALUE!</v>
      </c>
      <c r="IB8" s="22" t="e">
        <f aca="false">AND('Current Index'!B206,"AAAAAGvtz+s=")</f>
        <v>#VALUE!</v>
      </c>
      <c r="IC8" s="22" t="e">
        <f aca="false">AND('Current Index'!C206,"AAAAAGvtz+w=")</f>
        <v>#VALUE!</v>
      </c>
      <c r="ID8" s="22" t="e">
        <f aca="false">AND('Current Index'!D206,"AAAAAGvtz+0=")</f>
        <v>#VALUE!</v>
      </c>
      <c r="IE8" s="22" t="e">
        <f aca="false">AND('Current Index'!E206,"AAAAAGvtz+4=")</f>
        <v>#VALUE!</v>
      </c>
      <c r="IF8" s="22" t="e">
        <f aca="false">AND('Current Index'!F206,"AAAAAGvtz+8=")</f>
        <v>#VALUE!</v>
      </c>
      <c r="IG8" s="22" t="e">
        <f aca="false">AND('Current Index'!G206,"AAAAAGvtz/A=")</f>
        <v>#VALUE!</v>
      </c>
      <c r="IH8" s="22" t="e">
        <f aca="false">AND('Current Index'!H206,"AAAAAGvtz/E=")</f>
        <v>#VALUE!</v>
      </c>
      <c r="II8" s="22" t="e">
        <f aca="false">AND('Current Index'!I206,"AAAAAGvtz/I=")</f>
        <v>#VALUE!</v>
      </c>
      <c r="IJ8" s="22" t="n">
        <f aca="false">IF('Current Index'!208:208,"AAAAAGvtz/M=",0)</f>
        <v>0</v>
      </c>
      <c r="IK8" s="22" t="e">
        <f aca="false">AND('Current Index'!A208,"AAAAAGvtz/Q=")</f>
        <v>#VALUE!</v>
      </c>
      <c r="IL8" s="22" t="e">
        <f aca="false">AND('current index'!#ref!,"AAAAAGvtz/U=")</f>
        <v>#VALUE!</v>
      </c>
      <c r="IM8" s="22" t="e">
        <f aca="false">AND('Current Index'!B208,"AAAAAGvtz/Y=")</f>
        <v>#VALUE!</v>
      </c>
      <c r="IN8" s="22" t="e">
        <f aca="false">AND('Current Index'!C208,"AAAAAGvtz/c=")</f>
        <v>#VALUE!</v>
      </c>
      <c r="IO8" s="22" t="e">
        <f aca="false">AND('Current Index'!D208,"AAAAAGvtz/g=")</f>
        <v>#VALUE!</v>
      </c>
      <c r="IP8" s="22" t="e">
        <f aca="false">AND('Current Index'!E208,"AAAAAGvtz/k=")</f>
        <v>#VALUE!</v>
      </c>
      <c r="IQ8" s="22" t="e">
        <f aca="false">AND('Current Index'!F208,"AAAAAGvtz/o=")</f>
        <v>#VALUE!</v>
      </c>
      <c r="IR8" s="22" t="e">
        <f aca="false">AND('Current Index'!G208,"AAAAAGvtz/s=")</f>
        <v>#VALUE!</v>
      </c>
      <c r="IS8" s="22" t="e">
        <f aca="false">AND('Current Index'!H208,"AAAAAGvtz/w=")</f>
        <v>#VALUE!</v>
      </c>
      <c r="IT8" s="22" t="e">
        <f aca="false">AND('Current Index'!I208,"AAAAAGvtz/0=")</f>
        <v>#VALUE!</v>
      </c>
      <c r="IU8" s="22" t="e">
        <f aca="false">IF('current index'!#ref!,"AAAAAGvtz/4=",0)</f>
        <v>#VALUE!</v>
      </c>
      <c r="IV8" s="22" t="e">
        <f aca="false">AND('current index'!#ref!,"AAAAAGvtz/8=")</f>
        <v>#VALUE!</v>
      </c>
    </row>
    <row r="9" customFormat="false" ht="12.75" hidden="false" customHeight="false" outlineLevel="0" collapsed="false">
      <c r="A9" s="22" t="e">
        <f aca="false">AND('current index'!#ref!,"AAAAABf99wA=")</f>
        <v>#VALUE!</v>
      </c>
      <c r="B9" s="22" t="e">
        <f aca="false">AND('current index'!#ref!,"AAAAABf99wE=")</f>
        <v>#VALUE!</v>
      </c>
      <c r="C9" s="22" t="e">
        <f aca="false">AND('current index'!#ref!,"AAAAABf99wI=")</f>
        <v>#VALUE!</v>
      </c>
      <c r="D9" s="22" t="e">
        <f aca="false">AND('current index'!#ref!,"AAAAABf99wM=")</f>
        <v>#VALUE!</v>
      </c>
      <c r="E9" s="22" t="e">
        <f aca="false">AND('current index'!#ref!,"AAAAABf99wQ=")</f>
        <v>#VALUE!</v>
      </c>
      <c r="F9" s="22" t="e">
        <f aca="false">AND('current index'!#ref!,"AAAAABf99wU=")</f>
        <v>#VALUE!</v>
      </c>
      <c r="G9" s="22" t="e">
        <f aca="false">AND('current index'!#ref!,"AAAAABf99wY=")</f>
        <v>#VALUE!</v>
      </c>
      <c r="H9" s="22" t="e">
        <f aca="false">AND('current index'!#ref!,"AAAAABf99wc=")</f>
        <v>#VALUE!</v>
      </c>
      <c r="I9" s="22" t="e">
        <f aca="false">AND('current index'!#ref!,"AAAAABf99wg=")</f>
        <v>#VALUE!</v>
      </c>
      <c r="J9" s="22" t="n">
        <f aca="false">IF('Current Index'!211:211,"AAAAABf99wk=",0)</f>
        <v>0</v>
      </c>
      <c r="K9" s="22" t="e">
        <f aca="false">AND('Current Index'!A211,"AAAAABf99wo=")</f>
        <v>#VALUE!</v>
      </c>
      <c r="L9" s="22" t="e">
        <f aca="false">AND('current index'!#ref!,"AAAAABf99ws=")</f>
        <v>#VALUE!</v>
      </c>
      <c r="M9" s="22" t="e">
        <f aca="false">AND('Current Index'!B211,"AAAAABf99ww=")</f>
        <v>#VALUE!</v>
      </c>
      <c r="N9" s="22" t="e">
        <f aca="false">AND('Current Index'!C211,"AAAAABf99w0=")</f>
        <v>#VALUE!</v>
      </c>
      <c r="O9" s="22" t="e">
        <f aca="false">AND('Current Index'!D211,"AAAAABf99w4=")</f>
        <v>#VALUE!</v>
      </c>
      <c r="P9" s="22" t="e">
        <f aca="false">AND('Current Index'!E211,"AAAAABf99w8=")</f>
        <v>#VALUE!</v>
      </c>
      <c r="Q9" s="22" t="e">
        <f aca="false">AND('Current Index'!F211,"AAAAABf99xA=")</f>
        <v>#VALUE!</v>
      </c>
      <c r="R9" s="22" t="e">
        <f aca="false">AND('Current Index'!G211,"AAAAABf99xE=")</f>
        <v>#VALUE!</v>
      </c>
      <c r="S9" s="22" t="e">
        <f aca="false">AND('Current Index'!H211,"AAAAABf99xI=")</f>
        <v>#VALUE!</v>
      </c>
      <c r="T9" s="22" t="e">
        <f aca="false">AND('Current Index'!I211,"AAAAABf99xM=")</f>
        <v>#VALUE!</v>
      </c>
      <c r="U9" s="22" t="n">
        <f aca="false">IF('Current Index'!212:212,"AAAAABf99xQ=",0)</f>
        <v>0</v>
      </c>
      <c r="V9" s="22" t="e">
        <f aca="false">AND('Current Index'!A212,"AAAAABf99xU=")</f>
        <v>#VALUE!</v>
      </c>
      <c r="W9" s="22" t="e">
        <f aca="false">AND('current index'!#ref!,"AAAAABf99xY=")</f>
        <v>#VALUE!</v>
      </c>
      <c r="X9" s="22" t="e">
        <f aca="false">AND('Current Index'!B212,"AAAAABf99xc=")</f>
        <v>#VALUE!</v>
      </c>
      <c r="Y9" s="22" t="e">
        <f aca="false">AND('Current Index'!C212,"AAAAABf99xg=")</f>
        <v>#VALUE!</v>
      </c>
      <c r="Z9" s="22" t="e">
        <f aca="false">AND('Current Index'!D212,"AAAAABf99xk=")</f>
        <v>#VALUE!</v>
      </c>
      <c r="AA9" s="22" t="e">
        <f aca="false">AND('Current Index'!E212,"AAAAABf99xo=")</f>
        <v>#VALUE!</v>
      </c>
      <c r="AB9" s="22" t="e">
        <f aca="false">AND('Current Index'!F212,"AAAAABf99xs=")</f>
        <v>#VALUE!</v>
      </c>
      <c r="AC9" s="22" t="e">
        <f aca="false">AND('Current Index'!G212,"AAAAABf99xw=")</f>
        <v>#VALUE!</v>
      </c>
      <c r="AD9" s="22" t="e">
        <f aca="false">AND('Current Index'!H212,"AAAAABf99x0=")</f>
        <v>#VALUE!</v>
      </c>
      <c r="AE9" s="22" t="e">
        <f aca="false">AND('Current Index'!I212,"AAAAABf99x4=")</f>
        <v>#VALUE!</v>
      </c>
      <c r="AF9" s="22" t="n">
        <f aca="false">IF('Current Index'!214:214,"AAAAABf99x8=",0)</f>
        <v>0</v>
      </c>
      <c r="AG9" s="22" t="e">
        <f aca="false">AND('Current Index'!A214,"AAAAABf99yA=")</f>
        <v>#VALUE!</v>
      </c>
      <c r="AH9" s="22" t="e">
        <f aca="false">AND('current index'!#ref!,"AAAAABf99yE=")</f>
        <v>#VALUE!</v>
      </c>
      <c r="AI9" s="22" t="e">
        <f aca="false">AND('Current Index'!B214,"AAAAABf99yI=")</f>
        <v>#VALUE!</v>
      </c>
      <c r="AJ9" s="22" t="e">
        <f aca="false">AND('Current Index'!C214,"AAAAABf99yM=")</f>
        <v>#VALUE!</v>
      </c>
      <c r="AK9" s="22" t="e">
        <f aca="false">AND('Current Index'!D214,"AAAAABf99yQ=")</f>
        <v>#VALUE!</v>
      </c>
      <c r="AL9" s="22" t="e">
        <f aca="false">AND('Current Index'!E214,"AAAAABf99yU=")</f>
        <v>#VALUE!</v>
      </c>
      <c r="AM9" s="22" t="e">
        <f aca="false">AND('Current Index'!F214,"AAAAABf99yY=")</f>
        <v>#VALUE!</v>
      </c>
      <c r="AN9" s="22" t="e">
        <f aca="false">AND('Current Index'!G214,"AAAAABf99yc=")</f>
        <v>#VALUE!</v>
      </c>
      <c r="AO9" s="22" t="e">
        <f aca="false">AND('Current Index'!H214,"AAAAABf99yg=")</f>
        <v>#VALUE!</v>
      </c>
      <c r="AP9" s="22" t="e">
        <f aca="false">AND('Current Index'!I214,"AAAAABf99yk=")</f>
        <v>#VALUE!</v>
      </c>
      <c r="AQ9" s="22" t="n">
        <f aca="false">IF('Current Index'!215:215,"AAAAABf99yo=",0)</f>
        <v>0</v>
      </c>
      <c r="AR9" s="22" t="e">
        <f aca="false">AND('Current Index'!A215,"AAAAABf99ys=")</f>
        <v>#VALUE!</v>
      </c>
      <c r="AS9" s="22" t="e">
        <f aca="false">AND('current index'!#ref!,"AAAAABf99yw=")</f>
        <v>#VALUE!</v>
      </c>
      <c r="AT9" s="22" t="e">
        <f aca="false">AND('Current Index'!B215,"AAAAABf99y0=")</f>
        <v>#VALUE!</v>
      </c>
      <c r="AU9" s="22" t="e">
        <f aca="false">AND('Current Index'!C215,"AAAAABf99y4=")</f>
        <v>#VALUE!</v>
      </c>
      <c r="AV9" s="22" t="e">
        <f aca="false">AND('Current Index'!D215,"AAAAABf99y8=")</f>
        <v>#VALUE!</v>
      </c>
      <c r="AW9" s="22" t="e">
        <f aca="false">AND('Current Index'!E215,"AAAAABf99zA=")</f>
        <v>#VALUE!</v>
      </c>
      <c r="AX9" s="22" t="e">
        <f aca="false">AND('Current Index'!F215,"AAAAABf99zE=")</f>
        <v>#VALUE!</v>
      </c>
      <c r="AY9" s="22" t="e">
        <f aca="false">AND('Current Index'!G215,"AAAAABf99zI=")</f>
        <v>#VALUE!</v>
      </c>
      <c r="AZ9" s="22" t="e">
        <f aca="false">AND('Current Index'!H215,"AAAAABf99zM=")</f>
        <v>#VALUE!</v>
      </c>
      <c r="BA9" s="22" t="e">
        <f aca="false">AND('Current Index'!I215,"AAAAABf99zQ=")</f>
        <v>#VALUE!</v>
      </c>
      <c r="BB9" s="22" t="n">
        <f aca="false">IF('Current Index'!217:217,"AAAAABf99zU=",0)</f>
        <v>0</v>
      </c>
      <c r="BC9" s="22" t="e">
        <f aca="false">AND('Current Index'!A217,"AAAAABf99zY=")</f>
        <v>#VALUE!</v>
      </c>
      <c r="BD9" s="22" t="e">
        <f aca="false">AND('current index'!#ref!,"AAAAABf99zc=")</f>
        <v>#VALUE!</v>
      </c>
      <c r="BE9" s="22" t="e">
        <f aca="false">AND('Current Index'!B217,"AAAAABf99zg=")</f>
        <v>#VALUE!</v>
      </c>
      <c r="BF9" s="22" t="e">
        <f aca="false">AND('Current Index'!C217,"AAAAABf99zk=")</f>
        <v>#VALUE!</v>
      </c>
      <c r="BG9" s="22" t="e">
        <f aca="false">AND('Current Index'!D217,"AAAAABf99zo=")</f>
        <v>#VALUE!</v>
      </c>
      <c r="BH9" s="22" t="e">
        <f aca="false">AND('Current Index'!E217,"AAAAABf99zs=")</f>
        <v>#VALUE!</v>
      </c>
      <c r="BI9" s="22" t="e">
        <f aca="false">AND('Current Index'!F217,"AAAAABf99zw=")</f>
        <v>#VALUE!</v>
      </c>
      <c r="BJ9" s="22" t="e">
        <f aca="false">AND('Current Index'!G217,"AAAAABf99z0=")</f>
        <v>#VALUE!</v>
      </c>
      <c r="BK9" s="22" t="e">
        <f aca="false">AND('Current Index'!H217,"AAAAABf99z4=")</f>
        <v>#VALUE!</v>
      </c>
      <c r="BL9" s="22" t="e">
        <f aca="false">AND('Current Index'!I217,"AAAAABf99z8=")</f>
        <v>#VALUE!</v>
      </c>
      <c r="BM9" s="22" t="n">
        <f aca="false">IF('Current Index'!218:218,"AAAAABf990A=",0)</f>
        <v>0</v>
      </c>
      <c r="BN9" s="22" t="e">
        <f aca="false">AND('Current Index'!A218,"AAAAABf990E=")</f>
        <v>#VALUE!</v>
      </c>
      <c r="BO9" s="22" t="e">
        <f aca="false">AND('current index'!#ref!,"AAAAABf990I=")</f>
        <v>#VALUE!</v>
      </c>
      <c r="BP9" s="22" t="e">
        <f aca="false">AND('Current Index'!B218,"AAAAABf990M=")</f>
        <v>#VALUE!</v>
      </c>
      <c r="BQ9" s="22" t="e">
        <f aca="false">AND('Current Index'!C218,"AAAAABf990Q=")</f>
        <v>#VALUE!</v>
      </c>
      <c r="BR9" s="22" t="e">
        <f aca="false">AND('Current Index'!D218,"AAAAABf990U=")</f>
        <v>#VALUE!</v>
      </c>
      <c r="BS9" s="22" t="e">
        <f aca="false">AND('Current Index'!E218,"AAAAABf990Y=")</f>
        <v>#VALUE!</v>
      </c>
      <c r="BT9" s="22" t="e">
        <f aca="false">AND('Current Index'!F218,"AAAAABf990c=")</f>
        <v>#VALUE!</v>
      </c>
      <c r="BU9" s="22" t="e">
        <f aca="false">AND('Current Index'!G218,"AAAAABf990g=")</f>
        <v>#VALUE!</v>
      </c>
      <c r="BV9" s="22" t="e">
        <f aca="false">AND('Current Index'!H218,"AAAAABf990k=")</f>
        <v>#VALUE!</v>
      </c>
      <c r="BW9" s="22" t="e">
        <f aca="false">AND('Current Index'!I218,"AAAAABf990o=")</f>
        <v>#VALUE!</v>
      </c>
      <c r="BX9" s="22" t="n">
        <f aca="false">IF('Current Index'!219:219,"AAAAABf990s=",0)</f>
        <v>0</v>
      </c>
      <c r="BY9" s="22" t="e">
        <f aca="false">AND('Current Index'!A219,"AAAAABf990w=")</f>
        <v>#VALUE!</v>
      </c>
      <c r="BZ9" s="22" t="e">
        <f aca="false">AND('current index'!#ref!,"AAAAABf9900=")</f>
        <v>#VALUE!</v>
      </c>
      <c r="CA9" s="22" t="e">
        <f aca="false">AND('Current Index'!B219,"AAAAABf9904=")</f>
        <v>#VALUE!</v>
      </c>
      <c r="CB9" s="22" t="e">
        <f aca="false">AND('Current Index'!C219,"AAAAABf9908=")</f>
        <v>#VALUE!</v>
      </c>
      <c r="CC9" s="22" t="e">
        <f aca="false">AND('Current Index'!D219,"AAAAABf991A=")</f>
        <v>#VALUE!</v>
      </c>
      <c r="CD9" s="22" t="e">
        <f aca="false">AND('Current Index'!E219,"AAAAABf991E=")</f>
        <v>#VALUE!</v>
      </c>
      <c r="CE9" s="22" t="e">
        <f aca="false">AND('Current Index'!F219,"AAAAABf991I=")</f>
        <v>#VALUE!</v>
      </c>
      <c r="CF9" s="22" t="e">
        <f aca="false">AND('Current Index'!G219,"AAAAABf991M=")</f>
        <v>#VALUE!</v>
      </c>
      <c r="CG9" s="22" t="e">
        <f aca="false">AND('Current Index'!H219,"AAAAABf991Q=")</f>
        <v>#VALUE!</v>
      </c>
      <c r="CH9" s="22" t="e">
        <f aca="false">AND('Current Index'!I219,"AAAAABf991U=")</f>
        <v>#VALUE!</v>
      </c>
      <c r="CI9" s="22" t="n">
        <f aca="false">IF('Current Index'!220:220,"AAAAABf991Y=",0)</f>
        <v>0</v>
      </c>
      <c r="CJ9" s="22" t="e">
        <f aca="false">AND('Current Index'!A220,"AAAAABf991c=")</f>
        <v>#VALUE!</v>
      </c>
      <c r="CK9" s="22" t="e">
        <f aca="false">AND('current index'!#ref!,"AAAAABf991g=")</f>
        <v>#VALUE!</v>
      </c>
      <c r="CL9" s="22" t="e">
        <f aca="false">AND('Current Index'!B220,"AAAAABf991k=")</f>
        <v>#VALUE!</v>
      </c>
      <c r="CM9" s="22" t="e">
        <f aca="false">AND('Current Index'!C220,"AAAAABf991o=")</f>
        <v>#VALUE!</v>
      </c>
      <c r="CN9" s="22" t="e">
        <f aca="false">AND('Current Index'!D220,"AAAAABf991s=")</f>
        <v>#VALUE!</v>
      </c>
      <c r="CO9" s="22" t="e">
        <f aca="false">AND('Current Index'!E220,"AAAAABf991w=")</f>
        <v>#VALUE!</v>
      </c>
      <c r="CP9" s="22" t="e">
        <f aca="false">AND('Current Index'!F220,"AAAAABf9910=")</f>
        <v>#VALUE!</v>
      </c>
      <c r="CQ9" s="22" t="e">
        <f aca="false">AND('Current Index'!G220,"AAAAABf9914=")</f>
        <v>#VALUE!</v>
      </c>
      <c r="CR9" s="22" t="e">
        <f aca="false">AND('Current Index'!H220,"AAAAABf9918=")</f>
        <v>#VALUE!</v>
      </c>
      <c r="CS9" s="22" t="e">
        <f aca="false">AND('Current Index'!I220,"AAAAABf992A=")</f>
        <v>#VALUE!</v>
      </c>
      <c r="CT9" s="22" t="n">
        <f aca="false">IF('Current Index'!221:221,"AAAAABf992E=",0)</f>
        <v>0</v>
      </c>
      <c r="CU9" s="22" t="e">
        <f aca="false">AND('Current Index'!A221,"AAAAABf992I=")</f>
        <v>#VALUE!</v>
      </c>
      <c r="CV9" s="22" t="e">
        <f aca="false">AND('current index'!#ref!,"AAAAABf992M=")</f>
        <v>#VALUE!</v>
      </c>
      <c r="CW9" s="22" t="e">
        <f aca="false">AND('Current Index'!B221,"AAAAABf992Q=")</f>
        <v>#VALUE!</v>
      </c>
      <c r="CX9" s="22" t="e">
        <f aca="false">AND('Current Index'!C221,"AAAAABf992U=")</f>
        <v>#VALUE!</v>
      </c>
      <c r="CY9" s="22" t="e">
        <f aca="false">AND('Current Index'!D221,"AAAAABf992Y=")</f>
        <v>#VALUE!</v>
      </c>
      <c r="CZ9" s="22" t="e">
        <f aca="false">AND('Current Index'!E221,"AAAAABf992c=")</f>
        <v>#VALUE!</v>
      </c>
      <c r="DA9" s="22" t="e">
        <f aca="false">AND('Current Index'!F221,"AAAAABf992g=")</f>
        <v>#VALUE!</v>
      </c>
      <c r="DB9" s="22" t="e">
        <f aca="false">AND('Current Index'!G221,"AAAAABf992k=")</f>
        <v>#VALUE!</v>
      </c>
      <c r="DC9" s="22" t="e">
        <f aca="false">AND('Current Index'!H221,"AAAAABf992o=")</f>
        <v>#VALUE!</v>
      </c>
      <c r="DD9" s="22" t="e">
        <f aca="false">AND('Current Index'!I221,"AAAAABf992s=")</f>
        <v>#VALUE!</v>
      </c>
      <c r="DE9" s="22" t="n">
        <f aca="false">IF('Current Index'!222:222,"AAAAABf992w=",0)</f>
        <v>0</v>
      </c>
      <c r="DF9" s="22" t="e">
        <f aca="false">AND('Current Index'!A222,"AAAAABf9920=")</f>
        <v>#VALUE!</v>
      </c>
      <c r="DG9" s="22" t="e">
        <f aca="false">AND('current index'!#ref!,"AAAAABf9924=")</f>
        <v>#VALUE!</v>
      </c>
      <c r="DH9" s="22" t="e">
        <f aca="false">AND('Current Index'!B222,"AAAAABf9928=")</f>
        <v>#VALUE!</v>
      </c>
      <c r="DI9" s="22" t="e">
        <f aca="false">AND('Current Index'!C222,"AAAAABf993A=")</f>
        <v>#VALUE!</v>
      </c>
      <c r="DJ9" s="22" t="e">
        <f aca="false">AND('Current Index'!D222,"AAAAABf993E=")</f>
        <v>#VALUE!</v>
      </c>
      <c r="DK9" s="22" t="e">
        <f aca="false">AND('Current Index'!E222,"AAAAABf993I=")</f>
        <v>#VALUE!</v>
      </c>
      <c r="DL9" s="22" t="e">
        <f aca="false">AND('Current Index'!F222,"AAAAABf993M=")</f>
        <v>#VALUE!</v>
      </c>
      <c r="DM9" s="22" t="e">
        <f aca="false">AND('Current Index'!G222,"AAAAABf993Q=")</f>
        <v>#VALUE!</v>
      </c>
      <c r="DN9" s="22" t="e">
        <f aca="false">AND('Current Index'!H222,"AAAAABf993U=")</f>
        <v>#VALUE!</v>
      </c>
      <c r="DO9" s="22" t="e">
        <f aca="false">AND('Current Index'!I222,"AAAAABf993Y=")</f>
        <v>#VALUE!</v>
      </c>
      <c r="DP9" s="22" t="n">
        <f aca="false">IF('Current Index'!223:223,"AAAAABf993c=",0)</f>
        <v>0</v>
      </c>
      <c r="DQ9" s="22" t="e">
        <f aca="false">AND('Current Index'!A223,"AAAAABf993g=")</f>
        <v>#VALUE!</v>
      </c>
      <c r="DR9" s="22" t="e">
        <f aca="false">AND('current index'!#ref!,"AAAAABf993k=")</f>
        <v>#VALUE!</v>
      </c>
      <c r="DS9" s="22" t="e">
        <f aca="false">AND('Current Index'!B223,"AAAAABf993o=")</f>
        <v>#VALUE!</v>
      </c>
      <c r="DT9" s="22" t="e">
        <f aca="false">AND('Current Index'!C223,"AAAAABf993s=")</f>
        <v>#VALUE!</v>
      </c>
      <c r="DU9" s="22" t="e">
        <f aca="false">AND('Current Index'!D223,"AAAAABf993w=")</f>
        <v>#VALUE!</v>
      </c>
      <c r="DV9" s="22" t="e">
        <f aca="false">AND('Current Index'!E223,"AAAAABf9930=")</f>
        <v>#VALUE!</v>
      </c>
      <c r="DW9" s="22" t="e">
        <f aca="false">AND('Current Index'!F223,"AAAAABf9934=")</f>
        <v>#VALUE!</v>
      </c>
      <c r="DX9" s="22" t="e">
        <f aca="false">AND('Current Index'!G223,"AAAAABf9938=")</f>
        <v>#VALUE!</v>
      </c>
      <c r="DY9" s="22" t="e">
        <f aca="false">AND('Current Index'!H223,"AAAAABf994A=")</f>
        <v>#VALUE!</v>
      </c>
      <c r="DZ9" s="22" t="e">
        <f aca="false">AND('Current Index'!I223,"AAAAABf994E=")</f>
        <v>#VALUE!</v>
      </c>
      <c r="EA9" s="22" t="n">
        <f aca="false">IF('Current Index'!224:224,"AAAAABf994I=",0)</f>
        <v>0</v>
      </c>
      <c r="EB9" s="22" t="e">
        <f aca="false">AND('Current Index'!A224,"AAAAABf994M=")</f>
        <v>#VALUE!</v>
      </c>
      <c r="EC9" s="22" t="e">
        <f aca="false">AND('current index'!#ref!,"AAAAABf994Q=")</f>
        <v>#VALUE!</v>
      </c>
      <c r="ED9" s="22" t="e">
        <f aca="false">AND('Current Index'!B224,"AAAAABf994U=")</f>
        <v>#VALUE!</v>
      </c>
      <c r="EE9" s="22" t="e">
        <f aca="false">AND('Current Index'!C224,"AAAAABf994Y=")</f>
        <v>#VALUE!</v>
      </c>
      <c r="EF9" s="22" t="e">
        <f aca="false">AND('Current Index'!D224,"AAAAABf994c=")</f>
        <v>#VALUE!</v>
      </c>
      <c r="EG9" s="22" t="e">
        <f aca="false">AND('Current Index'!E224,"AAAAABf994g=")</f>
        <v>#VALUE!</v>
      </c>
      <c r="EH9" s="22" t="e">
        <f aca="false">AND('Current Index'!F224,"AAAAABf994k=")</f>
        <v>#VALUE!</v>
      </c>
      <c r="EI9" s="22" t="e">
        <f aca="false">AND('Current Index'!G224,"AAAAABf994o=")</f>
        <v>#VALUE!</v>
      </c>
      <c r="EJ9" s="22" t="e">
        <f aca="false">AND('Current Index'!H224,"AAAAABf994s=")</f>
        <v>#VALUE!</v>
      </c>
      <c r="EK9" s="22" t="e">
        <f aca="false">AND('Current Index'!I224,"AAAAABf994w=")</f>
        <v>#VALUE!</v>
      </c>
      <c r="EL9" s="22" t="n">
        <f aca="false">IF('Current Index'!225:225,"AAAAABf9940=",0)</f>
        <v>0</v>
      </c>
      <c r="EM9" s="22" t="e">
        <f aca="false">AND('Current Index'!A225,"AAAAABf9944=")</f>
        <v>#VALUE!</v>
      </c>
      <c r="EN9" s="22" t="e">
        <f aca="false">AND('current index'!#ref!,"AAAAABf9948=")</f>
        <v>#VALUE!</v>
      </c>
      <c r="EO9" s="22" t="e">
        <f aca="false">AND('Current Index'!B225,"AAAAABf995A=")</f>
        <v>#VALUE!</v>
      </c>
      <c r="EP9" s="22" t="e">
        <f aca="false">AND('Current Index'!C225,"AAAAABf995E=")</f>
        <v>#VALUE!</v>
      </c>
      <c r="EQ9" s="22" t="e">
        <f aca="false">AND('Current Index'!D225,"AAAAABf995I=")</f>
        <v>#VALUE!</v>
      </c>
      <c r="ER9" s="22" t="e">
        <f aca="false">AND('Current Index'!E225,"AAAAABf995M=")</f>
        <v>#VALUE!</v>
      </c>
      <c r="ES9" s="22" t="e">
        <f aca="false">AND('Current Index'!F225,"AAAAABf995Q=")</f>
        <v>#VALUE!</v>
      </c>
      <c r="ET9" s="22" t="e">
        <f aca="false">AND('Current Index'!G225,"AAAAABf995U=")</f>
        <v>#VALUE!</v>
      </c>
      <c r="EU9" s="22" t="e">
        <f aca="false">AND('Current Index'!H225,"AAAAABf995Y=")</f>
        <v>#VALUE!</v>
      </c>
      <c r="EV9" s="22" t="e">
        <f aca="false">AND('Current Index'!I225,"AAAAABf995c=")</f>
        <v>#VALUE!</v>
      </c>
      <c r="EW9" s="22" t="e">
        <f aca="false">IF('current index'!#ref!,"AAAAABf995g=",0)</f>
        <v>#VALUE!</v>
      </c>
      <c r="EX9" s="22" t="e">
        <f aca="false">AND('current index'!#ref!,"AAAAABf995k=")</f>
        <v>#VALUE!</v>
      </c>
      <c r="EY9" s="22" t="e">
        <f aca="false">AND('current index'!#ref!,"AAAAABf995o=")</f>
        <v>#VALUE!</v>
      </c>
      <c r="EZ9" s="22" t="e">
        <f aca="false">AND('current index'!#ref!,"AAAAABf995s=")</f>
        <v>#VALUE!</v>
      </c>
      <c r="FA9" s="22" t="e">
        <f aca="false">AND('current index'!#ref!,"AAAAABf995w=")</f>
        <v>#VALUE!</v>
      </c>
      <c r="FB9" s="22" t="e">
        <f aca="false">AND('current index'!#ref!,"AAAAABf9950=")</f>
        <v>#VALUE!</v>
      </c>
      <c r="FC9" s="22" t="e">
        <f aca="false">AND('current index'!#ref!,"AAAAABf9954=")</f>
        <v>#VALUE!</v>
      </c>
      <c r="FD9" s="22" t="e">
        <f aca="false">AND('current index'!#ref!,"AAAAABf9958=")</f>
        <v>#VALUE!</v>
      </c>
      <c r="FE9" s="22" t="e">
        <f aca="false">AND('current index'!#ref!,"AAAAABf996A=")</f>
        <v>#VALUE!</v>
      </c>
      <c r="FF9" s="22" t="e">
        <f aca="false">AND('current index'!#ref!,"AAAAABf996E=")</f>
        <v>#VALUE!</v>
      </c>
      <c r="FG9" s="22" t="e">
        <f aca="false">AND('current index'!#ref!,"AAAAABf996I=")</f>
        <v>#VALUE!</v>
      </c>
      <c r="FH9" s="22" t="n">
        <f aca="false">IF('Current Index'!226:226,"AAAAABf996M=",0)</f>
        <v>0</v>
      </c>
      <c r="FI9" s="22" t="e">
        <f aca="false">AND('Current Index'!A226,"AAAAABf996Q=")</f>
        <v>#VALUE!</v>
      </c>
      <c r="FJ9" s="22" t="e">
        <f aca="false">AND('current index'!#ref!,"AAAAABf996U=")</f>
        <v>#VALUE!</v>
      </c>
      <c r="FK9" s="22" t="e">
        <f aca="false">AND('Current Index'!B226,"AAAAABf996Y=")</f>
        <v>#VALUE!</v>
      </c>
      <c r="FL9" s="22" t="e">
        <f aca="false">AND('Current Index'!C226,"AAAAABf996c=")</f>
        <v>#VALUE!</v>
      </c>
      <c r="FM9" s="22" t="e">
        <f aca="false">AND('Current Index'!D226,"AAAAABf996g=")</f>
        <v>#VALUE!</v>
      </c>
      <c r="FN9" s="22" t="e">
        <f aca="false">AND('Current Index'!E226,"AAAAABf996k=")</f>
        <v>#VALUE!</v>
      </c>
      <c r="FO9" s="22" t="e">
        <f aca="false">AND('Current Index'!F226,"AAAAABf996o=")</f>
        <v>#VALUE!</v>
      </c>
      <c r="FP9" s="22" t="e">
        <f aca="false">AND('Current Index'!G226,"AAAAABf996s=")</f>
        <v>#VALUE!</v>
      </c>
      <c r="FQ9" s="22" t="e">
        <f aca="false">AND('Current Index'!H226,"AAAAABf996w=")</f>
        <v>#VALUE!</v>
      </c>
      <c r="FR9" s="22" t="e">
        <f aca="false">AND('Current Index'!I226,"AAAAABf9960=")</f>
        <v>#VALUE!</v>
      </c>
      <c r="FS9" s="22" t="n">
        <f aca="false">IF('Current Index'!227:227,"AAAAABf9964=",0)</f>
        <v>0</v>
      </c>
      <c r="FT9" s="22" t="e">
        <f aca="false">AND('Current Index'!A227,"AAAAABf9968=")</f>
        <v>#VALUE!</v>
      </c>
      <c r="FU9" s="22" t="e">
        <f aca="false">AND('current index'!#ref!,"AAAAABf997A=")</f>
        <v>#VALUE!</v>
      </c>
      <c r="FV9" s="22" t="e">
        <f aca="false">AND('Current Index'!B227,"AAAAABf997E=")</f>
        <v>#VALUE!</v>
      </c>
      <c r="FW9" s="22" t="e">
        <f aca="false">AND('Current Index'!C227,"AAAAABf997I=")</f>
        <v>#VALUE!</v>
      </c>
      <c r="FX9" s="22" t="e">
        <f aca="false">AND('Current Index'!D227,"AAAAABf997M=")</f>
        <v>#VALUE!</v>
      </c>
      <c r="FY9" s="22" t="e">
        <f aca="false">AND('Current Index'!E227,"AAAAABf997Q=")</f>
        <v>#VALUE!</v>
      </c>
      <c r="FZ9" s="22" t="e">
        <f aca="false">AND('Current Index'!F227,"AAAAABf997U=")</f>
        <v>#VALUE!</v>
      </c>
      <c r="GA9" s="22" t="e">
        <f aca="false">AND('Current Index'!G227,"AAAAABf997Y=")</f>
        <v>#VALUE!</v>
      </c>
      <c r="GB9" s="22" t="e">
        <f aca="false">AND('Current Index'!H227,"AAAAABf997c=")</f>
        <v>#VALUE!</v>
      </c>
      <c r="GC9" s="22" t="e">
        <f aca="false">AND('Current Index'!I227,"AAAAABf997g=")</f>
        <v>#VALUE!</v>
      </c>
      <c r="GD9" s="22" t="n">
        <f aca="false">IF('Current Index'!228:228,"AAAAABf997k=",0)</f>
        <v>0</v>
      </c>
      <c r="GE9" s="22" t="e">
        <f aca="false">AND('Current Index'!A228,"AAAAABf997o=")</f>
        <v>#VALUE!</v>
      </c>
      <c r="GF9" s="22" t="e">
        <f aca="false">AND('current index'!#ref!,"AAAAABf997s=")</f>
        <v>#VALUE!</v>
      </c>
      <c r="GG9" s="22" t="e">
        <f aca="false">AND('Current Index'!B228,"AAAAABf997w=")</f>
        <v>#VALUE!</v>
      </c>
      <c r="GH9" s="22" t="e">
        <f aca="false">AND('Current Index'!C228,"AAAAABf9970=")</f>
        <v>#VALUE!</v>
      </c>
      <c r="GI9" s="22" t="e">
        <f aca="false">AND('Current Index'!D228,"AAAAABf9974=")</f>
        <v>#VALUE!</v>
      </c>
      <c r="GJ9" s="22" t="e">
        <f aca="false">AND('Current Index'!E228,"AAAAABf9978=")</f>
        <v>#VALUE!</v>
      </c>
      <c r="GK9" s="22" t="e">
        <f aca="false">AND('Current Index'!F228,"AAAAABf998A=")</f>
        <v>#VALUE!</v>
      </c>
      <c r="GL9" s="22" t="e">
        <f aca="false">AND('Current Index'!G228,"AAAAABf998E=")</f>
        <v>#VALUE!</v>
      </c>
      <c r="GM9" s="22" t="e">
        <f aca="false">AND('Current Index'!H228,"AAAAABf998I=")</f>
        <v>#VALUE!</v>
      </c>
      <c r="GN9" s="22" t="e">
        <f aca="false">AND('Current Index'!I228,"AAAAABf998M=")</f>
        <v>#VALUE!</v>
      </c>
      <c r="GO9" s="22" t="e">
        <f aca="false">IF('current index'!#ref!,"AAAAABf998Q=",0)</f>
        <v>#VALUE!</v>
      </c>
      <c r="GP9" s="22" t="e">
        <f aca="false">AND('current index'!#ref!,"AAAAABf998U=")</f>
        <v>#VALUE!</v>
      </c>
      <c r="GQ9" s="22" t="e">
        <f aca="false">AND('current index'!#ref!,"AAAAABf998Y=")</f>
        <v>#VALUE!</v>
      </c>
      <c r="GR9" s="22" t="e">
        <f aca="false">AND('current index'!#ref!,"AAAAABf998c=")</f>
        <v>#VALUE!</v>
      </c>
      <c r="GS9" s="22" t="e">
        <f aca="false">AND('current index'!#ref!,"AAAAABf998g=")</f>
        <v>#VALUE!</v>
      </c>
      <c r="GT9" s="22" t="e">
        <f aca="false">AND('current index'!#ref!,"AAAAABf998k=")</f>
        <v>#VALUE!</v>
      </c>
      <c r="GU9" s="22" t="e">
        <f aca="false">AND('current index'!#ref!,"AAAAABf998o=")</f>
        <v>#VALUE!</v>
      </c>
      <c r="GV9" s="22" t="e">
        <f aca="false">AND('current index'!#ref!,"AAAAABf998s=")</f>
        <v>#VALUE!</v>
      </c>
      <c r="GW9" s="22" t="e">
        <f aca="false">AND('current index'!#ref!,"AAAAABf998w=")</f>
        <v>#VALUE!</v>
      </c>
      <c r="GX9" s="22" t="e">
        <f aca="false">AND('current index'!#ref!,"AAAAABf9980=")</f>
        <v>#VALUE!</v>
      </c>
      <c r="GY9" s="22" t="e">
        <f aca="false">AND('current index'!#ref!,"AAAAABf9984=")</f>
        <v>#VALUE!</v>
      </c>
      <c r="GZ9" s="22" t="n">
        <f aca="false">IF('Current Index'!229:229,"AAAAABf9988=",0)</f>
        <v>0</v>
      </c>
      <c r="HA9" s="22" t="e">
        <f aca="false">AND('Current Index'!A229,"AAAAABf999A=")</f>
        <v>#VALUE!</v>
      </c>
      <c r="HB9" s="22" t="e">
        <f aca="false">AND('current index'!#ref!,"AAAAABf999E=")</f>
        <v>#VALUE!</v>
      </c>
      <c r="HC9" s="22" t="e">
        <f aca="false">AND('Current Index'!B229,"AAAAABf999I=")</f>
        <v>#VALUE!</v>
      </c>
      <c r="HD9" s="22" t="e">
        <f aca="false">AND('Current Index'!C229,"AAAAABf999M=")</f>
        <v>#VALUE!</v>
      </c>
      <c r="HE9" s="22" t="e">
        <f aca="false">AND('Current Index'!D229,"AAAAABf999Q=")</f>
        <v>#VALUE!</v>
      </c>
      <c r="HF9" s="22" t="e">
        <f aca="false">AND('Current Index'!E229,"AAAAABf999U=")</f>
        <v>#VALUE!</v>
      </c>
      <c r="HG9" s="22" t="e">
        <f aca="false">AND('Current Index'!F229,"AAAAABf999Y=")</f>
        <v>#VALUE!</v>
      </c>
      <c r="HH9" s="22" t="e">
        <f aca="false">AND('Current Index'!G229,"AAAAABf999c=")</f>
        <v>#VALUE!</v>
      </c>
      <c r="HI9" s="22" t="e">
        <f aca="false">AND('Current Index'!H229,"AAAAABf999g=")</f>
        <v>#VALUE!</v>
      </c>
      <c r="HJ9" s="22" t="e">
        <f aca="false">AND('Current Index'!I229,"AAAAABf999k=")</f>
        <v>#VALUE!</v>
      </c>
      <c r="HK9" s="22" t="n">
        <f aca="false">IF('Current Index'!230:230,"AAAAABf999o=",0)</f>
        <v>0</v>
      </c>
      <c r="HL9" s="22" t="e">
        <f aca="false">AND('Current Index'!A230,"AAAAABf999s=")</f>
        <v>#VALUE!</v>
      </c>
      <c r="HM9" s="22" t="e">
        <f aca="false">AND('current index'!#ref!,"AAAAABf999w=")</f>
        <v>#VALUE!</v>
      </c>
      <c r="HN9" s="22" t="e">
        <f aca="false">AND('Current Index'!B230,"AAAAABf9990=")</f>
        <v>#VALUE!</v>
      </c>
      <c r="HO9" s="22" t="e">
        <f aca="false">AND('Current Index'!C230,"AAAAABf9994=")</f>
        <v>#VALUE!</v>
      </c>
      <c r="HP9" s="22" t="e">
        <f aca="false">AND('Current Index'!D230,"AAAAABf9998=")</f>
        <v>#VALUE!</v>
      </c>
      <c r="HQ9" s="22" t="e">
        <f aca="false">AND('Current Index'!E230,"AAAAABf99+A=")</f>
        <v>#VALUE!</v>
      </c>
      <c r="HR9" s="22" t="e">
        <f aca="false">AND('Current Index'!F230,"AAAAABf99+E=")</f>
        <v>#VALUE!</v>
      </c>
      <c r="HS9" s="22" t="e">
        <f aca="false">AND('Current Index'!G230,"AAAAABf99+I=")</f>
        <v>#VALUE!</v>
      </c>
      <c r="HT9" s="22" t="e">
        <f aca="false">AND('Current Index'!H230,"AAAAABf99+M=")</f>
        <v>#VALUE!</v>
      </c>
      <c r="HU9" s="22" t="e">
        <f aca="false">AND('Current Index'!I230,"AAAAABf99+Q=")</f>
        <v>#VALUE!</v>
      </c>
      <c r="HV9" s="22" t="e">
        <f aca="false">IF('current index'!#ref!,"AAAAABf99+U=",0)</f>
        <v>#VALUE!</v>
      </c>
      <c r="HW9" s="22" t="e">
        <f aca="false">AND('current index'!#ref!,"AAAAABf99+Y=")</f>
        <v>#VALUE!</v>
      </c>
      <c r="HX9" s="22" t="e">
        <f aca="false">AND('current index'!#ref!,"AAAAABf99+c=")</f>
        <v>#VALUE!</v>
      </c>
      <c r="HY9" s="22" t="e">
        <f aca="false">AND('current index'!#ref!,"AAAAABf99+g=")</f>
        <v>#VALUE!</v>
      </c>
      <c r="HZ9" s="22" t="e">
        <f aca="false">AND('current index'!#ref!,"AAAAABf99+k=")</f>
        <v>#VALUE!</v>
      </c>
      <c r="IA9" s="22" t="e">
        <f aca="false">AND('current index'!#ref!,"AAAAABf99+o=")</f>
        <v>#VALUE!</v>
      </c>
      <c r="IB9" s="22" t="e">
        <f aca="false">AND('current index'!#ref!,"AAAAABf99+s=")</f>
        <v>#VALUE!</v>
      </c>
      <c r="IC9" s="22" t="e">
        <f aca="false">AND('current index'!#ref!,"AAAAABf99+w=")</f>
        <v>#VALUE!</v>
      </c>
      <c r="ID9" s="22" t="e">
        <f aca="false">AND('current index'!#ref!,"AAAAABf99+0=")</f>
        <v>#VALUE!</v>
      </c>
      <c r="IE9" s="22" t="e">
        <f aca="false">AND('current index'!#ref!,"AAAAABf99+4=")</f>
        <v>#VALUE!</v>
      </c>
      <c r="IF9" s="22" t="e">
        <f aca="false">AND('current index'!#ref!,"AAAAABf99+8=")</f>
        <v>#VALUE!</v>
      </c>
      <c r="IG9" s="22" t="n">
        <f aca="false">IF('Current Index'!231:231,"AAAAABf99/A=",0)</f>
        <v>0</v>
      </c>
      <c r="IH9" s="22" t="e">
        <f aca="false">AND('Current Index'!A231,"AAAAABf99/E=")</f>
        <v>#VALUE!</v>
      </c>
      <c r="II9" s="22" t="e">
        <f aca="false">AND('current index'!#ref!,"AAAAABf99/I=")</f>
        <v>#VALUE!</v>
      </c>
      <c r="IJ9" s="22" t="e">
        <f aca="false">AND('Current Index'!B231,"AAAAABf99/M=")</f>
        <v>#VALUE!</v>
      </c>
      <c r="IK9" s="22" t="e">
        <f aca="false">AND('Current Index'!C231,"AAAAABf99/Q=")</f>
        <v>#VALUE!</v>
      </c>
      <c r="IL9" s="22" t="e">
        <f aca="false">AND('Current Index'!D231,"AAAAABf99/U=")</f>
        <v>#VALUE!</v>
      </c>
      <c r="IM9" s="22" t="e">
        <f aca="false">AND('Current Index'!E231,"AAAAABf99/Y=")</f>
        <v>#VALUE!</v>
      </c>
      <c r="IN9" s="22" t="e">
        <f aca="false">AND('Current Index'!F231,"AAAAABf99/c=")</f>
        <v>#VALUE!</v>
      </c>
      <c r="IO9" s="22" t="e">
        <f aca="false">AND('Current Index'!G231,"AAAAABf99/g=")</f>
        <v>#VALUE!</v>
      </c>
      <c r="IP9" s="22" t="e">
        <f aca="false">AND('Current Index'!H231,"AAAAABf99/k=")</f>
        <v>#VALUE!</v>
      </c>
      <c r="IQ9" s="22" t="e">
        <f aca="false">AND('Current Index'!I231,"AAAAABf99/o=")</f>
        <v>#VALUE!</v>
      </c>
      <c r="IR9" s="22" t="n">
        <f aca="false">IF('Current Index'!232:232,"AAAAABf99/s=",0)</f>
        <v>0</v>
      </c>
      <c r="IS9" s="22" t="e">
        <f aca="false">AND('Current Index'!A232,"AAAAABf99/w=")</f>
        <v>#VALUE!</v>
      </c>
      <c r="IT9" s="22" t="e">
        <f aca="false">AND('current index'!#ref!,"AAAAABf99/0=")</f>
        <v>#VALUE!</v>
      </c>
      <c r="IU9" s="22" t="e">
        <f aca="false">AND('Current Index'!B232,"AAAAABf99/4=")</f>
        <v>#VALUE!</v>
      </c>
      <c r="IV9" s="22" t="e">
        <f aca="false">AND('Current Index'!C232,"AAAAABf99/8=")</f>
        <v>#VALUE!</v>
      </c>
    </row>
    <row r="10" customFormat="false" ht="12.75" hidden="false" customHeight="false" outlineLevel="0" collapsed="false">
      <c r="A10" s="22" t="e">
        <f aca="false">AND('Current Index'!D232,"AAAAAD/2mQA=")</f>
        <v>#VALUE!</v>
      </c>
      <c r="B10" s="22" t="e">
        <f aca="false">AND('Current Index'!E232,"AAAAAD/2mQE=")</f>
        <v>#VALUE!</v>
      </c>
      <c r="C10" s="22" t="e">
        <f aca="false">AND('Current Index'!F232,"AAAAAD/2mQI=")</f>
        <v>#VALUE!</v>
      </c>
      <c r="D10" s="22" t="e">
        <f aca="false">AND('Current Index'!G232,"AAAAAD/2mQM=")</f>
        <v>#VALUE!</v>
      </c>
      <c r="E10" s="22" t="e">
        <f aca="false">AND('Current Index'!H232,"AAAAAD/2mQQ=")</f>
        <v>#VALUE!</v>
      </c>
      <c r="F10" s="22" t="e">
        <f aca="false">AND('Current Index'!I232,"AAAAAD/2mQU=")</f>
        <v>#VALUE!</v>
      </c>
      <c r="G10" s="22" t="e">
        <f aca="false">IF('Current Index'!233:233,"AAAAAD/2mQY=",0)</f>
        <v>#VALUE!</v>
      </c>
      <c r="H10" s="22" t="e">
        <f aca="false">AND('Current Index'!A233,"AAAAAD/2mQc=")</f>
        <v>#VALUE!</v>
      </c>
      <c r="I10" s="22" t="e">
        <f aca="false">AND('current index'!#ref!,"AAAAAD/2mQg=")</f>
        <v>#VALUE!</v>
      </c>
      <c r="J10" s="22" t="e">
        <f aca="false">AND('Current Index'!B233,"AAAAAD/2mQk=")</f>
        <v>#VALUE!</v>
      </c>
      <c r="K10" s="22" t="e">
        <f aca="false">AND('Current Index'!C233,"AAAAAD/2mQo=")</f>
        <v>#VALUE!</v>
      </c>
      <c r="L10" s="22" t="e">
        <f aca="false">AND('Current Index'!D233,"AAAAAD/2mQs=")</f>
        <v>#VALUE!</v>
      </c>
      <c r="M10" s="22" t="e">
        <f aca="false">AND('Current Index'!E233,"AAAAAD/2mQw=")</f>
        <v>#VALUE!</v>
      </c>
      <c r="N10" s="22" t="e">
        <f aca="false">AND('Current Index'!F233,"AAAAAD/2mQ0=")</f>
        <v>#VALUE!</v>
      </c>
      <c r="O10" s="22" t="e">
        <f aca="false">AND('Current Index'!G233,"AAAAAD/2mQ4=")</f>
        <v>#VALUE!</v>
      </c>
      <c r="P10" s="22" t="e">
        <f aca="false">AND('Current Index'!H233,"AAAAAD/2mQ8=")</f>
        <v>#VALUE!</v>
      </c>
      <c r="Q10" s="22" t="e">
        <f aca="false">AND('Current Index'!I233,"AAAAAD/2mRA=")</f>
        <v>#VALUE!</v>
      </c>
      <c r="R10" s="22" t="n">
        <f aca="false">IF('Current Index'!234:234,"AAAAAD/2mRE=",0)</f>
        <v>0</v>
      </c>
      <c r="S10" s="22" t="e">
        <f aca="false">AND('Current Index'!A234,"AAAAAD/2mRI=")</f>
        <v>#VALUE!</v>
      </c>
      <c r="T10" s="22" t="e">
        <f aca="false">AND('current index'!#ref!,"AAAAAD/2mRM=")</f>
        <v>#VALUE!</v>
      </c>
      <c r="U10" s="22" t="e">
        <f aca="false">AND('Current Index'!B234,"AAAAAD/2mRQ=")</f>
        <v>#VALUE!</v>
      </c>
      <c r="V10" s="22" t="e">
        <f aca="false">AND('Current Index'!C234,"AAAAAD/2mRU=")</f>
        <v>#VALUE!</v>
      </c>
      <c r="W10" s="22" t="e">
        <f aca="false">AND('Current Index'!D234,"AAAAAD/2mRY=")</f>
        <v>#VALUE!</v>
      </c>
      <c r="X10" s="22" t="e">
        <f aca="false">AND('Current Index'!E234,"AAAAAD/2mRc=")</f>
        <v>#VALUE!</v>
      </c>
      <c r="Y10" s="22" t="e">
        <f aca="false">AND('Current Index'!F234,"AAAAAD/2mRg=")</f>
        <v>#VALUE!</v>
      </c>
      <c r="Z10" s="22" t="e">
        <f aca="false">AND('Current Index'!G234,"AAAAAD/2mRk=")</f>
        <v>#VALUE!</v>
      </c>
      <c r="AA10" s="22" t="e">
        <f aca="false">AND('Current Index'!H234,"AAAAAD/2mRo=")</f>
        <v>#VALUE!</v>
      </c>
      <c r="AB10" s="22" t="e">
        <f aca="false">AND('Current Index'!I234,"AAAAAD/2mRs=")</f>
        <v>#VALUE!</v>
      </c>
      <c r="AC10" s="22" t="n">
        <f aca="false">IF('Current Index'!235:235,"AAAAAD/2mRw=",0)</f>
        <v>0</v>
      </c>
      <c r="AD10" s="22" t="e">
        <f aca="false">AND('Current Index'!A235,"AAAAAD/2mR0=")</f>
        <v>#VALUE!</v>
      </c>
      <c r="AE10" s="22" t="e">
        <f aca="false">AND('current index'!#ref!,"AAAAAD/2mR4=")</f>
        <v>#VALUE!</v>
      </c>
      <c r="AF10" s="22" t="e">
        <f aca="false">AND('Current Index'!B235,"AAAAAD/2mR8=")</f>
        <v>#VALUE!</v>
      </c>
      <c r="AG10" s="22" t="e">
        <f aca="false">AND('Current Index'!C235,"AAAAAD/2mSA=")</f>
        <v>#VALUE!</v>
      </c>
      <c r="AH10" s="22" t="e">
        <f aca="false">AND('Current Index'!D235,"AAAAAD/2mSE=")</f>
        <v>#VALUE!</v>
      </c>
      <c r="AI10" s="22" t="e">
        <f aca="false">AND('Current Index'!E235,"AAAAAD/2mSI=")</f>
        <v>#VALUE!</v>
      </c>
      <c r="AJ10" s="22" t="e">
        <f aca="false">AND('Current Index'!F235,"AAAAAD/2mSM=")</f>
        <v>#VALUE!</v>
      </c>
      <c r="AK10" s="22" t="e">
        <f aca="false">AND('Current Index'!G235,"AAAAAD/2mSQ=")</f>
        <v>#VALUE!</v>
      </c>
      <c r="AL10" s="22" t="e">
        <f aca="false">AND('Current Index'!H235,"AAAAAD/2mSU=")</f>
        <v>#VALUE!</v>
      </c>
      <c r="AM10" s="22" t="e">
        <f aca="false">AND('Current Index'!I235,"AAAAAD/2mSY=")</f>
        <v>#VALUE!</v>
      </c>
      <c r="AN10" s="22" t="n">
        <f aca="false">IF('Current Index'!236:236,"AAAAAD/2mSc=",0)</f>
        <v>0</v>
      </c>
      <c r="AO10" s="22" t="e">
        <f aca="false">AND('Current Index'!A236,"AAAAAD/2mSg=")</f>
        <v>#VALUE!</v>
      </c>
      <c r="AP10" s="22" t="e">
        <f aca="false">AND('current index'!#ref!,"AAAAAD/2mSk=")</f>
        <v>#VALUE!</v>
      </c>
      <c r="AQ10" s="22" t="e">
        <f aca="false">AND('Current Index'!B236,"AAAAAD/2mSo=")</f>
        <v>#VALUE!</v>
      </c>
      <c r="AR10" s="22" t="e">
        <f aca="false">AND('Current Index'!C236,"AAAAAD/2mSs=")</f>
        <v>#VALUE!</v>
      </c>
      <c r="AS10" s="22" t="e">
        <f aca="false">AND('Current Index'!D236,"AAAAAD/2mSw=")</f>
        <v>#VALUE!</v>
      </c>
      <c r="AT10" s="22" t="e">
        <f aca="false">AND('Current Index'!E236,"AAAAAD/2mS0=")</f>
        <v>#VALUE!</v>
      </c>
      <c r="AU10" s="22" t="e">
        <f aca="false">AND('Current Index'!F236,"AAAAAD/2mS4=")</f>
        <v>#VALUE!</v>
      </c>
      <c r="AV10" s="22" t="e">
        <f aca="false">AND('Current Index'!G236,"AAAAAD/2mS8=")</f>
        <v>#VALUE!</v>
      </c>
      <c r="AW10" s="22" t="e">
        <f aca="false">AND('Current Index'!H236,"AAAAAD/2mTA=")</f>
        <v>#VALUE!</v>
      </c>
      <c r="AX10" s="22" t="e">
        <f aca="false">AND('Current Index'!I236,"AAAAAD/2mTE=")</f>
        <v>#VALUE!</v>
      </c>
      <c r="AY10" s="22" t="e">
        <f aca="false">IF('current index'!#ref!,"AAAAAD/2mTI=",0)</f>
        <v>#VALUE!</v>
      </c>
      <c r="AZ10" s="22" t="e">
        <f aca="false">AND('current index'!#ref!,"AAAAAD/2mTM=")</f>
        <v>#VALUE!</v>
      </c>
      <c r="BA10" s="22" t="e">
        <f aca="false">AND('current index'!#ref!,"AAAAAD/2mTQ=")</f>
        <v>#VALUE!</v>
      </c>
      <c r="BB10" s="22" t="e">
        <f aca="false">AND('current index'!#ref!,"AAAAAD/2mTU=")</f>
        <v>#VALUE!</v>
      </c>
      <c r="BC10" s="22" t="e">
        <f aca="false">AND('current index'!#ref!,"AAAAAD/2mTY=")</f>
        <v>#VALUE!</v>
      </c>
      <c r="BD10" s="22" t="e">
        <f aca="false">AND('current index'!#ref!,"AAAAAD/2mTc=")</f>
        <v>#VALUE!</v>
      </c>
      <c r="BE10" s="22" t="e">
        <f aca="false">AND('current index'!#ref!,"AAAAAD/2mTg=")</f>
        <v>#VALUE!</v>
      </c>
      <c r="BF10" s="22" t="e">
        <f aca="false">AND('current index'!#ref!,"AAAAAD/2mTk=")</f>
        <v>#VALUE!</v>
      </c>
      <c r="BG10" s="22" t="e">
        <f aca="false">AND('current index'!#ref!,"AAAAAD/2mTo=")</f>
        <v>#VALUE!</v>
      </c>
      <c r="BH10" s="22" t="e">
        <f aca="false">AND('current index'!#ref!,"AAAAAD/2mTs=")</f>
        <v>#VALUE!</v>
      </c>
      <c r="BI10" s="22" t="e">
        <f aca="false">AND('current index'!#ref!,"AAAAAD/2mTw=")</f>
        <v>#VALUE!</v>
      </c>
      <c r="BJ10" s="22" t="n">
        <f aca="false">IF('Current Index'!237:237,"AAAAAD/2mT0=",0)</f>
        <v>0</v>
      </c>
      <c r="BK10" s="22" t="e">
        <f aca="false">AND('Current Index'!A237,"AAAAAD/2mT4=")</f>
        <v>#VALUE!</v>
      </c>
      <c r="BL10" s="22" t="e">
        <f aca="false">AND('current index'!#ref!,"AAAAAD/2mT8=")</f>
        <v>#VALUE!</v>
      </c>
      <c r="BM10" s="22" t="e">
        <f aca="false">AND('Current Index'!B237,"AAAAAD/2mUA=")</f>
        <v>#VALUE!</v>
      </c>
      <c r="BN10" s="22" t="e">
        <f aca="false">AND('Current Index'!C237,"AAAAAD/2mUE=")</f>
        <v>#VALUE!</v>
      </c>
      <c r="BO10" s="22" t="e">
        <f aca="false">AND('Current Index'!D237,"AAAAAD/2mUI=")</f>
        <v>#VALUE!</v>
      </c>
      <c r="BP10" s="22" t="e">
        <f aca="false">AND('Current Index'!E237,"AAAAAD/2mUM=")</f>
        <v>#VALUE!</v>
      </c>
      <c r="BQ10" s="22" t="e">
        <f aca="false">AND('Current Index'!F237,"AAAAAD/2mUQ=")</f>
        <v>#VALUE!</v>
      </c>
      <c r="BR10" s="22" t="e">
        <f aca="false">AND('Current Index'!G237,"AAAAAD/2mUU=")</f>
        <v>#VALUE!</v>
      </c>
      <c r="BS10" s="22" t="e">
        <f aca="false">AND('Current Index'!H237,"AAAAAD/2mUY=")</f>
        <v>#VALUE!</v>
      </c>
      <c r="BT10" s="22" t="e">
        <f aca="false">AND('Current Index'!I237,"AAAAAD/2mUc=")</f>
        <v>#VALUE!</v>
      </c>
      <c r="BU10" s="22" t="n">
        <f aca="false">IF('Current Index'!238:238,"AAAAAD/2mUg=",0)</f>
        <v>0</v>
      </c>
      <c r="BV10" s="22" t="e">
        <f aca="false">AND('Current Index'!A238,"AAAAAD/2mUk=")</f>
        <v>#VALUE!</v>
      </c>
      <c r="BW10" s="22" t="e">
        <f aca="false">AND('current index'!#ref!,"AAAAAD/2mUo=")</f>
        <v>#VALUE!</v>
      </c>
      <c r="BX10" s="22" t="e">
        <f aca="false">AND('Current Index'!B238,"AAAAAD/2mUs=")</f>
        <v>#VALUE!</v>
      </c>
      <c r="BY10" s="22" t="e">
        <f aca="false">AND('Current Index'!C238,"AAAAAD/2mUw=")</f>
        <v>#VALUE!</v>
      </c>
      <c r="BZ10" s="22" t="e">
        <f aca="false">AND('Current Index'!D238,"AAAAAD/2mU0=")</f>
        <v>#VALUE!</v>
      </c>
      <c r="CA10" s="22" t="e">
        <f aca="false">AND('Current Index'!E238,"AAAAAD/2mU4=")</f>
        <v>#VALUE!</v>
      </c>
      <c r="CB10" s="22" t="e">
        <f aca="false">AND('Current Index'!F238,"AAAAAD/2mU8=")</f>
        <v>#VALUE!</v>
      </c>
      <c r="CC10" s="22" t="e">
        <f aca="false">AND('Current Index'!G238,"AAAAAD/2mVA=")</f>
        <v>#VALUE!</v>
      </c>
      <c r="CD10" s="22" t="e">
        <f aca="false">AND('Current Index'!H238,"AAAAAD/2mVE=")</f>
        <v>#VALUE!</v>
      </c>
      <c r="CE10" s="22" t="e">
        <f aca="false">AND('Current Index'!I238,"AAAAAD/2mVI=")</f>
        <v>#VALUE!</v>
      </c>
      <c r="CF10" s="22" t="n">
        <f aca="false">IF('Current Index'!239:239,"AAAAAD/2mVM=",0)</f>
        <v>0</v>
      </c>
      <c r="CG10" s="22" t="e">
        <f aca="false">AND('Current Index'!A239,"AAAAAD/2mVQ=")</f>
        <v>#VALUE!</v>
      </c>
      <c r="CH10" s="22" t="e">
        <f aca="false">AND('current index'!#ref!,"AAAAAD/2mVU=")</f>
        <v>#VALUE!</v>
      </c>
      <c r="CI10" s="22" t="e">
        <f aca="false">AND('Current Index'!B239,"AAAAAD/2mVY=")</f>
        <v>#VALUE!</v>
      </c>
      <c r="CJ10" s="22" t="e">
        <f aca="false">AND('Current Index'!C239,"AAAAAD/2mVc=")</f>
        <v>#VALUE!</v>
      </c>
      <c r="CK10" s="22" t="e">
        <f aca="false">AND('Current Index'!D239,"AAAAAD/2mVg=")</f>
        <v>#VALUE!</v>
      </c>
      <c r="CL10" s="22" t="e">
        <f aca="false">AND('Current Index'!E239,"AAAAAD/2mVk=")</f>
        <v>#VALUE!</v>
      </c>
      <c r="CM10" s="22" t="e">
        <f aca="false">AND('Current Index'!F239,"AAAAAD/2mVo=")</f>
        <v>#VALUE!</v>
      </c>
      <c r="CN10" s="22" t="e">
        <f aca="false">AND('Current Index'!G239,"AAAAAD/2mVs=")</f>
        <v>#VALUE!</v>
      </c>
      <c r="CO10" s="22" t="e">
        <f aca="false">AND('Current Index'!H239,"AAAAAD/2mVw=")</f>
        <v>#VALUE!</v>
      </c>
      <c r="CP10" s="22" t="e">
        <f aca="false">AND('Current Index'!I239,"AAAAAD/2mV0=")</f>
        <v>#VALUE!</v>
      </c>
      <c r="CQ10" s="22" t="e">
        <f aca="false">IF('current index'!#ref!,"AAAAAD/2mV4=",0)</f>
        <v>#VALUE!</v>
      </c>
      <c r="CR10" s="22" t="e">
        <f aca="false">AND('current index'!#ref!,"AAAAAD/2mV8=")</f>
        <v>#VALUE!</v>
      </c>
      <c r="CS10" s="22" t="e">
        <f aca="false">AND('current index'!#ref!,"AAAAAD/2mWA=")</f>
        <v>#VALUE!</v>
      </c>
      <c r="CT10" s="22" t="e">
        <f aca="false">AND('current index'!#ref!,"AAAAAD/2mWE=")</f>
        <v>#VALUE!</v>
      </c>
      <c r="CU10" s="22" t="e">
        <f aca="false">AND('current index'!#ref!,"AAAAAD/2mWI=")</f>
        <v>#VALUE!</v>
      </c>
      <c r="CV10" s="22" t="e">
        <f aca="false">AND('current index'!#ref!,"AAAAAD/2mWM=")</f>
        <v>#VALUE!</v>
      </c>
      <c r="CW10" s="22" t="e">
        <f aca="false">AND('current index'!#ref!,"AAAAAD/2mWQ=")</f>
        <v>#VALUE!</v>
      </c>
      <c r="CX10" s="22" t="e">
        <f aca="false">AND('current index'!#ref!,"AAAAAD/2mWU=")</f>
        <v>#VALUE!</v>
      </c>
      <c r="CY10" s="22" t="e">
        <f aca="false">AND('current index'!#ref!,"AAAAAD/2mWY=")</f>
        <v>#VALUE!</v>
      </c>
      <c r="CZ10" s="22" t="e">
        <f aca="false">AND('current index'!#ref!,"AAAAAD/2mWc=")</f>
        <v>#VALUE!</v>
      </c>
      <c r="DA10" s="22" t="e">
        <f aca="false">AND('current index'!#ref!,"AAAAAD/2mWg=")</f>
        <v>#VALUE!</v>
      </c>
      <c r="DB10" s="22" t="n">
        <f aca="false">IF('Current Index'!240:240,"AAAAAD/2mWk=",0)</f>
        <v>0</v>
      </c>
      <c r="DC10" s="22" t="e">
        <f aca="false">AND('Current Index'!A240,"AAAAAD/2mWo=")</f>
        <v>#VALUE!</v>
      </c>
      <c r="DD10" s="22" t="e">
        <f aca="false">AND('current index'!#ref!,"AAAAAD/2mWs=")</f>
        <v>#VALUE!</v>
      </c>
      <c r="DE10" s="22" t="e">
        <f aca="false">AND('Current Index'!B240,"AAAAAD/2mWw=")</f>
        <v>#VALUE!</v>
      </c>
      <c r="DF10" s="22" t="e">
        <f aca="false">AND('Current Index'!C240,"AAAAAD/2mW0=")</f>
        <v>#VALUE!</v>
      </c>
      <c r="DG10" s="22" t="e">
        <f aca="false">AND('Current Index'!D240,"AAAAAD/2mW4=")</f>
        <v>#VALUE!</v>
      </c>
      <c r="DH10" s="22" t="e">
        <f aca="false">AND('Current Index'!E240,"AAAAAD/2mW8=")</f>
        <v>#VALUE!</v>
      </c>
      <c r="DI10" s="22" t="e">
        <f aca="false">AND('Current Index'!F240,"AAAAAD/2mXA=")</f>
        <v>#VALUE!</v>
      </c>
      <c r="DJ10" s="22" t="e">
        <f aca="false">AND('Current Index'!G240,"AAAAAD/2mXE=")</f>
        <v>#VALUE!</v>
      </c>
      <c r="DK10" s="22" t="e">
        <f aca="false">AND('Current Index'!H240,"AAAAAD/2mXI=")</f>
        <v>#VALUE!</v>
      </c>
      <c r="DL10" s="22" t="e">
        <f aca="false">AND('Current Index'!I240,"AAAAAD/2mXM=")</f>
        <v>#VALUE!</v>
      </c>
      <c r="DM10" s="22" t="n">
        <f aca="false">IF('Current Index'!241:241,"AAAAAD/2mXQ=",0)</f>
        <v>0</v>
      </c>
      <c r="DN10" s="22" t="e">
        <f aca="false">AND('Current Index'!A241,"AAAAAD/2mXU=")</f>
        <v>#VALUE!</v>
      </c>
      <c r="DO10" s="22" t="e">
        <f aca="false">AND('current index'!#ref!,"AAAAAD/2mXY=")</f>
        <v>#VALUE!</v>
      </c>
      <c r="DP10" s="22" t="e">
        <f aca="false">AND('Current Index'!B241,"AAAAAD/2mXc=")</f>
        <v>#VALUE!</v>
      </c>
      <c r="DQ10" s="22" t="e">
        <f aca="false">AND('Current Index'!C241,"AAAAAD/2mXg=")</f>
        <v>#VALUE!</v>
      </c>
      <c r="DR10" s="22" t="e">
        <f aca="false">AND('Current Index'!D241,"AAAAAD/2mXk=")</f>
        <v>#VALUE!</v>
      </c>
      <c r="DS10" s="22" t="e">
        <f aca="false">AND('Current Index'!E241,"AAAAAD/2mXo=")</f>
        <v>#VALUE!</v>
      </c>
      <c r="DT10" s="22" t="e">
        <f aca="false">AND('Current Index'!F241,"AAAAAD/2mXs=")</f>
        <v>#VALUE!</v>
      </c>
      <c r="DU10" s="22" t="e">
        <f aca="false">AND('Current Index'!G241,"AAAAAD/2mXw=")</f>
        <v>#VALUE!</v>
      </c>
      <c r="DV10" s="22" t="e">
        <f aca="false">AND('Current Index'!H241,"AAAAAD/2mX0=")</f>
        <v>#VALUE!</v>
      </c>
      <c r="DW10" s="22" t="e">
        <f aca="false">AND('Current Index'!I241,"AAAAAD/2mX4=")</f>
        <v>#VALUE!</v>
      </c>
      <c r="DX10" s="22" t="n">
        <f aca="false">IF('Current Index'!242:242,"AAAAAD/2mX8=",0)</f>
        <v>0</v>
      </c>
      <c r="DY10" s="22" t="e">
        <f aca="false">AND('Current Index'!A242,"AAAAAD/2mYA=")</f>
        <v>#VALUE!</v>
      </c>
      <c r="DZ10" s="22" t="e">
        <f aca="false">AND('current index'!#ref!,"AAAAAD/2mYE=")</f>
        <v>#VALUE!</v>
      </c>
      <c r="EA10" s="22" t="e">
        <f aca="false">AND('Current Index'!B242,"AAAAAD/2mYI=")</f>
        <v>#VALUE!</v>
      </c>
      <c r="EB10" s="22" t="e">
        <f aca="false">AND('Current Index'!C242,"AAAAAD/2mYM=")</f>
        <v>#VALUE!</v>
      </c>
      <c r="EC10" s="22" t="e">
        <f aca="false">AND('Current Index'!D242,"AAAAAD/2mYQ=")</f>
        <v>#VALUE!</v>
      </c>
      <c r="ED10" s="22" t="e">
        <f aca="false">AND('Current Index'!E242,"AAAAAD/2mYU=")</f>
        <v>#VALUE!</v>
      </c>
      <c r="EE10" s="22" t="e">
        <f aca="false">AND('Current Index'!F242,"AAAAAD/2mYY=")</f>
        <v>#VALUE!</v>
      </c>
      <c r="EF10" s="22" t="e">
        <f aca="false">AND('Current Index'!G242,"AAAAAD/2mYc=")</f>
        <v>#VALUE!</v>
      </c>
      <c r="EG10" s="22" t="e">
        <f aca="false">AND('Current Index'!H242,"AAAAAD/2mYg=")</f>
        <v>#VALUE!</v>
      </c>
      <c r="EH10" s="22" t="e">
        <f aca="false">AND('Current Index'!I242,"AAAAAD/2mYk=")</f>
        <v>#VALUE!</v>
      </c>
      <c r="EI10" s="22" t="n">
        <f aca="false">IF('Current Index'!243:243,"AAAAAD/2mYo=",0)</f>
        <v>0</v>
      </c>
      <c r="EJ10" s="22" t="e">
        <f aca="false">AND('Current Index'!A243,"AAAAAD/2mYs=")</f>
        <v>#VALUE!</v>
      </c>
      <c r="EK10" s="22" t="e">
        <f aca="false">AND('current index'!#ref!,"AAAAAD/2mYw=")</f>
        <v>#VALUE!</v>
      </c>
      <c r="EL10" s="22" t="e">
        <f aca="false">AND('Current Index'!B243,"AAAAAD/2mY0=")</f>
        <v>#VALUE!</v>
      </c>
      <c r="EM10" s="22" t="e">
        <f aca="false">AND('Current Index'!C243,"AAAAAD/2mY4=")</f>
        <v>#VALUE!</v>
      </c>
      <c r="EN10" s="22" t="e">
        <f aca="false">AND('Current Index'!D243,"AAAAAD/2mY8=")</f>
        <v>#VALUE!</v>
      </c>
      <c r="EO10" s="22" t="e">
        <f aca="false">AND('Current Index'!E243,"AAAAAD/2mZA=")</f>
        <v>#VALUE!</v>
      </c>
      <c r="EP10" s="22" t="e">
        <f aca="false">AND('Current Index'!F243,"AAAAAD/2mZE=")</f>
        <v>#VALUE!</v>
      </c>
      <c r="EQ10" s="22" t="e">
        <f aca="false">AND('Current Index'!G243,"AAAAAD/2mZI=")</f>
        <v>#VALUE!</v>
      </c>
      <c r="ER10" s="22" t="e">
        <f aca="false">AND('Current Index'!H243,"AAAAAD/2mZM=")</f>
        <v>#VALUE!</v>
      </c>
      <c r="ES10" s="22" t="e">
        <f aca="false">AND('Current Index'!I243,"AAAAAD/2mZQ=")</f>
        <v>#VALUE!</v>
      </c>
      <c r="ET10" s="22" t="n">
        <f aca="false">IF('Current Index'!244:244,"AAAAAD/2mZU=",0)</f>
        <v>0</v>
      </c>
      <c r="EU10" s="22" t="e">
        <f aca="false">AND('Current Index'!A244,"AAAAAD/2mZY=")</f>
        <v>#VALUE!</v>
      </c>
      <c r="EV10" s="22" t="e">
        <f aca="false">AND('current index'!#ref!,"AAAAAD/2mZc=")</f>
        <v>#VALUE!</v>
      </c>
      <c r="EW10" s="22" t="e">
        <f aca="false">AND('Current Index'!B244,"AAAAAD/2mZg=")</f>
        <v>#VALUE!</v>
      </c>
      <c r="EX10" s="22" t="e">
        <f aca="false">AND('Current Index'!C244,"AAAAAD/2mZk=")</f>
        <v>#VALUE!</v>
      </c>
      <c r="EY10" s="22" t="e">
        <f aca="false">AND('Current Index'!D244,"AAAAAD/2mZo=")</f>
        <v>#VALUE!</v>
      </c>
      <c r="EZ10" s="22" t="e">
        <f aca="false">AND('Current Index'!E244,"AAAAAD/2mZs=")</f>
        <v>#VALUE!</v>
      </c>
      <c r="FA10" s="22" t="e">
        <f aca="false">AND('Current Index'!F244,"AAAAAD/2mZw=")</f>
        <v>#VALUE!</v>
      </c>
      <c r="FB10" s="22" t="e">
        <f aca="false">AND('Current Index'!G244,"AAAAAD/2mZ0=")</f>
        <v>#VALUE!</v>
      </c>
      <c r="FC10" s="22" t="e">
        <f aca="false">AND('Current Index'!H244,"AAAAAD/2mZ4=")</f>
        <v>#VALUE!</v>
      </c>
      <c r="FD10" s="22" t="e">
        <f aca="false">AND('Current Index'!I244,"AAAAAD/2mZ8=")</f>
        <v>#VALUE!</v>
      </c>
      <c r="FE10" s="22" t="n">
        <f aca="false">IF('Current Index'!250:250,"AAAAAD/2maA=",0)</f>
        <v>0</v>
      </c>
      <c r="FF10" s="22" t="e">
        <f aca="false">AND('Current Index'!A250,"AAAAAD/2maE=")</f>
        <v>#VALUE!</v>
      </c>
      <c r="FG10" s="22" t="e">
        <f aca="false">AND('current index'!#ref!,"AAAAAD/2maI=")</f>
        <v>#VALUE!</v>
      </c>
      <c r="FH10" s="22" t="e">
        <f aca="false">AND('Current Index'!B250,"AAAAAD/2maM=")</f>
        <v>#VALUE!</v>
      </c>
      <c r="FI10" s="22" t="e">
        <f aca="false">AND('Current Index'!C250,"AAAAAD/2maQ=")</f>
        <v>#VALUE!</v>
      </c>
      <c r="FJ10" s="22" t="e">
        <f aca="false">AND('Current Index'!D250,"AAAAAD/2maU=")</f>
        <v>#VALUE!</v>
      </c>
      <c r="FK10" s="22" t="e">
        <f aca="false">AND('Current Index'!E250,"AAAAAD/2maY=")</f>
        <v>#VALUE!</v>
      </c>
      <c r="FL10" s="22" t="e">
        <f aca="false">AND('Current Index'!F250,"AAAAAD/2mac=")</f>
        <v>#VALUE!</v>
      </c>
      <c r="FM10" s="22" t="e">
        <f aca="false">AND('Current Index'!G250,"AAAAAD/2mag=")</f>
        <v>#VALUE!</v>
      </c>
      <c r="FN10" s="22" t="e">
        <f aca="false">AND('Current Index'!H250,"AAAAAD/2mak=")</f>
        <v>#VALUE!</v>
      </c>
      <c r="FO10" s="22" t="e">
        <f aca="false">AND('Current Index'!I250,"AAAAAD/2mao=")</f>
        <v>#VALUE!</v>
      </c>
      <c r="FP10" s="22" t="n">
        <f aca="false">IF('Current Index'!251:251,"AAAAAD/2mas=",0)</f>
        <v>0</v>
      </c>
      <c r="FQ10" s="22" t="e">
        <f aca="false">AND('Current Index'!A251,"AAAAAD/2maw=")</f>
        <v>#VALUE!</v>
      </c>
      <c r="FR10" s="22" t="e">
        <f aca="false">AND('current index'!#ref!,"AAAAAD/2ma0=")</f>
        <v>#VALUE!</v>
      </c>
      <c r="FS10" s="22" t="e">
        <f aca="false">AND('Current Index'!B251,"AAAAAD/2ma4=")</f>
        <v>#VALUE!</v>
      </c>
      <c r="FT10" s="22" t="e">
        <f aca="false">AND('Current Index'!C251,"AAAAAD/2ma8=")</f>
        <v>#VALUE!</v>
      </c>
      <c r="FU10" s="22" t="e">
        <f aca="false">AND('Current Index'!D251,"AAAAAD/2mbA=")</f>
        <v>#VALUE!</v>
      </c>
      <c r="FV10" s="22" t="e">
        <f aca="false">AND('Current Index'!E251,"AAAAAD/2mbE=")</f>
        <v>#VALUE!</v>
      </c>
      <c r="FW10" s="22" t="e">
        <f aca="false">AND('Current Index'!F251,"AAAAAD/2mbI=")</f>
        <v>#VALUE!</v>
      </c>
      <c r="FX10" s="22" t="e">
        <f aca="false">AND('Current Index'!G251,"AAAAAD/2mbM=")</f>
        <v>#VALUE!</v>
      </c>
      <c r="FY10" s="22" t="e">
        <f aca="false">AND('Current Index'!H251,"AAAAAD/2mbQ=")</f>
        <v>#VALUE!</v>
      </c>
      <c r="FZ10" s="22" t="e">
        <f aca="false">AND('Current Index'!I251,"AAAAAD/2mbU=")</f>
        <v>#VALUE!</v>
      </c>
      <c r="GA10" s="22" t="n">
        <f aca="false">IF('Current Index'!252:252,"AAAAAD/2mbY=",0)</f>
        <v>0</v>
      </c>
      <c r="GB10" s="22" t="e">
        <f aca="false">AND('Current Index'!A252,"AAAAAD/2mbc=")</f>
        <v>#VALUE!</v>
      </c>
      <c r="GC10" s="22" t="e">
        <f aca="false">AND('current index'!#ref!,"AAAAAD/2mbg=")</f>
        <v>#VALUE!</v>
      </c>
      <c r="GD10" s="22" t="e">
        <f aca="false">AND('Current Index'!B252,"AAAAAD/2mbk=")</f>
        <v>#VALUE!</v>
      </c>
      <c r="GE10" s="22" t="e">
        <f aca="false">AND('Current Index'!C252,"AAAAAD/2mbo=")</f>
        <v>#VALUE!</v>
      </c>
      <c r="GF10" s="22" t="e">
        <f aca="false">AND('Current Index'!D252,"AAAAAD/2mbs=")</f>
        <v>#VALUE!</v>
      </c>
      <c r="GG10" s="22" t="e">
        <f aca="false">AND('Current Index'!E252,"AAAAAD/2mbw=")</f>
        <v>#VALUE!</v>
      </c>
      <c r="GH10" s="22" t="e">
        <f aca="false">AND('Current Index'!F252,"AAAAAD/2mb0=")</f>
        <v>#VALUE!</v>
      </c>
      <c r="GI10" s="22" t="e">
        <f aca="false">AND('Current Index'!G252,"AAAAAD/2mb4=")</f>
        <v>#VALUE!</v>
      </c>
      <c r="GJ10" s="22" t="e">
        <f aca="false">AND('Current Index'!H252,"AAAAAD/2mb8=")</f>
        <v>#VALUE!</v>
      </c>
      <c r="GK10" s="22" t="e">
        <f aca="false">AND('Current Index'!I252,"AAAAAD/2mcA=")</f>
        <v>#VALUE!</v>
      </c>
      <c r="GL10" s="22" t="n">
        <f aca="false">IF('Current Index'!253:253,"AAAAAD/2mcE=",0)</f>
        <v>0</v>
      </c>
      <c r="GM10" s="22" t="e">
        <f aca="false">AND('Current Index'!A253,"AAAAAD/2mcI=")</f>
        <v>#VALUE!</v>
      </c>
      <c r="GN10" s="22" t="e">
        <f aca="false">AND('current index'!#ref!,"AAAAAD/2mcM=")</f>
        <v>#VALUE!</v>
      </c>
      <c r="GO10" s="22" t="e">
        <f aca="false">AND('Current Index'!B253,"AAAAAD/2mcQ=")</f>
        <v>#VALUE!</v>
      </c>
      <c r="GP10" s="22" t="e">
        <f aca="false">AND('Current Index'!C253,"AAAAAD/2mcU=")</f>
        <v>#VALUE!</v>
      </c>
      <c r="GQ10" s="22" t="e">
        <f aca="false">AND('Current Index'!D253,"AAAAAD/2mcY=")</f>
        <v>#VALUE!</v>
      </c>
      <c r="GR10" s="22" t="e">
        <f aca="false">AND('Current Index'!E253,"AAAAAD/2mcc=")</f>
        <v>#VALUE!</v>
      </c>
      <c r="GS10" s="22" t="e">
        <f aca="false">AND('Current Index'!F253,"AAAAAD/2mcg=")</f>
        <v>#VALUE!</v>
      </c>
      <c r="GT10" s="22" t="e">
        <f aca="false">AND('Current Index'!G253,"AAAAAD/2mck=")</f>
        <v>#VALUE!</v>
      </c>
      <c r="GU10" s="22" t="e">
        <f aca="false">AND('Current Index'!H253,"AAAAAD/2mco=")</f>
        <v>#VALUE!</v>
      </c>
      <c r="GV10" s="22" t="e">
        <f aca="false">AND('Current Index'!I253,"AAAAAD/2mcs=")</f>
        <v>#VALUE!</v>
      </c>
      <c r="GW10" s="22" t="n">
        <f aca="false">IF('Current Index'!254:254,"AAAAAD/2mcw=",0)</f>
        <v>0</v>
      </c>
      <c r="GX10" s="22" t="e">
        <f aca="false">AND('Current Index'!A254,"AAAAAD/2mc0=")</f>
        <v>#VALUE!</v>
      </c>
      <c r="GY10" s="22" t="e">
        <f aca="false">AND('current index'!#ref!,"AAAAAD/2mc4=")</f>
        <v>#VALUE!</v>
      </c>
      <c r="GZ10" s="22" t="e">
        <f aca="false">AND('Current Index'!B254,"AAAAAD/2mc8=")</f>
        <v>#VALUE!</v>
      </c>
      <c r="HA10" s="22" t="e">
        <f aca="false">AND('Current Index'!C254,"AAAAAD/2mdA=")</f>
        <v>#VALUE!</v>
      </c>
      <c r="HB10" s="22" t="e">
        <f aca="false">AND('Current Index'!D254,"AAAAAD/2mdE=")</f>
        <v>#VALUE!</v>
      </c>
      <c r="HC10" s="22" t="e">
        <f aca="false">AND('Current Index'!E254,"AAAAAD/2mdI=")</f>
        <v>#VALUE!</v>
      </c>
      <c r="HD10" s="22" t="e">
        <f aca="false">AND('Current Index'!F254,"AAAAAD/2mdM=")</f>
        <v>#VALUE!</v>
      </c>
      <c r="HE10" s="22" t="e">
        <f aca="false">AND('Current Index'!G254,"AAAAAD/2mdQ=")</f>
        <v>#VALUE!</v>
      </c>
      <c r="HF10" s="22" t="e">
        <f aca="false">AND('Current Index'!H254,"AAAAAD/2mdU=")</f>
        <v>#VALUE!</v>
      </c>
      <c r="HG10" s="22" t="e">
        <f aca="false">AND('Current Index'!I254,"AAAAAD/2mdY=")</f>
        <v>#VALUE!</v>
      </c>
      <c r="HH10" s="22" t="n">
        <f aca="false">IF('Current Index'!255:255,"AAAAAD/2mdc=",0)</f>
        <v>0</v>
      </c>
      <c r="HI10" s="22" t="e">
        <f aca="false">AND('Current Index'!A255,"AAAAAD/2mdg=")</f>
        <v>#VALUE!</v>
      </c>
      <c r="HJ10" s="22" t="e">
        <f aca="false">AND('current index'!#ref!,"AAAAAD/2mdk=")</f>
        <v>#VALUE!</v>
      </c>
      <c r="HK10" s="22" t="e">
        <f aca="false">AND('Current Index'!B255,"AAAAAD/2mdo=")</f>
        <v>#VALUE!</v>
      </c>
      <c r="HL10" s="22" t="e">
        <f aca="false">AND('Current Index'!C255,"AAAAAD/2mds=")</f>
        <v>#VALUE!</v>
      </c>
      <c r="HM10" s="22" t="e">
        <f aca="false">AND('Current Index'!D255,"AAAAAD/2mdw=")</f>
        <v>#VALUE!</v>
      </c>
      <c r="HN10" s="22" t="e">
        <f aca="false">AND('Current Index'!E255,"AAAAAD/2md0=")</f>
        <v>#VALUE!</v>
      </c>
      <c r="HO10" s="22" t="e">
        <f aca="false">AND('Current Index'!F255,"AAAAAD/2md4=")</f>
        <v>#VALUE!</v>
      </c>
      <c r="HP10" s="22" t="e">
        <f aca="false">AND('Current Index'!G255,"AAAAAD/2md8=")</f>
        <v>#VALUE!</v>
      </c>
      <c r="HQ10" s="22" t="e">
        <f aca="false">AND('Current Index'!H255,"AAAAAD/2meA=")</f>
        <v>#VALUE!</v>
      </c>
      <c r="HR10" s="22" t="e">
        <f aca="false">AND('Current Index'!I255,"AAAAAD/2meE=")</f>
        <v>#VALUE!</v>
      </c>
      <c r="HS10" s="22" t="n">
        <f aca="false">IF('Current Index'!256:256,"AAAAAD/2meI=",0)</f>
        <v>0</v>
      </c>
      <c r="HT10" s="22" t="e">
        <f aca="false">AND('Current Index'!A256,"AAAAAD/2meM=")</f>
        <v>#VALUE!</v>
      </c>
      <c r="HU10" s="22" t="e">
        <f aca="false">AND('current index'!#ref!,"AAAAAD/2meQ=")</f>
        <v>#VALUE!</v>
      </c>
      <c r="HV10" s="22" t="e">
        <f aca="false">AND('Current Index'!B256,"AAAAAD/2meU=")</f>
        <v>#VALUE!</v>
      </c>
      <c r="HW10" s="22" t="e">
        <f aca="false">AND('Current Index'!C256,"AAAAAD/2meY=")</f>
        <v>#VALUE!</v>
      </c>
      <c r="HX10" s="22" t="e">
        <f aca="false">AND('Current Index'!D256,"AAAAAD/2mec=")</f>
        <v>#VALUE!</v>
      </c>
      <c r="HY10" s="22" t="e">
        <f aca="false">AND('Current Index'!E256,"AAAAAD/2meg=")</f>
        <v>#VALUE!</v>
      </c>
      <c r="HZ10" s="22" t="e">
        <f aca="false">AND('Current Index'!F256,"AAAAAD/2mek=")</f>
        <v>#VALUE!</v>
      </c>
      <c r="IA10" s="22" t="e">
        <f aca="false">AND('Current Index'!G256,"AAAAAD/2meo=")</f>
        <v>#VALUE!</v>
      </c>
      <c r="IB10" s="22" t="e">
        <f aca="false">AND('Current Index'!H256,"AAAAAD/2mes=")</f>
        <v>#VALUE!</v>
      </c>
      <c r="IC10" s="22" t="e">
        <f aca="false">AND('Current Index'!I256,"AAAAAD/2mew=")</f>
        <v>#VALUE!</v>
      </c>
      <c r="ID10" s="22" t="n">
        <f aca="false">IF('Current Index'!257:257,"AAAAAD/2me0=",0)</f>
        <v>0</v>
      </c>
      <c r="IE10" s="22" t="e">
        <f aca="false">AND('Current Index'!A257,"AAAAAD/2me4=")</f>
        <v>#VALUE!</v>
      </c>
      <c r="IF10" s="22" t="e">
        <f aca="false">AND('current index'!#ref!,"AAAAAD/2me8=")</f>
        <v>#VALUE!</v>
      </c>
      <c r="IG10" s="22" t="e">
        <f aca="false">AND('Current Index'!B257,"AAAAAD/2mfA=")</f>
        <v>#VALUE!</v>
      </c>
      <c r="IH10" s="22" t="e">
        <f aca="false">AND('Current Index'!C257,"AAAAAD/2mfE=")</f>
        <v>#VALUE!</v>
      </c>
      <c r="II10" s="22" t="e">
        <f aca="false">AND('Current Index'!D257,"AAAAAD/2mfI=")</f>
        <v>#VALUE!</v>
      </c>
      <c r="IJ10" s="22" t="e">
        <f aca="false">AND('Current Index'!E257,"AAAAAD/2mfM=")</f>
        <v>#VALUE!</v>
      </c>
      <c r="IK10" s="22" t="e">
        <f aca="false">AND('Current Index'!F257,"AAAAAD/2mfQ=")</f>
        <v>#VALUE!</v>
      </c>
      <c r="IL10" s="22" t="e">
        <f aca="false">AND('Current Index'!G257,"AAAAAD/2mfU=")</f>
        <v>#VALUE!</v>
      </c>
      <c r="IM10" s="22" t="e">
        <f aca="false">AND('Current Index'!H257,"AAAAAD/2mfY=")</f>
        <v>#VALUE!</v>
      </c>
      <c r="IN10" s="22" t="e">
        <f aca="false">AND('Current Index'!I257,"AAAAAD/2mfc=")</f>
        <v>#VALUE!</v>
      </c>
      <c r="IO10" s="22" t="n">
        <f aca="false">IF('Current Index'!260:260,"AAAAAD/2mfg=",0)</f>
        <v>0</v>
      </c>
      <c r="IP10" s="22" t="e">
        <f aca="false">AND('Current Index'!A260,"AAAAAD/2mfk=")</f>
        <v>#VALUE!</v>
      </c>
      <c r="IQ10" s="22" t="e">
        <f aca="false">AND('current index'!#ref!,"AAAAAD/2mfo=")</f>
        <v>#VALUE!</v>
      </c>
      <c r="IR10" s="22" t="e">
        <f aca="false">AND('Current Index'!B260,"AAAAAD/2mfs=")</f>
        <v>#VALUE!</v>
      </c>
      <c r="IS10" s="22" t="e">
        <f aca="false">AND('Current Index'!C260,"AAAAAD/2mfw=")</f>
        <v>#VALUE!</v>
      </c>
      <c r="IT10" s="22" t="e">
        <f aca="false">AND('Current Index'!D260,"AAAAAD/2mf0=")</f>
        <v>#VALUE!</v>
      </c>
      <c r="IU10" s="22" t="e">
        <f aca="false">AND('Current Index'!E260,"AAAAAD/2mf4=")</f>
        <v>#VALUE!</v>
      </c>
      <c r="IV10" s="22" t="e">
        <f aca="false">AND('Current Index'!F260,"AAAAAD/2mf8=")</f>
        <v>#VALUE!</v>
      </c>
    </row>
    <row r="11" customFormat="false" ht="12.75" hidden="false" customHeight="false" outlineLevel="0" collapsed="false">
      <c r="A11" s="22" t="e">
        <f aca="false">AND('Current Index'!G260,"AAAAAHV+rwA=")</f>
        <v>#VALUE!</v>
      </c>
      <c r="B11" s="22" t="e">
        <f aca="false">AND('Current Index'!H260,"AAAAAHV+rwE=")</f>
        <v>#VALUE!</v>
      </c>
      <c r="C11" s="22" t="e">
        <f aca="false">AND('Current Index'!I260,"AAAAAHV+rwI=")</f>
        <v>#VALUE!</v>
      </c>
      <c r="D11" s="22" t="e">
        <f aca="false">IF('Current Index'!261:261,"AAAAAHV+rwM=",0)</f>
        <v>#VALUE!</v>
      </c>
      <c r="E11" s="22" t="e">
        <f aca="false">AND('Current Index'!A261,"AAAAAHV+rwQ=")</f>
        <v>#VALUE!</v>
      </c>
      <c r="F11" s="22" t="e">
        <f aca="false">AND('current index'!#ref!,"AAAAAHV+rwU=")</f>
        <v>#VALUE!</v>
      </c>
      <c r="G11" s="22" t="e">
        <f aca="false">AND('Current Index'!B261,"AAAAAHV+rwY=")</f>
        <v>#VALUE!</v>
      </c>
      <c r="H11" s="22" t="e">
        <f aca="false">AND('Current Index'!C261,"AAAAAHV+rwc=")</f>
        <v>#VALUE!</v>
      </c>
      <c r="I11" s="22" t="e">
        <f aca="false">AND('Current Index'!D261,"AAAAAHV+rwg=")</f>
        <v>#VALUE!</v>
      </c>
      <c r="J11" s="22" t="e">
        <f aca="false">AND('Current Index'!E261,"AAAAAHV+rwk=")</f>
        <v>#VALUE!</v>
      </c>
      <c r="K11" s="22" t="e">
        <f aca="false">AND('Current Index'!F261,"AAAAAHV+rwo=")</f>
        <v>#VALUE!</v>
      </c>
      <c r="L11" s="22" t="e">
        <f aca="false">AND('Current Index'!G261,"AAAAAHV+rws=")</f>
        <v>#VALUE!</v>
      </c>
      <c r="M11" s="22" t="e">
        <f aca="false">AND('Current Index'!H261,"AAAAAHV+rww=")</f>
        <v>#VALUE!</v>
      </c>
      <c r="N11" s="22" t="e">
        <f aca="false">AND('Current Index'!I261,"AAAAAHV+rw0=")</f>
        <v>#VALUE!</v>
      </c>
      <c r="O11" s="22" t="n">
        <f aca="false">IF('Current Index'!262:262,"AAAAAHV+rw4=",0)</f>
        <v>0</v>
      </c>
      <c r="P11" s="22" t="e">
        <f aca="false">AND('Current Index'!A262,"AAAAAHV+rw8=")</f>
        <v>#VALUE!</v>
      </c>
      <c r="Q11" s="22" t="e">
        <f aca="false">AND('current index'!#ref!,"AAAAAHV+rxA=")</f>
        <v>#VALUE!</v>
      </c>
      <c r="R11" s="22" t="e">
        <f aca="false">AND('Current Index'!B262,"AAAAAHV+rxE=")</f>
        <v>#VALUE!</v>
      </c>
      <c r="S11" s="22" t="e">
        <f aca="false">AND('Current Index'!C262,"AAAAAHV+rxI=")</f>
        <v>#VALUE!</v>
      </c>
      <c r="T11" s="22" t="e">
        <f aca="false">AND('Current Index'!D262,"AAAAAHV+rxM=")</f>
        <v>#VALUE!</v>
      </c>
      <c r="U11" s="22" t="e">
        <f aca="false">AND('Current Index'!E262,"AAAAAHV+rxQ=")</f>
        <v>#VALUE!</v>
      </c>
      <c r="V11" s="22" t="e">
        <f aca="false">AND('Current Index'!F262,"AAAAAHV+rxU=")</f>
        <v>#VALUE!</v>
      </c>
      <c r="W11" s="22" t="e">
        <f aca="false">AND('Current Index'!G262,"AAAAAHV+rxY=")</f>
        <v>#VALUE!</v>
      </c>
      <c r="X11" s="22" t="e">
        <f aca="false">AND('Current Index'!H262,"AAAAAHV+rxc=")</f>
        <v>#VALUE!</v>
      </c>
      <c r="Y11" s="22" t="e">
        <f aca="false">AND('Current Index'!I262,"AAAAAHV+rxg=")</f>
        <v>#VALUE!</v>
      </c>
      <c r="Z11" s="22" t="n">
        <f aca="false">IF('Current Index'!263:263,"AAAAAHV+rxk=",0)</f>
        <v>0</v>
      </c>
      <c r="AA11" s="22" t="e">
        <f aca="false">AND('Current Index'!A263,"AAAAAHV+rxo=")</f>
        <v>#VALUE!</v>
      </c>
      <c r="AB11" s="22" t="e">
        <f aca="false">AND('current index'!#ref!,"AAAAAHV+rxs=")</f>
        <v>#VALUE!</v>
      </c>
      <c r="AC11" s="22" t="e">
        <f aca="false">AND('Current Index'!B263,"AAAAAHV+rxw=")</f>
        <v>#VALUE!</v>
      </c>
      <c r="AD11" s="22" t="e">
        <f aca="false">AND('Current Index'!C263,"AAAAAHV+rx0=")</f>
        <v>#VALUE!</v>
      </c>
      <c r="AE11" s="22" t="e">
        <f aca="false">AND('Current Index'!D263,"AAAAAHV+rx4=")</f>
        <v>#VALUE!</v>
      </c>
      <c r="AF11" s="22" t="e">
        <f aca="false">AND('Current Index'!E263,"AAAAAHV+rx8=")</f>
        <v>#VALUE!</v>
      </c>
      <c r="AG11" s="22" t="e">
        <f aca="false">AND('Current Index'!F263,"AAAAAHV+ryA=")</f>
        <v>#VALUE!</v>
      </c>
      <c r="AH11" s="22" t="e">
        <f aca="false">AND('Current Index'!G263,"AAAAAHV+ryE=")</f>
        <v>#VALUE!</v>
      </c>
      <c r="AI11" s="22" t="e">
        <f aca="false">AND('Current Index'!H263,"AAAAAHV+ryI=")</f>
        <v>#VALUE!</v>
      </c>
      <c r="AJ11" s="22" t="e">
        <f aca="false">AND('Current Index'!I263,"AAAAAHV+ryM=")</f>
        <v>#VALUE!</v>
      </c>
      <c r="AK11" s="22" t="n">
        <f aca="false">IF('Current Index'!264:264,"AAAAAHV+ryQ=",0)</f>
        <v>0</v>
      </c>
      <c r="AL11" s="22" t="e">
        <f aca="false">AND('Current Index'!A264,"AAAAAHV+ryU=")</f>
        <v>#VALUE!</v>
      </c>
      <c r="AM11" s="22" t="e">
        <f aca="false">AND('current index'!#ref!,"AAAAAHV+ryY=")</f>
        <v>#VALUE!</v>
      </c>
      <c r="AN11" s="22" t="e">
        <f aca="false">AND('Current Index'!B264,"AAAAAHV+ryc=")</f>
        <v>#VALUE!</v>
      </c>
      <c r="AO11" s="22" t="e">
        <f aca="false">AND('Current Index'!C264,"AAAAAHV+ryg=")</f>
        <v>#VALUE!</v>
      </c>
      <c r="AP11" s="22" t="e">
        <f aca="false">AND('Current Index'!D264,"AAAAAHV+ryk=")</f>
        <v>#VALUE!</v>
      </c>
      <c r="AQ11" s="22" t="e">
        <f aca="false">AND('Current Index'!E264,"AAAAAHV+ryo=")</f>
        <v>#VALUE!</v>
      </c>
      <c r="AR11" s="22" t="e">
        <f aca="false">AND('Current Index'!F264,"AAAAAHV+rys=")</f>
        <v>#VALUE!</v>
      </c>
      <c r="AS11" s="22" t="e">
        <f aca="false">AND('Current Index'!G264,"AAAAAHV+ryw=")</f>
        <v>#VALUE!</v>
      </c>
      <c r="AT11" s="22" t="e">
        <f aca="false">AND('Current Index'!H264,"AAAAAHV+ry0=")</f>
        <v>#VALUE!</v>
      </c>
      <c r="AU11" s="22" t="e">
        <f aca="false">AND('Current Index'!I264,"AAAAAHV+ry4=")</f>
        <v>#VALUE!</v>
      </c>
      <c r="AV11" s="22" t="n">
        <f aca="false">IF('Current Index'!265:265,"AAAAAHV+ry8=",0)</f>
        <v>0</v>
      </c>
      <c r="AW11" s="22" t="e">
        <f aca="false">AND('Current Index'!A265,"AAAAAHV+rzA=")</f>
        <v>#VALUE!</v>
      </c>
      <c r="AX11" s="22" t="e">
        <f aca="false">AND('current index'!#ref!,"AAAAAHV+rzE=")</f>
        <v>#VALUE!</v>
      </c>
      <c r="AY11" s="22" t="e">
        <f aca="false">AND('Current Index'!B265,"AAAAAHV+rzI=")</f>
        <v>#VALUE!</v>
      </c>
      <c r="AZ11" s="22" t="e">
        <f aca="false">AND('Current Index'!C265,"AAAAAHV+rzM=")</f>
        <v>#VALUE!</v>
      </c>
      <c r="BA11" s="22" t="e">
        <f aca="false">AND('Current Index'!D265,"AAAAAHV+rzQ=")</f>
        <v>#VALUE!</v>
      </c>
      <c r="BB11" s="22" t="e">
        <f aca="false">AND('Current Index'!E265,"AAAAAHV+rzU=")</f>
        <v>#VALUE!</v>
      </c>
      <c r="BC11" s="22" t="e">
        <f aca="false">AND('Current Index'!F265,"AAAAAHV+rzY=")</f>
        <v>#VALUE!</v>
      </c>
      <c r="BD11" s="22" t="e">
        <f aca="false">AND('Current Index'!G265,"AAAAAHV+rzc=")</f>
        <v>#VALUE!</v>
      </c>
      <c r="BE11" s="22" t="e">
        <f aca="false">AND('Current Index'!H265,"AAAAAHV+rzg=")</f>
        <v>#VALUE!</v>
      </c>
      <c r="BF11" s="22" t="e">
        <f aca="false">AND('Current Index'!I265,"AAAAAHV+rzk=")</f>
        <v>#VALUE!</v>
      </c>
      <c r="BG11" s="22" t="n">
        <f aca="false">IF('Current Index'!268:268,"AAAAAHV+rzo=",0)</f>
        <v>0</v>
      </c>
      <c r="BH11" s="22" t="e">
        <f aca="false">AND('Current Index'!A268,"AAAAAHV+rzs=")</f>
        <v>#VALUE!</v>
      </c>
      <c r="BI11" s="22" t="e">
        <f aca="false">AND('current index'!#ref!,"AAAAAHV+rzw=")</f>
        <v>#VALUE!</v>
      </c>
      <c r="BJ11" s="22" t="e">
        <f aca="false">AND('Current Index'!B268,"AAAAAHV+rz0=")</f>
        <v>#VALUE!</v>
      </c>
      <c r="BK11" s="22" t="e">
        <f aca="false">AND('Current Index'!C268,"AAAAAHV+rz4=")</f>
        <v>#VALUE!</v>
      </c>
      <c r="BL11" s="22" t="e">
        <f aca="false">AND('Current Index'!D268,"AAAAAHV+rz8=")</f>
        <v>#VALUE!</v>
      </c>
      <c r="BM11" s="22" t="e">
        <f aca="false">AND('Current Index'!E268,"AAAAAHV+r0A=")</f>
        <v>#VALUE!</v>
      </c>
      <c r="BN11" s="22" t="e">
        <f aca="false">AND('Current Index'!F268,"AAAAAHV+r0E=")</f>
        <v>#VALUE!</v>
      </c>
      <c r="BO11" s="22" t="e">
        <f aca="false">AND('Current Index'!G268,"AAAAAHV+r0I=")</f>
        <v>#VALUE!</v>
      </c>
      <c r="BP11" s="22" t="e">
        <f aca="false">AND('Current Index'!H268,"AAAAAHV+r0M=")</f>
        <v>#VALUE!</v>
      </c>
      <c r="BQ11" s="22" t="e">
        <f aca="false">AND('Current Index'!I268,"AAAAAHV+r0Q=")</f>
        <v>#VALUE!</v>
      </c>
      <c r="BR11" s="22" t="n">
        <f aca="false">IF('Current Index'!269:269,"AAAAAHV+r0U=",0)</f>
        <v>0</v>
      </c>
      <c r="BS11" s="22" t="e">
        <f aca="false">AND('Current Index'!A269,"AAAAAHV+r0Y=")</f>
        <v>#VALUE!</v>
      </c>
      <c r="BT11" s="22" t="e">
        <f aca="false">AND('current index'!#ref!,"AAAAAHV+r0c=")</f>
        <v>#VALUE!</v>
      </c>
      <c r="BU11" s="22" t="e">
        <f aca="false">AND('Current Index'!B269,"AAAAAHV+r0g=")</f>
        <v>#VALUE!</v>
      </c>
      <c r="BV11" s="22" t="e">
        <f aca="false">AND('Current Index'!C269,"AAAAAHV+r0k=")</f>
        <v>#VALUE!</v>
      </c>
      <c r="BW11" s="22" t="e">
        <f aca="false">AND('Current Index'!D269,"AAAAAHV+r0o=")</f>
        <v>#VALUE!</v>
      </c>
      <c r="BX11" s="22" t="e">
        <f aca="false">AND('Current Index'!E269,"AAAAAHV+r0s=")</f>
        <v>#VALUE!</v>
      </c>
      <c r="BY11" s="22" t="e">
        <f aca="false">AND('Current Index'!F269,"AAAAAHV+r0w=")</f>
        <v>#VALUE!</v>
      </c>
      <c r="BZ11" s="22" t="e">
        <f aca="false">AND('Current Index'!G269,"AAAAAHV+r00=")</f>
        <v>#VALUE!</v>
      </c>
      <c r="CA11" s="22" t="e">
        <f aca="false">AND('Current Index'!H269,"AAAAAHV+r04=")</f>
        <v>#VALUE!</v>
      </c>
      <c r="CB11" s="22" t="e">
        <f aca="false">AND('Current Index'!I269,"AAAAAHV+r08=")</f>
        <v>#VALUE!</v>
      </c>
      <c r="CC11" s="22" t="n">
        <f aca="false">IF('Current Index'!270:270,"AAAAAHV+r1A=",0)</f>
        <v>0</v>
      </c>
      <c r="CD11" s="22" t="e">
        <f aca="false">AND('Current Index'!A270,"AAAAAHV+r1E=")</f>
        <v>#VALUE!</v>
      </c>
      <c r="CE11" s="22" t="e">
        <f aca="false">AND('current index'!#ref!,"AAAAAHV+r1I=")</f>
        <v>#VALUE!</v>
      </c>
      <c r="CF11" s="22" t="e">
        <f aca="false">AND('Current Index'!B270,"AAAAAHV+r1M=")</f>
        <v>#VALUE!</v>
      </c>
      <c r="CG11" s="22" t="e">
        <f aca="false">AND('Current Index'!C270,"AAAAAHV+r1Q=")</f>
        <v>#VALUE!</v>
      </c>
      <c r="CH11" s="22" t="e">
        <f aca="false">AND('Current Index'!D270,"AAAAAHV+r1U=")</f>
        <v>#VALUE!</v>
      </c>
      <c r="CI11" s="22" t="e">
        <f aca="false">AND('Current Index'!E270,"AAAAAHV+r1Y=")</f>
        <v>#VALUE!</v>
      </c>
      <c r="CJ11" s="22" t="e">
        <f aca="false">AND('Current Index'!F270,"AAAAAHV+r1c=")</f>
        <v>#VALUE!</v>
      </c>
      <c r="CK11" s="22" t="e">
        <f aca="false">AND('Current Index'!G270,"AAAAAHV+r1g=")</f>
        <v>#VALUE!</v>
      </c>
      <c r="CL11" s="22" t="e">
        <f aca="false">AND('Current Index'!H270,"AAAAAHV+r1k=")</f>
        <v>#VALUE!</v>
      </c>
      <c r="CM11" s="22" t="e">
        <f aca="false">AND('Current Index'!I270,"AAAAAHV+r1o=")</f>
        <v>#VALUE!</v>
      </c>
      <c r="CN11" s="22" t="n">
        <f aca="false">IF('Current Index'!271:271,"AAAAAHV+r1s=",0)</f>
        <v>0</v>
      </c>
      <c r="CO11" s="22" t="e">
        <f aca="false">AND('Current Index'!A271,"AAAAAHV+r1w=")</f>
        <v>#VALUE!</v>
      </c>
      <c r="CP11" s="22" t="e">
        <f aca="false">AND('current index'!#ref!,"AAAAAHV+r10=")</f>
        <v>#VALUE!</v>
      </c>
      <c r="CQ11" s="22" t="e">
        <f aca="false">AND('Current Index'!B271,"AAAAAHV+r14=")</f>
        <v>#VALUE!</v>
      </c>
      <c r="CR11" s="22" t="e">
        <f aca="false">AND('Current Index'!C271,"AAAAAHV+r18=")</f>
        <v>#VALUE!</v>
      </c>
      <c r="CS11" s="22" t="e">
        <f aca="false">AND('Current Index'!D271,"AAAAAHV+r2A=")</f>
        <v>#VALUE!</v>
      </c>
      <c r="CT11" s="22" t="e">
        <f aca="false">AND('Current Index'!E271,"AAAAAHV+r2E=")</f>
        <v>#VALUE!</v>
      </c>
      <c r="CU11" s="22" t="e">
        <f aca="false">AND('Current Index'!F271,"AAAAAHV+r2I=")</f>
        <v>#VALUE!</v>
      </c>
      <c r="CV11" s="22" t="e">
        <f aca="false">AND('Current Index'!G271,"AAAAAHV+r2M=")</f>
        <v>#VALUE!</v>
      </c>
      <c r="CW11" s="22" t="e">
        <f aca="false">AND('Current Index'!H271,"AAAAAHV+r2Q=")</f>
        <v>#VALUE!</v>
      </c>
      <c r="CX11" s="22" t="e">
        <f aca="false">AND('Current Index'!I271,"AAAAAHV+r2U=")</f>
        <v>#VALUE!</v>
      </c>
      <c r="CY11" s="22" t="n">
        <f aca="false">IF('Current Index'!272:272,"AAAAAHV+r2Y=",0)</f>
        <v>0</v>
      </c>
      <c r="CZ11" s="22" t="e">
        <f aca="false">AND('Current Index'!A272,"AAAAAHV+r2c=")</f>
        <v>#VALUE!</v>
      </c>
      <c r="DA11" s="22" t="e">
        <f aca="false">AND('current index'!#ref!,"AAAAAHV+r2g=")</f>
        <v>#VALUE!</v>
      </c>
      <c r="DB11" s="22" t="e">
        <f aca="false">AND('Current Index'!B272,"AAAAAHV+r2k=")</f>
        <v>#VALUE!</v>
      </c>
      <c r="DC11" s="22" t="e">
        <f aca="false">AND('Current Index'!C272,"AAAAAHV+r2o=")</f>
        <v>#VALUE!</v>
      </c>
      <c r="DD11" s="22" t="e">
        <f aca="false">AND('Current Index'!D272,"AAAAAHV+r2s=")</f>
        <v>#VALUE!</v>
      </c>
      <c r="DE11" s="22" t="e">
        <f aca="false">AND('Current Index'!E272,"AAAAAHV+r2w=")</f>
        <v>#VALUE!</v>
      </c>
      <c r="DF11" s="22" t="e">
        <f aca="false">AND('Current Index'!F272,"AAAAAHV+r20=")</f>
        <v>#VALUE!</v>
      </c>
      <c r="DG11" s="22" t="e">
        <f aca="false">AND('Current Index'!G272,"AAAAAHV+r24=")</f>
        <v>#VALUE!</v>
      </c>
      <c r="DH11" s="22" t="e">
        <f aca="false">AND('Current Index'!H272,"AAAAAHV+r28=")</f>
        <v>#VALUE!</v>
      </c>
      <c r="DI11" s="22" t="e">
        <f aca="false">AND('Current Index'!I272,"AAAAAHV+r3A=")</f>
        <v>#VALUE!</v>
      </c>
      <c r="DJ11" s="22" t="e">
        <f aca="false">IF('current index'!#ref!,"AAAAAHV+r3E=",0)</f>
        <v>#VALUE!</v>
      </c>
      <c r="DK11" s="22" t="e">
        <f aca="false">AND('current index'!#ref!,"AAAAAHV+r3I=")</f>
        <v>#VALUE!</v>
      </c>
      <c r="DL11" s="22" t="e">
        <f aca="false">AND('current index'!#ref!,"AAAAAHV+r3M=")</f>
        <v>#VALUE!</v>
      </c>
      <c r="DM11" s="22" t="e">
        <f aca="false">AND('current index'!#ref!,"AAAAAHV+r3Q=")</f>
        <v>#VALUE!</v>
      </c>
      <c r="DN11" s="22" t="e">
        <f aca="false">AND('current index'!#ref!,"AAAAAHV+r3U=")</f>
        <v>#VALUE!</v>
      </c>
      <c r="DO11" s="22" t="e">
        <f aca="false">AND('current index'!#ref!,"AAAAAHV+r3Y=")</f>
        <v>#VALUE!</v>
      </c>
      <c r="DP11" s="22" t="e">
        <f aca="false">AND('current index'!#ref!,"AAAAAHV+r3c=")</f>
        <v>#VALUE!</v>
      </c>
      <c r="DQ11" s="22" t="e">
        <f aca="false">AND('current index'!#ref!,"AAAAAHV+r3g=")</f>
        <v>#VALUE!</v>
      </c>
      <c r="DR11" s="22" t="e">
        <f aca="false">AND('current index'!#ref!,"AAAAAHV+r3k=")</f>
        <v>#VALUE!</v>
      </c>
      <c r="DS11" s="22" t="e">
        <f aca="false">AND('current index'!#ref!,"AAAAAHV+r3o=")</f>
        <v>#VALUE!</v>
      </c>
      <c r="DT11" s="22" t="e">
        <f aca="false">AND('current index'!#ref!,"AAAAAHV+r3s=")</f>
        <v>#VALUE!</v>
      </c>
      <c r="DU11" s="22" t="n">
        <f aca="false">IF('Current Index'!273:273,"AAAAAHV+r3w=",0)</f>
        <v>0</v>
      </c>
      <c r="DV11" s="22" t="e">
        <f aca="false">AND('Current Index'!A273,"AAAAAHV+r30=")</f>
        <v>#VALUE!</v>
      </c>
      <c r="DW11" s="22" t="e">
        <f aca="false">AND('current index'!#ref!,"AAAAAHV+r34=")</f>
        <v>#VALUE!</v>
      </c>
      <c r="DX11" s="22" t="e">
        <f aca="false">AND('Current Index'!B273,"AAAAAHV+r38=")</f>
        <v>#VALUE!</v>
      </c>
      <c r="DY11" s="22" t="e">
        <f aca="false">AND('Current Index'!C273,"AAAAAHV+r4A=")</f>
        <v>#VALUE!</v>
      </c>
      <c r="DZ11" s="22" t="e">
        <f aca="false">AND('Current Index'!D273,"AAAAAHV+r4E=")</f>
        <v>#VALUE!</v>
      </c>
      <c r="EA11" s="22" t="e">
        <f aca="false">AND('Current Index'!E273,"AAAAAHV+r4I=")</f>
        <v>#VALUE!</v>
      </c>
      <c r="EB11" s="22" t="e">
        <f aca="false">AND('Current Index'!F273,"AAAAAHV+r4M=")</f>
        <v>#VALUE!</v>
      </c>
      <c r="EC11" s="22" t="e">
        <f aca="false">AND('Current Index'!G273,"AAAAAHV+r4Q=")</f>
        <v>#VALUE!</v>
      </c>
      <c r="ED11" s="22" t="e">
        <f aca="false">AND('Current Index'!H273,"AAAAAHV+r4U=")</f>
        <v>#VALUE!</v>
      </c>
      <c r="EE11" s="22" t="e">
        <f aca="false">AND('Current Index'!I273,"AAAAAHV+r4Y=")</f>
        <v>#VALUE!</v>
      </c>
      <c r="EF11" s="22" t="n">
        <f aca="false">IF('Current Index'!274:274,"AAAAAHV+r4c=",0)</f>
        <v>0</v>
      </c>
      <c r="EG11" s="22" t="e">
        <f aca="false">AND('Current Index'!A274,"AAAAAHV+r4g=")</f>
        <v>#VALUE!</v>
      </c>
      <c r="EH11" s="22" t="e">
        <f aca="false">AND('current index'!#ref!,"AAAAAHV+r4k=")</f>
        <v>#VALUE!</v>
      </c>
      <c r="EI11" s="22" t="e">
        <f aca="false">AND('Current Index'!B274,"AAAAAHV+r4o=")</f>
        <v>#VALUE!</v>
      </c>
      <c r="EJ11" s="22" t="e">
        <f aca="false">AND('Current Index'!C274,"AAAAAHV+r4s=")</f>
        <v>#VALUE!</v>
      </c>
      <c r="EK11" s="22" t="e">
        <f aca="false">AND('Current Index'!D274,"AAAAAHV+r4w=")</f>
        <v>#VALUE!</v>
      </c>
      <c r="EL11" s="22" t="e">
        <f aca="false">AND('Current Index'!E274,"AAAAAHV+r40=")</f>
        <v>#VALUE!</v>
      </c>
      <c r="EM11" s="22" t="e">
        <f aca="false">AND('Current Index'!F274,"AAAAAHV+r44=")</f>
        <v>#VALUE!</v>
      </c>
      <c r="EN11" s="22" t="e">
        <f aca="false">AND('Current Index'!G274,"AAAAAHV+r48=")</f>
        <v>#VALUE!</v>
      </c>
      <c r="EO11" s="22" t="e">
        <f aca="false">AND('Current Index'!H274,"AAAAAHV+r5A=")</f>
        <v>#VALUE!</v>
      </c>
      <c r="EP11" s="22" t="e">
        <f aca="false">AND('Current Index'!I274,"AAAAAHV+r5E=")</f>
        <v>#VALUE!</v>
      </c>
      <c r="EQ11" s="22" t="n">
        <f aca="false">IF('Current Index'!275:275,"AAAAAHV+r5I=",0)</f>
        <v>0</v>
      </c>
      <c r="ER11" s="22" t="e">
        <f aca="false">AND('Current Index'!A275,"AAAAAHV+r5M=")</f>
        <v>#VALUE!</v>
      </c>
      <c r="ES11" s="22" t="e">
        <f aca="false">AND('current index'!#ref!,"AAAAAHV+r5Q=")</f>
        <v>#VALUE!</v>
      </c>
      <c r="ET11" s="22" t="e">
        <f aca="false">AND('Current Index'!B275,"AAAAAHV+r5U=")</f>
        <v>#VALUE!</v>
      </c>
      <c r="EU11" s="22" t="e">
        <f aca="false">AND('Current Index'!C275,"AAAAAHV+r5Y=")</f>
        <v>#VALUE!</v>
      </c>
      <c r="EV11" s="22" t="e">
        <f aca="false">AND('Current Index'!D275,"AAAAAHV+r5c=")</f>
        <v>#VALUE!</v>
      </c>
      <c r="EW11" s="22" t="e">
        <f aca="false">AND('Current Index'!E275,"AAAAAHV+r5g=")</f>
        <v>#VALUE!</v>
      </c>
      <c r="EX11" s="22" t="e">
        <f aca="false">AND('Current Index'!F275,"AAAAAHV+r5k=")</f>
        <v>#VALUE!</v>
      </c>
      <c r="EY11" s="22" t="e">
        <f aca="false">AND('Current Index'!G275,"AAAAAHV+r5o=")</f>
        <v>#VALUE!</v>
      </c>
      <c r="EZ11" s="22" t="e">
        <f aca="false">AND('Current Index'!H275,"AAAAAHV+r5s=")</f>
        <v>#VALUE!</v>
      </c>
      <c r="FA11" s="22" t="e">
        <f aca="false">AND('Current Index'!I275,"AAAAAHV+r5w=")</f>
        <v>#VALUE!</v>
      </c>
      <c r="FB11" s="22" t="e">
        <f aca="false">IF(#REF!,"AAAAAHV+r50=",0)</f>
        <v>#REF!</v>
      </c>
      <c r="FC11" s="22" t="e">
        <f aca="false">AND(#REF!,"AAAAAHV+r54=")</f>
        <v>#VALUE!</v>
      </c>
      <c r="FD11" s="22" t="e">
        <f aca="false">AND('current index'!#ref!,"AAAAAHV+r58=")</f>
        <v>#VALUE!</v>
      </c>
      <c r="FE11" s="22" t="e">
        <f aca="false">AND(#REF!,"AAAAAHV+r6A=")</f>
        <v>#VALUE!</v>
      </c>
      <c r="FF11" s="22" t="e">
        <f aca="false">AND(#REF!,"AAAAAHV+r6E=")</f>
        <v>#VALUE!</v>
      </c>
      <c r="FG11" s="22" t="e">
        <f aca="false">AND(#REF!,"AAAAAHV+r6I=")</f>
        <v>#VALUE!</v>
      </c>
      <c r="FH11" s="22" t="e">
        <f aca="false">AND(#REF!,"AAAAAHV+r6M=")</f>
        <v>#VALUE!</v>
      </c>
      <c r="FI11" s="22" t="e">
        <f aca="false">AND(#REF!,"AAAAAHV+r6Q=")</f>
        <v>#VALUE!</v>
      </c>
      <c r="FJ11" s="22" t="e">
        <f aca="false">AND(#REF!,"AAAAAHV+r6U=")</f>
        <v>#VALUE!</v>
      </c>
      <c r="FK11" s="22" t="e">
        <f aca="false">AND(#REF!,"AAAAAHV+r6Y=")</f>
        <v>#VALUE!</v>
      </c>
      <c r="FL11" s="22" t="e">
        <f aca="false">AND(#REF!,"AAAAAHV+r6c=")</f>
        <v>#VALUE!</v>
      </c>
      <c r="FM11" s="22" t="n">
        <f aca="false">IF('Current Index'!276:276,"AAAAAHV+r6g=",0)</f>
        <v>0</v>
      </c>
      <c r="FN11" s="22" t="e">
        <f aca="false">AND('Current Index'!A276,"AAAAAHV+r6k=")</f>
        <v>#VALUE!</v>
      </c>
      <c r="FO11" s="22" t="e">
        <f aca="false">AND('current index'!#ref!,"AAAAAHV+r6o=")</f>
        <v>#VALUE!</v>
      </c>
      <c r="FP11" s="22" t="e">
        <f aca="false">AND('Current Index'!B276,"AAAAAHV+r6s=")</f>
        <v>#VALUE!</v>
      </c>
      <c r="FQ11" s="22" t="e">
        <f aca="false">AND('Current Index'!C276,"AAAAAHV+r6w=")</f>
        <v>#VALUE!</v>
      </c>
      <c r="FR11" s="22" t="e">
        <f aca="false">AND('Current Index'!D276,"AAAAAHV+r60=")</f>
        <v>#VALUE!</v>
      </c>
      <c r="FS11" s="22" t="e">
        <f aca="false">AND('Current Index'!E276,"AAAAAHV+r64=")</f>
        <v>#VALUE!</v>
      </c>
      <c r="FT11" s="22" t="e">
        <f aca="false">AND('Current Index'!F276,"AAAAAHV+r68=")</f>
        <v>#VALUE!</v>
      </c>
      <c r="FU11" s="22" t="e">
        <f aca="false">AND('Current Index'!G276,"AAAAAHV+r7A=")</f>
        <v>#VALUE!</v>
      </c>
      <c r="FV11" s="22" t="e">
        <f aca="false">AND('Current Index'!H276,"AAAAAHV+r7E=")</f>
        <v>#VALUE!</v>
      </c>
      <c r="FW11" s="22" t="e">
        <f aca="false">AND('Current Index'!I276,"AAAAAHV+r7I=")</f>
        <v>#VALUE!</v>
      </c>
      <c r="FX11" s="22" t="n">
        <f aca="false">IF('Current Index'!277:277,"AAAAAHV+r7M=",0)</f>
        <v>0</v>
      </c>
      <c r="FY11" s="22" t="e">
        <f aca="false">AND('Current Index'!A277,"AAAAAHV+r7Q=")</f>
        <v>#VALUE!</v>
      </c>
      <c r="FZ11" s="22" t="e">
        <f aca="false">AND('current index'!#ref!,"AAAAAHV+r7U=")</f>
        <v>#VALUE!</v>
      </c>
      <c r="GA11" s="22" t="e">
        <f aca="false">AND('Current Index'!B277,"AAAAAHV+r7Y=")</f>
        <v>#VALUE!</v>
      </c>
      <c r="GB11" s="22" t="e">
        <f aca="false">AND('Current Index'!C277,"AAAAAHV+r7c=")</f>
        <v>#VALUE!</v>
      </c>
      <c r="GC11" s="22" t="e">
        <f aca="false">AND('Current Index'!D277,"AAAAAHV+r7g=")</f>
        <v>#VALUE!</v>
      </c>
      <c r="GD11" s="22" t="e">
        <f aca="false">AND('Current Index'!E277,"AAAAAHV+r7k=")</f>
        <v>#VALUE!</v>
      </c>
      <c r="GE11" s="22" t="e">
        <f aca="false">AND('Current Index'!F277,"AAAAAHV+r7o=")</f>
        <v>#VALUE!</v>
      </c>
      <c r="GF11" s="22" t="e">
        <f aca="false">AND('Current Index'!G277,"AAAAAHV+r7s=")</f>
        <v>#VALUE!</v>
      </c>
      <c r="GG11" s="22" t="e">
        <f aca="false">AND('Current Index'!H277,"AAAAAHV+r7w=")</f>
        <v>#VALUE!</v>
      </c>
      <c r="GH11" s="22" t="e">
        <f aca="false">AND('Current Index'!I277,"AAAAAHV+r70=")</f>
        <v>#VALUE!</v>
      </c>
      <c r="GI11" s="22" t="n">
        <f aca="false">IF('Current Index'!278:278,"AAAAAHV+r74=",0)</f>
        <v>0</v>
      </c>
      <c r="GJ11" s="22" t="e">
        <f aca="false">AND('Current Index'!A278,"AAAAAHV+r78=")</f>
        <v>#VALUE!</v>
      </c>
      <c r="GK11" s="22" t="e">
        <f aca="false">AND('current index'!#ref!,"AAAAAHV+r8A=")</f>
        <v>#VALUE!</v>
      </c>
      <c r="GL11" s="22" t="e">
        <f aca="false">AND('Current Index'!B278,"AAAAAHV+r8E=")</f>
        <v>#VALUE!</v>
      </c>
      <c r="GM11" s="22" t="e">
        <f aca="false">AND('Current Index'!C278,"AAAAAHV+r8I=")</f>
        <v>#VALUE!</v>
      </c>
      <c r="GN11" s="22" t="e">
        <f aca="false">AND('Current Index'!D278,"AAAAAHV+r8M=")</f>
        <v>#VALUE!</v>
      </c>
      <c r="GO11" s="22" t="e">
        <f aca="false">AND('Current Index'!E278,"AAAAAHV+r8Q=")</f>
        <v>#VALUE!</v>
      </c>
      <c r="GP11" s="22" t="e">
        <f aca="false">AND('Current Index'!F278,"AAAAAHV+r8U=")</f>
        <v>#VALUE!</v>
      </c>
      <c r="GQ11" s="22" t="e">
        <f aca="false">AND('Current Index'!G278,"AAAAAHV+r8Y=")</f>
        <v>#VALUE!</v>
      </c>
      <c r="GR11" s="22" t="e">
        <f aca="false">AND('Current Index'!H278,"AAAAAHV+r8c=")</f>
        <v>#VALUE!</v>
      </c>
      <c r="GS11" s="22" t="e">
        <f aca="false">AND('Current Index'!I278,"AAAAAHV+r8g=")</f>
        <v>#VALUE!</v>
      </c>
      <c r="GT11" s="22" t="e">
        <f aca="false">IF('current index'!#ref!,"AAAAAHV+r8k=",0)</f>
        <v>#VALUE!</v>
      </c>
      <c r="GU11" s="22" t="e">
        <f aca="false">AND('current index'!#ref!,"AAAAAHV+r8o=")</f>
        <v>#VALUE!</v>
      </c>
      <c r="GV11" s="22" t="e">
        <f aca="false">AND('current index'!#ref!,"AAAAAHV+r8s=")</f>
        <v>#VALUE!</v>
      </c>
      <c r="GW11" s="22" t="e">
        <f aca="false">AND('current index'!#ref!,"AAAAAHV+r8w=")</f>
        <v>#VALUE!</v>
      </c>
      <c r="GX11" s="22" t="e">
        <f aca="false">AND('current index'!#ref!,"AAAAAHV+r80=")</f>
        <v>#VALUE!</v>
      </c>
      <c r="GY11" s="22" t="e">
        <f aca="false">AND('current index'!#ref!,"AAAAAHV+r84=")</f>
        <v>#VALUE!</v>
      </c>
      <c r="GZ11" s="22" t="e">
        <f aca="false">AND('current index'!#ref!,"AAAAAHV+r88=")</f>
        <v>#VALUE!</v>
      </c>
      <c r="HA11" s="22" t="e">
        <f aca="false">AND('current index'!#ref!,"AAAAAHV+r9A=")</f>
        <v>#VALUE!</v>
      </c>
      <c r="HB11" s="22" t="e">
        <f aca="false">AND('current index'!#ref!,"AAAAAHV+r9E=")</f>
        <v>#VALUE!</v>
      </c>
      <c r="HC11" s="22" t="e">
        <f aca="false">AND('current index'!#ref!,"AAAAAHV+r9I=")</f>
        <v>#VALUE!</v>
      </c>
      <c r="HD11" s="22" t="e">
        <f aca="false">AND('current index'!#ref!,"AAAAAHV+r9M=")</f>
        <v>#VALUE!</v>
      </c>
      <c r="HE11" s="22" t="n">
        <f aca="false">IF('Current Index'!279:279,"AAAAAHV+r9Q=",0)</f>
        <v>0</v>
      </c>
      <c r="HF11" s="22" t="e">
        <f aca="false">AND('Current Index'!A279,"AAAAAHV+r9U=")</f>
        <v>#VALUE!</v>
      </c>
      <c r="HG11" s="22" t="e">
        <f aca="false">AND('current index'!#ref!,"AAAAAHV+r9Y=")</f>
        <v>#VALUE!</v>
      </c>
      <c r="HH11" s="22" t="e">
        <f aca="false">AND('Current Index'!B279,"AAAAAHV+r9c=")</f>
        <v>#VALUE!</v>
      </c>
      <c r="HI11" s="22" t="e">
        <f aca="false">AND('Current Index'!C279,"AAAAAHV+r9g=")</f>
        <v>#VALUE!</v>
      </c>
      <c r="HJ11" s="22" t="e">
        <f aca="false">AND('Current Index'!D279,"AAAAAHV+r9k=")</f>
        <v>#VALUE!</v>
      </c>
      <c r="HK11" s="22" t="e">
        <f aca="false">AND('Current Index'!E279,"AAAAAHV+r9o=")</f>
        <v>#VALUE!</v>
      </c>
      <c r="HL11" s="22" t="e">
        <f aca="false">AND('Current Index'!F279,"AAAAAHV+r9s=")</f>
        <v>#VALUE!</v>
      </c>
      <c r="HM11" s="22" t="e">
        <f aca="false">AND('Current Index'!G279,"AAAAAHV+r9w=")</f>
        <v>#VALUE!</v>
      </c>
      <c r="HN11" s="22" t="e">
        <f aca="false">AND('Current Index'!H279,"AAAAAHV+r90=")</f>
        <v>#VALUE!</v>
      </c>
      <c r="HO11" s="22" t="e">
        <f aca="false">AND('Current Index'!I279,"AAAAAHV+r94=")</f>
        <v>#VALUE!</v>
      </c>
      <c r="HP11" s="22" t="n">
        <f aca="false">IF('Current Index'!280:280,"AAAAAHV+r98=",0)</f>
        <v>0</v>
      </c>
      <c r="HQ11" s="22" t="e">
        <f aca="false">AND('Current Index'!A280,"AAAAAHV+r+A=")</f>
        <v>#VALUE!</v>
      </c>
      <c r="HR11" s="22" t="e">
        <f aca="false">AND('current index'!#ref!,"AAAAAHV+r+E=")</f>
        <v>#VALUE!</v>
      </c>
      <c r="HS11" s="22" t="e">
        <f aca="false">AND('Current Index'!B280,"AAAAAHV+r+I=")</f>
        <v>#VALUE!</v>
      </c>
      <c r="HT11" s="22" t="e">
        <f aca="false">AND('Current Index'!C280,"AAAAAHV+r+M=")</f>
        <v>#VALUE!</v>
      </c>
      <c r="HU11" s="22" t="e">
        <f aca="false">AND('Current Index'!D280,"AAAAAHV+r+Q=")</f>
        <v>#VALUE!</v>
      </c>
      <c r="HV11" s="22" t="e">
        <f aca="false">AND('Current Index'!E280,"AAAAAHV+r+U=")</f>
        <v>#VALUE!</v>
      </c>
      <c r="HW11" s="22" t="e">
        <f aca="false">AND('Current Index'!F280,"AAAAAHV+r+Y=")</f>
        <v>#VALUE!</v>
      </c>
      <c r="HX11" s="22" t="e">
        <f aca="false">AND('Current Index'!G280,"AAAAAHV+r+c=")</f>
        <v>#VALUE!</v>
      </c>
      <c r="HY11" s="22" t="e">
        <f aca="false">AND('Current Index'!H280,"AAAAAHV+r+g=")</f>
        <v>#VALUE!</v>
      </c>
      <c r="HZ11" s="22" t="e">
        <f aca="false">AND('Current Index'!I280,"AAAAAHV+r+k=")</f>
        <v>#VALUE!</v>
      </c>
      <c r="IA11" s="22" t="n">
        <f aca="false">IF('Current Index'!281:281,"AAAAAHV+r+o=",0)</f>
        <v>0</v>
      </c>
      <c r="IB11" s="22" t="e">
        <f aca="false">AND('Current Index'!A281,"AAAAAHV+r+s=")</f>
        <v>#VALUE!</v>
      </c>
      <c r="IC11" s="22" t="e">
        <f aca="false">AND('current index'!#ref!,"AAAAAHV+r+w=")</f>
        <v>#VALUE!</v>
      </c>
      <c r="ID11" s="22" t="e">
        <f aca="false">AND('Current Index'!B281,"AAAAAHV+r+0=")</f>
        <v>#VALUE!</v>
      </c>
      <c r="IE11" s="22" t="e">
        <f aca="false">AND('Current Index'!C281,"AAAAAHV+r+4=")</f>
        <v>#VALUE!</v>
      </c>
      <c r="IF11" s="22" t="e">
        <f aca="false">AND('Current Index'!D281,"AAAAAHV+r+8=")</f>
        <v>#VALUE!</v>
      </c>
      <c r="IG11" s="22" t="e">
        <f aca="false">AND('Current Index'!E281,"AAAAAHV+r/A=")</f>
        <v>#VALUE!</v>
      </c>
      <c r="IH11" s="22" t="e">
        <f aca="false">AND('Current Index'!F281,"AAAAAHV+r/E=")</f>
        <v>#VALUE!</v>
      </c>
      <c r="II11" s="22" t="e">
        <f aca="false">AND('Current Index'!G281,"AAAAAHV+r/I=")</f>
        <v>#VALUE!</v>
      </c>
      <c r="IJ11" s="22" t="e">
        <f aca="false">AND('Current Index'!H281,"AAAAAHV+r/M=")</f>
        <v>#VALUE!</v>
      </c>
      <c r="IK11" s="22" t="e">
        <f aca="false">AND('Current Index'!I281,"AAAAAHV+r/Q=")</f>
        <v>#VALUE!</v>
      </c>
      <c r="IL11" s="22" t="e">
        <f aca="false">IF('current index'!#ref!,"AAAAAHV+r/U=",0)</f>
        <v>#VALUE!</v>
      </c>
      <c r="IM11" s="22" t="e">
        <f aca="false">AND('current index'!#ref!,"AAAAAHV+r/Y=")</f>
        <v>#VALUE!</v>
      </c>
      <c r="IN11" s="22" t="e">
        <f aca="false">AND('current index'!#ref!,"AAAAAHV+r/c=")</f>
        <v>#VALUE!</v>
      </c>
      <c r="IO11" s="22" t="e">
        <f aca="false">AND('current index'!#ref!,"AAAAAHV+r/g=")</f>
        <v>#VALUE!</v>
      </c>
      <c r="IP11" s="22" t="e">
        <f aca="false">AND('current index'!#ref!,"AAAAAHV+r/k=")</f>
        <v>#VALUE!</v>
      </c>
      <c r="IQ11" s="22" t="e">
        <f aca="false">AND('current index'!#ref!,"AAAAAHV+r/o=")</f>
        <v>#VALUE!</v>
      </c>
      <c r="IR11" s="22" t="e">
        <f aca="false">AND('current index'!#ref!,"AAAAAHV+r/s=")</f>
        <v>#VALUE!</v>
      </c>
      <c r="IS11" s="22" t="e">
        <f aca="false">AND('current index'!#ref!,"AAAAAHV+r/w=")</f>
        <v>#VALUE!</v>
      </c>
      <c r="IT11" s="22" t="e">
        <f aca="false">AND('current index'!#ref!,"AAAAAHV+r/0=")</f>
        <v>#VALUE!</v>
      </c>
      <c r="IU11" s="22" t="e">
        <f aca="false">AND('current index'!#ref!,"AAAAAHV+r/4=")</f>
        <v>#VALUE!</v>
      </c>
      <c r="IV11" s="22" t="e">
        <f aca="false">AND('current index'!#ref!,"AAAAAHV+r/8=")</f>
        <v>#VALUE!</v>
      </c>
    </row>
    <row r="12" customFormat="false" ht="12.75" hidden="false" customHeight="false" outlineLevel="0" collapsed="false">
      <c r="A12" s="22" t="n">
        <f aca="false">IF('Current Index'!282:282,"AAAAAFPr9gA=",0)</f>
        <v>0</v>
      </c>
      <c r="B12" s="22" t="e">
        <f aca="false">AND('Current Index'!A282,"AAAAAFPr9gE=")</f>
        <v>#VALUE!</v>
      </c>
      <c r="C12" s="22" t="e">
        <f aca="false">AND('current index'!#ref!,"AAAAAFPr9gI=")</f>
        <v>#VALUE!</v>
      </c>
      <c r="D12" s="22" t="e">
        <f aca="false">AND('Current Index'!B282,"AAAAAFPr9gM=")</f>
        <v>#VALUE!</v>
      </c>
      <c r="E12" s="22" t="e">
        <f aca="false">AND('Current Index'!C282,"AAAAAFPr9gQ=")</f>
        <v>#VALUE!</v>
      </c>
      <c r="F12" s="22" t="e">
        <f aca="false">AND('Current Index'!D282,"AAAAAFPr9gU=")</f>
        <v>#VALUE!</v>
      </c>
      <c r="G12" s="22" t="e">
        <f aca="false">AND('Current Index'!E282,"AAAAAFPr9gY=")</f>
        <v>#VALUE!</v>
      </c>
      <c r="H12" s="22" t="e">
        <f aca="false">AND('Current Index'!F282,"AAAAAFPr9gc=")</f>
        <v>#VALUE!</v>
      </c>
      <c r="I12" s="22" t="e">
        <f aca="false">AND('Current Index'!G282,"AAAAAFPr9gg=")</f>
        <v>#VALUE!</v>
      </c>
      <c r="J12" s="22" t="e">
        <f aca="false">AND('Current Index'!H282,"AAAAAFPr9gk=")</f>
        <v>#VALUE!</v>
      </c>
      <c r="K12" s="22" t="e">
        <f aca="false">AND('Current Index'!I282,"AAAAAFPr9go=")</f>
        <v>#VALUE!</v>
      </c>
      <c r="L12" s="22" t="n">
        <f aca="false">IF('Current Index'!283:283,"AAAAAFPr9gs=",0)</f>
        <v>0</v>
      </c>
      <c r="M12" s="22" t="e">
        <f aca="false">AND('Current Index'!A283,"AAAAAFPr9gw=")</f>
        <v>#VALUE!</v>
      </c>
      <c r="N12" s="22" t="e">
        <f aca="false">AND('current index'!#ref!,"AAAAAFPr9g0=")</f>
        <v>#VALUE!</v>
      </c>
      <c r="O12" s="22" t="e">
        <f aca="false">AND('Current Index'!B283,"AAAAAFPr9g4=")</f>
        <v>#VALUE!</v>
      </c>
      <c r="P12" s="22" t="e">
        <f aca="false">AND('Current Index'!C283,"AAAAAFPr9g8=")</f>
        <v>#VALUE!</v>
      </c>
      <c r="Q12" s="22" t="e">
        <f aca="false">AND('Current Index'!D283,"AAAAAFPr9hA=")</f>
        <v>#VALUE!</v>
      </c>
      <c r="R12" s="22" t="e">
        <f aca="false">AND('Current Index'!E283,"AAAAAFPr9hE=")</f>
        <v>#VALUE!</v>
      </c>
      <c r="S12" s="22" t="e">
        <f aca="false">AND('Current Index'!F283,"AAAAAFPr9hI=")</f>
        <v>#VALUE!</v>
      </c>
      <c r="T12" s="22" t="e">
        <f aca="false">AND('Current Index'!G283,"AAAAAFPr9hM=")</f>
        <v>#VALUE!</v>
      </c>
      <c r="U12" s="22" t="e">
        <f aca="false">AND('Current Index'!H283,"AAAAAFPr9hQ=")</f>
        <v>#VALUE!</v>
      </c>
      <c r="V12" s="22" t="e">
        <f aca="false">AND('Current Index'!I283,"AAAAAFPr9hU=")</f>
        <v>#VALUE!</v>
      </c>
      <c r="W12" s="22" t="n">
        <f aca="false">IF('Current Index'!284:284,"AAAAAFPr9hY=",0)</f>
        <v>0</v>
      </c>
      <c r="X12" s="22" t="e">
        <f aca="false">AND('Current Index'!A284,"AAAAAFPr9hc=")</f>
        <v>#VALUE!</v>
      </c>
      <c r="Y12" s="22" t="e">
        <f aca="false">AND('current index'!#ref!,"AAAAAFPr9hg=")</f>
        <v>#VALUE!</v>
      </c>
      <c r="Z12" s="22" t="e">
        <f aca="false">AND('Current Index'!B284,"AAAAAFPr9hk=")</f>
        <v>#VALUE!</v>
      </c>
      <c r="AA12" s="22" t="e">
        <f aca="false">AND('Current Index'!C284,"AAAAAFPr9ho=")</f>
        <v>#VALUE!</v>
      </c>
      <c r="AB12" s="22" t="e">
        <f aca="false">AND('Current Index'!D284,"AAAAAFPr9hs=")</f>
        <v>#VALUE!</v>
      </c>
      <c r="AC12" s="22" t="e">
        <f aca="false">AND('Current Index'!E284,"AAAAAFPr9hw=")</f>
        <v>#VALUE!</v>
      </c>
      <c r="AD12" s="22" t="e">
        <f aca="false">AND('Current Index'!F284,"AAAAAFPr9h0=")</f>
        <v>#VALUE!</v>
      </c>
      <c r="AE12" s="22" t="e">
        <f aca="false">AND('Current Index'!G284,"AAAAAFPr9h4=")</f>
        <v>#VALUE!</v>
      </c>
      <c r="AF12" s="22" t="e">
        <f aca="false">AND('Current Index'!H284,"AAAAAFPr9h8=")</f>
        <v>#VALUE!</v>
      </c>
      <c r="AG12" s="22" t="e">
        <f aca="false">AND('Current Index'!I284,"AAAAAFPr9iA=")</f>
        <v>#VALUE!</v>
      </c>
      <c r="AH12" s="22" t="n">
        <f aca="false">IF('Current Index'!285:285,"AAAAAFPr9iE=",0)</f>
        <v>0</v>
      </c>
      <c r="AI12" s="22" t="e">
        <f aca="false">AND('Current Index'!A285,"AAAAAFPr9iI=")</f>
        <v>#VALUE!</v>
      </c>
      <c r="AJ12" s="22" t="e">
        <f aca="false">AND('current index'!#ref!,"AAAAAFPr9iM=")</f>
        <v>#VALUE!</v>
      </c>
      <c r="AK12" s="22" t="e">
        <f aca="false">AND('Current Index'!B285,"AAAAAFPr9iQ=")</f>
        <v>#VALUE!</v>
      </c>
      <c r="AL12" s="22" t="e">
        <f aca="false">AND('Current Index'!C285,"AAAAAFPr9iU=")</f>
        <v>#VALUE!</v>
      </c>
      <c r="AM12" s="22" t="e">
        <f aca="false">AND('Current Index'!D285,"AAAAAFPr9iY=")</f>
        <v>#VALUE!</v>
      </c>
      <c r="AN12" s="22" t="e">
        <f aca="false">AND('Current Index'!E285,"AAAAAFPr9ic=")</f>
        <v>#VALUE!</v>
      </c>
      <c r="AO12" s="22" t="e">
        <f aca="false">AND('Current Index'!F285,"AAAAAFPr9ig=")</f>
        <v>#VALUE!</v>
      </c>
      <c r="AP12" s="22" t="e">
        <f aca="false">AND('Current Index'!G285,"AAAAAFPr9ik=")</f>
        <v>#VALUE!</v>
      </c>
      <c r="AQ12" s="22" t="e">
        <f aca="false">AND('Current Index'!H285,"AAAAAFPr9io=")</f>
        <v>#VALUE!</v>
      </c>
      <c r="AR12" s="22" t="e">
        <f aca="false">AND('Current Index'!I285,"AAAAAFPr9is=")</f>
        <v>#VALUE!</v>
      </c>
      <c r="AS12" s="22" t="n">
        <f aca="false">IF('Current Index'!286:286,"AAAAAFPr9iw=",0)</f>
        <v>0</v>
      </c>
      <c r="AT12" s="22" t="e">
        <f aca="false">AND('Current Index'!A286,"AAAAAFPr9i0=")</f>
        <v>#VALUE!</v>
      </c>
      <c r="AU12" s="22" t="e">
        <f aca="false">AND('current index'!#ref!,"AAAAAFPr9i4=")</f>
        <v>#VALUE!</v>
      </c>
      <c r="AV12" s="22" t="e">
        <f aca="false">AND('Current Index'!B286,"AAAAAFPr9i8=")</f>
        <v>#VALUE!</v>
      </c>
      <c r="AW12" s="22" t="e">
        <f aca="false">AND('Current Index'!C286,"AAAAAFPr9jA=")</f>
        <v>#VALUE!</v>
      </c>
      <c r="AX12" s="22" t="e">
        <f aca="false">AND('Current Index'!D286,"AAAAAFPr9jE=")</f>
        <v>#VALUE!</v>
      </c>
      <c r="AY12" s="22" t="e">
        <f aca="false">AND('Current Index'!E286,"AAAAAFPr9jI=")</f>
        <v>#VALUE!</v>
      </c>
      <c r="AZ12" s="22" t="e">
        <f aca="false">AND('Current Index'!F286,"AAAAAFPr9jM=")</f>
        <v>#VALUE!</v>
      </c>
      <c r="BA12" s="22" t="e">
        <f aca="false">AND('Current Index'!G286,"AAAAAFPr9jQ=")</f>
        <v>#VALUE!</v>
      </c>
      <c r="BB12" s="22" t="e">
        <f aca="false">AND('Current Index'!H286,"AAAAAFPr9jU=")</f>
        <v>#VALUE!</v>
      </c>
      <c r="BC12" s="22" t="e">
        <f aca="false">AND('Current Index'!I286,"AAAAAFPr9jY=")</f>
        <v>#VALUE!</v>
      </c>
      <c r="BD12" s="22" t="n">
        <f aca="false">IF('Current Index'!287:287,"AAAAAFPr9jc=",0)</f>
        <v>0</v>
      </c>
      <c r="BE12" s="22" t="e">
        <f aca="false">AND('Current Index'!A287,"AAAAAFPr9jg=")</f>
        <v>#VALUE!</v>
      </c>
      <c r="BF12" s="22" t="e">
        <f aca="false">AND('current index'!#ref!,"AAAAAFPr9jk=")</f>
        <v>#VALUE!</v>
      </c>
      <c r="BG12" s="22" t="e">
        <f aca="false">AND('Current Index'!B287,"AAAAAFPr9jo=")</f>
        <v>#VALUE!</v>
      </c>
      <c r="BH12" s="22" t="e">
        <f aca="false">AND('Current Index'!C287,"AAAAAFPr9js=")</f>
        <v>#VALUE!</v>
      </c>
      <c r="BI12" s="22" t="e">
        <f aca="false">AND('Current Index'!D287,"AAAAAFPr9jw=")</f>
        <v>#VALUE!</v>
      </c>
      <c r="BJ12" s="22" t="e">
        <f aca="false">AND('Current Index'!E287,"AAAAAFPr9j0=")</f>
        <v>#VALUE!</v>
      </c>
      <c r="BK12" s="22" t="e">
        <f aca="false">AND('Current Index'!F287,"AAAAAFPr9j4=")</f>
        <v>#VALUE!</v>
      </c>
      <c r="BL12" s="22" t="e">
        <f aca="false">AND('Current Index'!G287,"AAAAAFPr9j8=")</f>
        <v>#VALUE!</v>
      </c>
      <c r="BM12" s="22" t="e">
        <f aca="false">AND('Current Index'!H287,"AAAAAFPr9kA=")</f>
        <v>#VALUE!</v>
      </c>
      <c r="BN12" s="22" t="e">
        <f aca="false">AND('Current Index'!I287,"AAAAAFPr9kE=")</f>
        <v>#VALUE!</v>
      </c>
      <c r="BO12" s="22" t="n">
        <f aca="false">IF('Current Index'!288:288,"AAAAAFPr9kI=",0)</f>
        <v>0</v>
      </c>
      <c r="BP12" s="22" t="e">
        <f aca="false">AND('Current Index'!A288,"AAAAAFPr9kM=")</f>
        <v>#VALUE!</v>
      </c>
      <c r="BQ12" s="22" t="e">
        <f aca="false">AND('current index'!#ref!,"AAAAAFPr9kQ=")</f>
        <v>#VALUE!</v>
      </c>
      <c r="BR12" s="22" t="e">
        <f aca="false">AND('Current Index'!B288,"AAAAAFPr9kU=")</f>
        <v>#VALUE!</v>
      </c>
      <c r="BS12" s="22" t="e">
        <f aca="false">AND('Current Index'!C288,"AAAAAFPr9kY=")</f>
        <v>#VALUE!</v>
      </c>
      <c r="BT12" s="22" t="e">
        <f aca="false">AND('Current Index'!D288,"AAAAAFPr9kc=")</f>
        <v>#VALUE!</v>
      </c>
      <c r="BU12" s="22" t="e">
        <f aca="false">AND('Current Index'!E288,"AAAAAFPr9kg=")</f>
        <v>#VALUE!</v>
      </c>
      <c r="BV12" s="22" t="e">
        <f aca="false">AND('Current Index'!F288,"AAAAAFPr9kk=")</f>
        <v>#VALUE!</v>
      </c>
      <c r="BW12" s="22" t="e">
        <f aca="false">AND('Current Index'!G288,"AAAAAFPr9ko=")</f>
        <v>#VALUE!</v>
      </c>
      <c r="BX12" s="22" t="e">
        <f aca="false">AND('Current Index'!H288,"AAAAAFPr9ks=")</f>
        <v>#VALUE!</v>
      </c>
      <c r="BY12" s="22" t="e">
        <f aca="false">AND('Current Index'!I288,"AAAAAFPr9kw=")</f>
        <v>#VALUE!</v>
      </c>
      <c r="BZ12" s="22" t="n">
        <f aca="false">IF('Current Index'!289:289,"AAAAAFPr9k0=",0)</f>
        <v>0</v>
      </c>
      <c r="CA12" s="22" t="e">
        <f aca="false">AND('Current Index'!A289,"AAAAAFPr9k4=")</f>
        <v>#VALUE!</v>
      </c>
      <c r="CB12" s="22" t="e">
        <f aca="false">AND('current index'!#ref!,"AAAAAFPr9k8=")</f>
        <v>#VALUE!</v>
      </c>
      <c r="CC12" s="22" t="e">
        <f aca="false">AND('Current Index'!B289,"AAAAAFPr9lA=")</f>
        <v>#VALUE!</v>
      </c>
      <c r="CD12" s="22" t="e">
        <f aca="false">AND('Current Index'!C289,"AAAAAFPr9lE=")</f>
        <v>#VALUE!</v>
      </c>
      <c r="CE12" s="22" t="e">
        <f aca="false">AND('Current Index'!D289,"AAAAAFPr9lI=")</f>
        <v>#VALUE!</v>
      </c>
      <c r="CF12" s="22" t="e">
        <f aca="false">AND('Current Index'!E289,"AAAAAFPr9lM=")</f>
        <v>#VALUE!</v>
      </c>
      <c r="CG12" s="22" t="e">
        <f aca="false">AND('Current Index'!F289,"AAAAAFPr9lQ=")</f>
        <v>#VALUE!</v>
      </c>
      <c r="CH12" s="22" t="e">
        <f aca="false">AND('Current Index'!G289,"AAAAAFPr9lU=")</f>
        <v>#VALUE!</v>
      </c>
      <c r="CI12" s="22" t="e">
        <f aca="false">AND('Current Index'!H289,"AAAAAFPr9lY=")</f>
        <v>#VALUE!</v>
      </c>
      <c r="CJ12" s="22" t="e">
        <f aca="false">AND('Current Index'!I289,"AAAAAFPr9lc=")</f>
        <v>#VALUE!</v>
      </c>
      <c r="CK12" s="22" t="n">
        <f aca="false">IF('Current Index'!290:290,"AAAAAFPr9lg=",0)</f>
        <v>0</v>
      </c>
      <c r="CL12" s="22" t="e">
        <f aca="false">AND('Current Index'!A290,"AAAAAFPr9lk=")</f>
        <v>#VALUE!</v>
      </c>
      <c r="CM12" s="22" t="e">
        <f aca="false">AND('current index'!#ref!,"AAAAAFPr9lo=")</f>
        <v>#VALUE!</v>
      </c>
      <c r="CN12" s="22" t="e">
        <f aca="false">AND('Current Index'!B290,"AAAAAFPr9ls=")</f>
        <v>#VALUE!</v>
      </c>
      <c r="CO12" s="22" t="e">
        <f aca="false">AND('Current Index'!C290,"AAAAAFPr9lw=")</f>
        <v>#VALUE!</v>
      </c>
      <c r="CP12" s="22" t="e">
        <f aca="false">AND('Current Index'!D290,"AAAAAFPr9l0=")</f>
        <v>#VALUE!</v>
      </c>
      <c r="CQ12" s="22" t="e">
        <f aca="false">AND('Current Index'!E290,"AAAAAFPr9l4=")</f>
        <v>#VALUE!</v>
      </c>
      <c r="CR12" s="22" t="e">
        <f aca="false">AND('Current Index'!F290,"AAAAAFPr9l8=")</f>
        <v>#VALUE!</v>
      </c>
      <c r="CS12" s="22" t="e">
        <f aca="false">AND('Current Index'!G290,"AAAAAFPr9mA=")</f>
        <v>#VALUE!</v>
      </c>
      <c r="CT12" s="22" t="e">
        <f aca="false">AND('Current Index'!H290,"AAAAAFPr9mE=")</f>
        <v>#VALUE!</v>
      </c>
      <c r="CU12" s="22" t="e">
        <f aca="false">AND('Current Index'!I290,"AAAAAFPr9mI=")</f>
        <v>#VALUE!</v>
      </c>
      <c r="CV12" s="22" t="n">
        <f aca="false">IF('Current Index'!291:291,"AAAAAFPr9mM=",0)</f>
        <v>0</v>
      </c>
      <c r="CW12" s="22" t="e">
        <f aca="false">AND('Current Index'!A291,"AAAAAFPr9mQ=")</f>
        <v>#VALUE!</v>
      </c>
      <c r="CX12" s="22" t="e">
        <f aca="false">AND('current index'!#ref!,"AAAAAFPr9mU=")</f>
        <v>#VALUE!</v>
      </c>
      <c r="CY12" s="22" t="e">
        <f aca="false">AND('Current Index'!B291,"AAAAAFPr9mY=")</f>
        <v>#VALUE!</v>
      </c>
      <c r="CZ12" s="22" t="e">
        <f aca="false">AND('Current Index'!C291,"AAAAAFPr9mc=")</f>
        <v>#VALUE!</v>
      </c>
      <c r="DA12" s="22" t="e">
        <f aca="false">AND('Current Index'!D291,"AAAAAFPr9mg=")</f>
        <v>#VALUE!</v>
      </c>
      <c r="DB12" s="22" t="e">
        <f aca="false">AND('Current Index'!E291,"AAAAAFPr9mk=")</f>
        <v>#VALUE!</v>
      </c>
      <c r="DC12" s="22" t="e">
        <f aca="false">AND('Current Index'!F291,"AAAAAFPr9mo=")</f>
        <v>#VALUE!</v>
      </c>
      <c r="DD12" s="22" t="e">
        <f aca="false">AND('Current Index'!G291,"AAAAAFPr9ms=")</f>
        <v>#VALUE!</v>
      </c>
      <c r="DE12" s="22" t="e">
        <f aca="false">AND('Current Index'!H291,"AAAAAFPr9mw=")</f>
        <v>#VALUE!</v>
      </c>
      <c r="DF12" s="22" t="e">
        <f aca="false">AND('Current Index'!I291,"AAAAAFPr9m0=")</f>
        <v>#VALUE!</v>
      </c>
      <c r="DG12" s="22" t="n">
        <f aca="false">IF('Current Index'!292:292,"AAAAAFPr9m4=",0)</f>
        <v>0</v>
      </c>
      <c r="DH12" s="22" t="e">
        <f aca="false">AND('Current Index'!A292,"AAAAAFPr9m8=")</f>
        <v>#VALUE!</v>
      </c>
      <c r="DI12" s="22" t="e">
        <f aca="false">AND('current index'!#ref!,"AAAAAFPr9nA=")</f>
        <v>#VALUE!</v>
      </c>
      <c r="DJ12" s="22" t="e">
        <f aca="false">AND('Current Index'!B292,"AAAAAFPr9nE=")</f>
        <v>#VALUE!</v>
      </c>
      <c r="DK12" s="22" t="e">
        <f aca="false">AND('Current Index'!C292,"AAAAAFPr9nI=")</f>
        <v>#VALUE!</v>
      </c>
      <c r="DL12" s="22" t="e">
        <f aca="false">AND('Current Index'!D292,"AAAAAFPr9nM=")</f>
        <v>#VALUE!</v>
      </c>
      <c r="DM12" s="22" t="e">
        <f aca="false">AND('Current Index'!E292,"AAAAAFPr9nQ=")</f>
        <v>#VALUE!</v>
      </c>
      <c r="DN12" s="22" t="e">
        <f aca="false">AND('Current Index'!F292,"AAAAAFPr9nU=")</f>
        <v>#VALUE!</v>
      </c>
      <c r="DO12" s="22" t="e">
        <f aca="false">AND('Current Index'!G292,"AAAAAFPr9nY=")</f>
        <v>#VALUE!</v>
      </c>
      <c r="DP12" s="22" t="e">
        <f aca="false">AND('Current Index'!H292,"AAAAAFPr9nc=")</f>
        <v>#VALUE!</v>
      </c>
      <c r="DQ12" s="22" t="e">
        <f aca="false">AND('Current Index'!I292,"AAAAAFPr9ng=")</f>
        <v>#VALUE!</v>
      </c>
      <c r="DR12" s="22" t="n">
        <f aca="false">IF('Current Index'!293:293,"AAAAAFPr9nk=",0)</f>
        <v>0</v>
      </c>
      <c r="DS12" s="22" t="e">
        <f aca="false">AND('Current Index'!A293,"AAAAAFPr9no=")</f>
        <v>#VALUE!</v>
      </c>
      <c r="DT12" s="22" t="e">
        <f aca="false">AND('current index'!#ref!,"AAAAAFPr9ns=")</f>
        <v>#VALUE!</v>
      </c>
      <c r="DU12" s="22" t="e">
        <f aca="false">AND('Current Index'!B293,"AAAAAFPr9nw=")</f>
        <v>#VALUE!</v>
      </c>
      <c r="DV12" s="22" t="e">
        <f aca="false">AND('Current Index'!C293,"AAAAAFPr9n0=")</f>
        <v>#VALUE!</v>
      </c>
      <c r="DW12" s="22" t="e">
        <f aca="false">AND('Current Index'!D293,"AAAAAFPr9n4=")</f>
        <v>#VALUE!</v>
      </c>
      <c r="DX12" s="22" t="e">
        <f aca="false">AND('Current Index'!E293,"AAAAAFPr9n8=")</f>
        <v>#VALUE!</v>
      </c>
      <c r="DY12" s="22" t="e">
        <f aca="false">AND('Current Index'!F293,"AAAAAFPr9oA=")</f>
        <v>#VALUE!</v>
      </c>
      <c r="DZ12" s="22" t="e">
        <f aca="false">AND('Current Index'!G293,"AAAAAFPr9oE=")</f>
        <v>#VALUE!</v>
      </c>
      <c r="EA12" s="22" t="e">
        <f aca="false">AND('Current Index'!H293,"AAAAAFPr9oI=")</f>
        <v>#VALUE!</v>
      </c>
      <c r="EB12" s="22" t="e">
        <f aca="false">AND('Current Index'!I293,"AAAAAFPr9oM=")</f>
        <v>#VALUE!</v>
      </c>
      <c r="EC12" s="22" t="n">
        <f aca="false">IF('Current Index'!294:294,"AAAAAFPr9oQ=",0)</f>
        <v>0</v>
      </c>
      <c r="ED12" s="22" t="e">
        <f aca="false">AND('Current Index'!A294,"AAAAAFPr9oU=")</f>
        <v>#VALUE!</v>
      </c>
      <c r="EE12" s="22" t="e">
        <f aca="false">AND('current index'!#ref!,"AAAAAFPr9oY=")</f>
        <v>#VALUE!</v>
      </c>
      <c r="EF12" s="22" t="e">
        <f aca="false">AND('Current Index'!B294,"AAAAAFPr9oc=")</f>
        <v>#VALUE!</v>
      </c>
      <c r="EG12" s="22" t="e">
        <f aca="false">AND('Current Index'!C294,"AAAAAFPr9og=")</f>
        <v>#VALUE!</v>
      </c>
      <c r="EH12" s="22" t="e">
        <f aca="false">AND('Current Index'!D294,"AAAAAFPr9ok=")</f>
        <v>#VALUE!</v>
      </c>
      <c r="EI12" s="22" t="e">
        <f aca="false">AND('Current Index'!E294,"AAAAAFPr9oo=")</f>
        <v>#VALUE!</v>
      </c>
      <c r="EJ12" s="22" t="e">
        <f aca="false">AND('Current Index'!F294,"AAAAAFPr9os=")</f>
        <v>#VALUE!</v>
      </c>
      <c r="EK12" s="22" t="e">
        <f aca="false">AND('Current Index'!G294,"AAAAAFPr9ow=")</f>
        <v>#VALUE!</v>
      </c>
      <c r="EL12" s="22" t="e">
        <f aca="false">AND('Current Index'!H294,"AAAAAFPr9o0=")</f>
        <v>#VALUE!</v>
      </c>
      <c r="EM12" s="22" t="e">
        <f aca="false">AND('Current Index'!I294,"AAAAAFPr9o4=")</f>
        <v>#VALUE!</v>
      </c>
      <c r="EN12" s="22" t="n">
        <f aca="false">IF('Current Index'!295:295,"AAAAAFPr9o8=",0)</f>
        <v>0</v>
      </c>
      <c r="EO12" s="22" t="e">
        <f aca="false">AND('Current Index'!A295,"AAAAAFPr9pA=")</f>
        <v>#VALUE!</v>
      </c>
      <c r="EP12" s="22" t="e">
        <f aca="false">AND('current index'!#ref!,"AAAAAFPr9pE=")</f>
        <v>#VALUE!</v>
      </c>
      <c r="EQ12" s="22" t="e">
        <f aca="false">AND('Current Index'!B295,"AAAAAFPr9pI=")</f>
        <v>#VALUE!</v>
      </c>
      <c r="ER12" s="22" t="e">
        <f aca="false">AND('Current Index'!C295,"AAAAAFPr9pM=")</f>
        <v>#VALUE!</v>
      </c>
      <c r="ES12" s="22" t="e">
        <f aca="false">AND('Current Index'!D295,"AAAAAFPr9pQ=")</f>
        <v>#VALUE!</v>
      </c>
      <c r="ET12" s="22" t="e">
        <f aca="false">AND('Current Index'!E295,"AAAAAFPr9pU=")</f>
        <v>#VALUE!</v>
      </c>
      <c r="EU12" s="22" t="e">
        <f aca="false">AND('Current Index'!F295,"AAAAAFPr9pY=")</f>
        <v>#VALUE!</v>
      </c>
      <c r="EV12" s="22" t="e">
        <f aca="false">AND('Current Index'!G295,"AAAAAFPr9pc=")</f>
        <v>#VALUE!</v>
      </c>
      <c r="EW12" s="22" t="e">
        <f aca="false">AND('Current Index'!H295,"AAAAAFPr9pg=")</f>
        <v>#VALUE!</v>
      </c>
      <c r="EX12" s="22" t="e">
        <f aca="false">AND('Current Index'!I295,"AAAAAFPr9pk=")</f>
        <v>#VALUE!</v>
      </c>
      <c r="EY12" s="22" t="n">
        <f aca="false">IF('Current Index'!296:296,"AAAAAFPr9po=",0)</f>
        <v>0</v>
      </c>
      <c r="EZ12" s="22" t="e">
        <f aca="false">AND('Current Index'!A296,"AAAAAFPr9ps=")</f>
        <v>#VALUE!</v>
      </c>
      <c r="FA12" s="22" t="e">
        <f aca="false">AND('current index'!#ref!,"AAAAAFPr9pw=")</f>
        <v>#VALUE!</v>
      </c>
      <c r="FB12" s="22" t="e">
        <f aca="false">AND('Current Index'!B296,"AAAAAFPr9p0=")</f>
        <v>#VALUE!</v>
      </c>
      <c r="FC12" s="22" t="e">
        <f aca="false">AND('Current Index'!C296,"AAAAAFPr9p4=")</f>
        <v>#VALUE!</v>
      </c>
      <c r="FD12" s="22" t="e">
        <f aca="false">AND('Current Index'!D296,"AAAAAFPr9p8=")</f>
        <v>#VALUE!</v>
      </c>
      <c r="FE12" s="22" t="e">
        <f aca="false">AND('Current Index'!E296,"AAAAAFPr9qA=")</f>
        <v>#VALUE!</v>
      </c>
      <c r="FF12" s="22" t="e">
        <f aca="false">AND('Current Index'!F296,"AAAAAFPr9qE=")</f>
        <v>#VALUE!</v>
      </c>
      <c r="FG12" s="22" t="e">
        <f aca="false">AND('Current Index'!G296,"AAAAAFPr9qI=")</f>
        <v>#VALUE!</v>
      </c>
      <c r="FH12" s="22" t="e">
        <f aca="false">AND('Current Index'!H296,"AAAAAFPr9qM=")</f>
        <v>#VALUE!</v>
      </c>
      <c r="FI12" s="22" t="e">
        <f aca="false">AND('Current Index'!I296,"AAAAAFPr9qQ=")</f>
        <v>#VALUE!</v>
      </c>
      <c r="FJ12" s="22" t="n">
        <f aca="false">IF('Current Index'!297:297,"AAAAAFPr9qU=",0)</f>
        <v>0</v>
      </c>
      <c r="FK12" s="22" t="e">
        <f aca="false">AND('Current Index'!A297,"AAAAAFPr9qY=")</f>
        <v>#VALUE!</v>
      </c>
      <c r="FL12" s="22" t="e">
        <f aca="false">AND('current index'!#ref!,"AAAAAFPr9qc=")</f>
        <v>#VALUE!</v>
      </c>
      <c r="FM12" s="22" t="e">
        <f aca="false">AND('Current Index'!B297,"AAAAAFPr9qg=")</f>
        <v>#VALUE!</v>
      </c>
      <c r="FN12" s="22" t="e">
        <f aca="false">AND('Current Index'!C297,"AAAAAFPr9qk=")</f>
        <v>#VALUE!</v>
      </c>
      <c r="FO12" s="22" t="e">
        <f aca="false">AND('Current Index'!D297,"AAAAAFPr9qo=")</f>
        <v>#VALUE!</v>
      </c>
      <c r="FP12" s="22" t="e">
        <f aca="false">AND('Current Index'!E297,"AAAAAFPr9qs=")</f>
        <v>#VALUE!</v>
      </c>
      <c r="FQ12" s="22" t="e">
        <f aca="false">AND('Current Index'!F297,"AAAAAFPr9qw=")</f>
        <v>#VALUE!</v>
      </c>
      <c r="FR12" s="22" t="e">
        <f aca="false">AND('Current Index'!G297,"AAAAAFPr9q0=")</f>
        <v>#VALUE!</v>
      </c>
      <c r="FS12" s="22" t="e">
        <f aca="false">AND('Current Index'!H297,"AAAAAFPr9q4=")</f>
        <v>#VALUE!</v>
      </c>
      <c r="FT12" s="22" t="e">
        <f aca="false">AND('Current Index'!I297,"AAAAAFPr9q8=")</f>
        <v>#VALUE!</v>
      </c>
      <c r="FU12" s="22" t="n">
        <f aca="false">IF('Current Index'!306:306,"AAAAAFPr9rA=",0)</f>
        <v>0</v>
      </c>
      <c r="FV12" s="22" t="e">
        <f aca="false">AND('Current Index'!A306,"AAAAAFPr9rE=")</f>
        <v>#VALUE!</v>
      </c>
      <c r="FW12" s="22" t="e">
        <f aca="false">AND('current index'!#ref!,"AAAAAFPr9rI=")</f>
        <v>#VALUE!</v>
      </c>
      <c r="FX12" s="22" t="e">
        <f aca="false">AND('Current Index'!B306,"AAAAAFPr9rM=")</f>
        <v>#VALUE!</v>
      </c>
      <c r="FY12" s="22" t="e">
        <f aca="false">AND('Current Index'!C306,"AAAAAFPr9rQ=")</f>
        <v>#VALUE!</v>
      </c>
      <c r="FZ12" s="22" t="e">
        <f aca="false">AND('Current Index'!D306,"AAAAAFPr9rU=")</f>
        <v>#VALUE!</v>
      </c>
      <c r="GA12" s="22" t="e">
        <f aca="false">AND('Current Index'!E306,"AAAAAFPr9rY=")</f>
        <v>#VALUE!</v>
      </c>
      <c r="GB12" s="22" t="e">
        <f aca="false">AND('Current Index'!F306,"AAAAAFPr9rc=")</f>
        <v>#VALUE!</v>
      </c>
      <c r="GC12" s="22" t="e">
        <f aca="false">AND('Current Index'!G306,"AAAAAFPr9rg=")</f>
        <v>#VALUE!</v>
      </c>
      <c r="GD12" s="22" t="e">
        <f aca="false">AND('Current Index'!H306,"AAAAAFPr9rk=")</f>
        <v>#VALUE!</v>
      </c>
      <c r="GE12" s="22" t="e">
        <f aca="false">AND('Current Index'!I306,"AAAAAFPr9ro=")</f>
        <v>#VALUE!</v>
      </c>
      <c r="GF12" s="22" t="e">
        <f aca="false">IF('current index'!#ref!,"AAAAAFPr9rs=",0)</f>
        <v>#VALUE!</v>
      </c>
      <c r="GG12" s="22" t="e">
        <f aca="false">AND('current index'!#ref!,"AAAAAFPr9rw=")</f>
        <v>#VALUE!</v>
      </c>
      <c r="GH12" s="22" t="e">
        <f aca="false">AND('current index'!#ref!,"AAAAAFPr9r0=")</f>
        <v>#VALUE!</v>
      </c>
      <c r="GI12" s="22" t="e">
        <f aca="false">AND('current index'!#ref!,"AAAAAFPr9r4=")</f>
        <v>#VALUE!</v>
      </c>
      <c r="GJ12" s="22" t="e">
        <f aca="false">AND('current index'!#ref!,"AAAAAFPr9r8=")</f>
        <v>#VALUE!</v>
      </c>
      <c r="GK12" s="22" t="e">
        <f aca="false">AND('current index'!#ref!,"AAAAAFPr9sA=")</f>
        <v>#VALUE!</v>
      </c>
      <c r="GL12" s="22" t="e">
        <f aca="false">AND('current index'!#ref!,"AAAAAFPr9sE=")</f>
        <v>#VALUE!</v>
      </c>
      <c r="GM12" s="22" t="e">
        <f aca="false">AND('current index'!#ref!,"AAAAAFPr9sI=")</f>
        <v>#VALUE!</v>
      </c>
      <c r="GN12" s="22" t="e">
        <f aca="false">AND('current index'!#ref!,"AAAAAFPr9sM=")</f>
        <v>#VALUE!</v>
      </c>
      <c r="GO12" s="22" t="e">
        <f aca="false">AND('current index'!#ref!,"AAAAAFPr9sQ=")</f>
        <v>#VALUE!</v>
      </c>
      <c r="GP12" s="22" t="e">
        <f aca="false">AND('current index'!#ref!,"AAAAAFPr9sU=")</f>
        <v>#VALUE!</v>
      </c>
      <c r="GQ12" s="22" t="n">
        <f aca="false">IF('Current Index'!307:307,"AAAAAFPr9sY=",0)</f>
        <v>0</v>
      </c>
      <c r="GR12" s="22" t="e">
        <f aca="false">AND('Current Index'!A307,"AAAAAFPr9sc=")</f>
        <v>#VALUE!</v>
      </c>
      <c r="GS12" s="22" t="e">
        <f aca="false">AND('current index'!#ref!,"AAAAAFPr9sg=")</f>
        <v>#VALUE!</v>
      </c>
      <c r="GT12" s="22" t="e">
        <f aca="false">AND('Current Index'!B307,"AAAAAFPr9sk=")</f>
        <v>#VALUE!</v>
      </c>
      <c r="GU12" s="22" t="e">
        <f aca="false">AND('Current Index'!C307,"AAAAAFPr9so=")</f>
        <v>#VALUE!</v>
      </c>
      <c r="GV12" s="22" t="e">
        <f aca="false">AND('Current Index'!D307,"AAAAAFPr9ss=")</f>
        <v>#VALUE!</v>
      </c>
      <c r="GW12" s="22" t="e">
        <f aca="false">AND('Current Index'!E307,"AAAAAFPr9sw=")</f>
        <v>#VALUE!</v>
      </c>
      <c r="GX12" s="22" t="e">
        <f aca="false">AND('Current Index'!F307,"AAAAAFPr9s0=")</f>
        <v>#VALUE!</v>
      </c>
      <c r="GY12" s="22" t="e">
        <f aca="false">AND('Current Index'!G307,"AAAAAFPr9s4=")</f>
        <v>#VALUE!</v>
      </c>
      <c r="GZ12" s="22" t="e">
        <f aca="false">AND('Current Index'!H307,"AAAAAFPr9s8=")</f>
        <v>#VALUE!</v>
      </c>
      <c r="HA12" s="22" t="e">
        <f aca="false">AND('Current Index'!I307,"AAAAAFPr9tA=")</f>
        <v>#VALUE!</v>
      </c>
      <c r="HB12" s="22" t="n">
        <f aca="false">IF('Current Index'!308:308,"AAAAAFPr9tE=",0)</f>
        <v>0</v>
      </c>
      <c r="HC12" s="22" t="e">
        <f aca="false">AND('Current Index'!A308,"AAAAAFPr9tI=")</f>
        <v>#VALUE!</v>
      </c>
      <c r="HD12" s="22" t="e">
        <f aca="false">AND('current index'!#ref!,"AAAAAFPr9tM=")</f>
        <v>#VALUE!</v>
      </c>
      <c r="HE12" s="22" t="e">
        <f aca="false">AND('Current Index'!B308,"AAAAAFPr9tQ=")</f>
        <v>#VALUE!</v>
      </c>
      <c r="HF12" s="22" t="e">
        <f aca="false">AND('Current Index'!C308,"AAAAAFPr9tU=")</f>
        <v>#VALUE!</v>
      </c>
      <c r="HG12" s="22" t="e">
        <f aca="false">AND('Current Index'!D308,"AAAAAFPr9tY=")</f>
        <v>#VALUE!</v>
      </c>
      <c r="HH12" s="22" t="e">
        <f aca="false">AND('Current Index'!E308,"AAAAAFPr9tc=")</f>
        <v>#VALUE!</v>
      </c>
      <c r="HI12" s="22" t="e">
        <f aca="false">AND('Current Index'!F308,"AAAAAFPr9tg=")</f>
        <v>#VALUE!</v>
      </c>
      <c r="HJ12" s="22" t="e">
        <f aca="false">AND('Current Index'!G308,"AAAAAFPr9tk=")</f>
        <v>#VALUE!</v>
      </c>
      <c r="HK12" s="22" t="e">
        <f aca="false">AND('Current Index'!H308,"AAAAAFPr9to=")</f>
        <v>#VALUE!</v>
      </c>
      <c r="HL12" s="22" t="e">
        <f aca="false">AND('Current Index'!I308,"AAAAAFPr9ts=")</f>
        <v>#VALUE!</v>
      </c>
      <c r="HM12" s="22" t="n">
        <f aca="false">IF('Current Index'!309:309,"AAAAAFPr9tw=",0)</f>
        <v>0</v>
      </c>
      <c r="HN12" s="22" t="e">
        <f aca="false">AND('Current Index'!A309,"AAAAAFPr9t0=")</f>
        <v>#VALUE!</v>
      </c>
      <c r="HO12" s="22" t="e">
        <f aca="false">AND('current index'!#ref!,"AAAAAFPr9t4=")</f>
        <v>#VALUE!</v>
      </c>
      <c r="HP12" s="22" t="e">
        <f aca="false">AND('Current Index'!B309,"AAAAAFPr9t8=")</f>
        <v>#VALUE!</v>
      </c>
      <c r="HQ12" s="22" t="e">
        <f aca="false">AND('Current Index'!C309,"AAAAAFPr9uA=")</f>
        <v>#VALUE!</v>
      </c>
      <c r="HR12" s="22" t="e">
        <f aca="false">AND('Current Index'!D309,"AAAAAFPr9uE=")</f>
        <v>#VALUE!</v>
      </c>
      <c r="HS12" s="22" t="e">
        <f aca="false">AND('Current Index'!E309,"AAAAAFPr9uI=")</f>
        <v>#VALUE!</v>
      </c>
      <c r="HT12" s="22" t="e">
        <f aca="false">AND('Current Index'!F309,"AAAAAFPr9uM=")</f>
        <v>#VALUE!</v>
      </c>
      <c r="HU12" s="22" t="e">
        <f aca="false">AND('Current Index'!G309,"AAAAAFPr9uQ=")</f>
        <v>#VALUE!</v>
      </c>
      <c r="HV12" s="22" t="e">
        <f aca="false">AND('Current Index'!H309,"AAAAAFPr9uU=")</f>
        <v>#VALUE!</v>
      </c>
      <c r="HW12" s="22" t="e">
        <f aca="false">AND('Current Index'!I309,"AAAAAFPr9uY=")</f>
        <v>#VALUE!</v>
      </c>
      <c r="HX12" s="22" t="n">
        <f aca="false">IF('Current Index'!310:310,"AAAAAFPr9uc=",0)</f>
        <v>0</v>
      </c>
      <c r="HY12" s="22" t="e">
        <f aca="false">AND('Current Index'!A310,"AAAAAFPr9ug=")</f>
        <v>#VALUE!</v>
      </c>
      <c r="HZ12" s="22" t="e">
        <f aca="false">AND('current index'!#ref!,"AAAAAFPr9uk=")</f>
        <v>#VALUE!</v>
      </c>
      <c r="IA12" s="22" t="e">
        <f aca="false">AND('Current Index'!B310,"AAAAAFPr9uo=")</f>
        <v>#VALUE!</v>
      </c>
      <c r="IB12" s="22" t="e">
        <f aca="false">AND('Current Index'!C310,"AAAAAFPr9us=")</f>
        <v>#VALUE!</v>
      </c>
      <c r="IC12" s="22" t="e">
        <f aca="false">AND('Current Index'!D310,"AAAAAFPr9uw=")</f>
        <v>#VALUE!</v>
      </c>
      <c r="ID12" s="22" t="e">
        <f aca="false">AND('Current Index'!E310,"AAAAAFPr9u0=")</f>
        <v>#VALUE!</v>
      </c>
      <c r="IE12" s="22" t="e">
        <f aca="false">AND('Current Index'!F310,"AAAAAFPr9u4=")</f>
        <v>#VALUE!</v>
      </c>
      <c r="IF12" s="22" t="e">
        <f aca="false">AND('Current Index'!G310,"AAAAAFPr9u8=")</f>
        <v>#VALUE!</v>
      </c>
      <c r="IG12" s="22" t="e">
        <f aca="false">AND('Current Index'!H310,"AAAAAFPr9vA=")</f>
        <v>#VALUE!</v>
      </c>
      <c r="IH12" s="22" t="e">
        <f aca="false">AND('Current Index'!I310,"AAAAAFPr9vE=")</f>
        <v>#VALUE!</v>
      </c>
      <c r="II12" s="22" t="n">
        <f aca="false">IF('Current Index'!321:321,"AAAAAFPr9vI=",0)</f>
        <v>0</v>
      </c>
      <c r="IJ12" s="22" t="e">
        <f aca="false">AND('Current Index'!A321,"AAAAAFPr9vM=")</f>
        <v>#VALUE!</v>
      </c>
      <c r="IK12" s="22" t="e">
        <f aca="false">AND('current index'!#ref!,"AAAAAFPr9vQ=")</f>
        <v>#VALUE!</v>
      </c>
      <c r="IL12" s="22" t="e">
        <f aca="false">AND('Current Index'!B321,"AAAAAFPr9vU=")</f>
        <v>#VALUE!</v>
      </c>
      <c r="IM12" s="22" t="e">
        <f aca="false">AND('Current Index'!C321,"AAAAAFPr9vY=")</f>
        <v>#VALUE!</v>
      </c>
      <c r="IN12" s="22" t="e">
        <f aca="false">AND('Current Index'!D321,"AAAAAFPr9vc=")</f>
        <v>#VALUE!</v>
      </c>
      <c r="IO12" s="22" t="e">
        <f aca="false">AND('Current Index'!E321,"AAAAAFPr9vg=")</f>
        <v>#VALUE!</v>
      </c>
      <c r="IP12" s="22" t="e">
        <f aca="false">AND('Current Index'!F321,"AAAAAFPr9vk=")</f>
        <v>#VALUE!</v>
      </c>
      <c r="IQ12" s="22" t="e">
        <f aca="false">AND('Current Index'!G321,"AAAAAFPr9vo=")</f>
        <v>#VALUE!</v>
      </c>
      <c r="IR12" s="22" t="e">
        <f aca="false">AND('Current Index'!H321,"AAAAAFPr9vs=")</f>
        <v>#VALUE!</v>
      </c>
      <c r="IS12" s="22" t="e">
        <f aca="false">AND('Current Index'!I321,"AAAAAFPr9vw=")</f>
        <v>#VALUE!</v>
      </c>
      <c r="IT12" s="22" t="e">
        <f aca="false">IF(#REF!,"AAAAAFPr9v0=",0)</f>
        <v>#REF!</v>
      </c>
      <c r="IU12" s="22" t="e">
        <f aca="false">AND(#REF!,"AAAAAFPr9v4=")</f>
        <v>#VALUE!</v>
      </c>
      <c r="IV12" s="22" t="e">
        <f aca="false">AND('current index'!#ref!,"AAAAAFPr9v8=")</f>
        <v>#VALUE!</v>
      </c>
    </row>
    <row r="13" customFormat="false" ht="12.75" hidden="false" customHeight="false" outlineLevel="0" collapsed="false">
      <c r="A13" s="22" t="e">
        <f aca="false">AND(#REF!,"AAAAAHjmfwA=")</f>
        <v>#VALUE!</v>
      </c>
      <c r="B13" s="22" t="e">
        <f aca="false">AND(#REF!,"AAAAAHjmfwE=")</f>
        <v>#VALUE!</v>
      </c>
      <c r="C13" s="22" t="e">
        <f aca="false">AND(#REF!,"AAAAAHjmfwI=")</f>
        <v>#VALUE!</v>
      </c>
      <c r="D13" s="22" t="e">
        <f aca="false">AND(#REF!,"AAAAAHjmfwM=")</f>
        <v>#VALUE!</v>
      </c>
      <c r="E13" s="22" t="e">
        <f aca="false">AND(#REF!,"AAAAAHjmfwQ=")</f>
        <v>#VALUE!</v>
      </c>
      <c r="F13" s="22" t="e">
        <f aca="false">AND(#REF!,"AAAAAHjmfwU=")</f>
        <v>#VALUE!</v>
      </c>
      <c r="G13" s="22" t="e">
        <f aca="false">AND(#REF!,"AAAAAHjmfwY=")</f>
        <v>#VALUE!</v>
      </c>
      <c r="H13" s="22" t="e">
        <f aca="false">AND(#REF!,"AAAAAHjmfwc=")</f>
        <v>#VALUE!</v>
      </c>
      <c r="I13" s="22" t="n">
        <f aca="false">IF('Current Index'!322:322,"AAAAAHjmfwg=",0)</f>
        <v>0</v>
      </c>
      <c r="J13" s="22" t="e">
        <f aca="false">AND('Current Index'!A322,"AAAAAHjmfwk=")</f>
        <v>#VALUE!</v>
      </c>
      <c r="K13" s="22" t="e">
        <f aca="false">AND('current index'!#ref!,"AAAAAHjmfwo=")</f>
        <v>#VALUE!</v>
      </c>
      <c r="L13" s="22" t="e">
        <f aca="false">AND('Current Index'!B322,"AAAAAHjmfws=")</f>
        <v>#VALUE!</v>
      </c>
      <c r="M13" s="22" t="e">
        <f aca="false">AND('Current Index'!C322,"AAAAAHjmfww=")</f>
        <v>#VALUE!</v>
      </c>
      <c r="N13" s="22" t="e">
        <f aca="false">AND('Current Index'!D322,"AAAAAHjmfw0=")</f>
        <v>#VALUE!</v>
      </c>
      <c r="O13" s="22" t="e">
        <f aca="false">AND('Current Index'!E322,"AAAAAHjmfw4=")</f>
        <v>#VALUE!</v>
      </c>
      <c r="P13" s="22" t="e">
        <f aca="false">AND('Current Index'!F322,"AAAAAHjmfw8=")</f>
        <v>#VALUE!</v>
      </c>
      <c r="Q13" s="22" t="e">
        <f aca="false">AND('Current Index'!G322,"AAAAAHjmfxA=")</f>
        <v>#VALUE!</v>
      </c>
      <c r="R13" s="22" t="e">
        <f aca="false">AND('Current Index'!H322,"AAAAAHjmfxE=")</f>
        <v>#VALUE!</v>
      </c>
      <c r="S13" s="22" t="e">
        <f aca="false">AND('Current Index'!I322,"AAAAAHjmfxI=")</f>
        <v>#VALUE!</v>
      </c>
      <c r="T13" s="22" t="n">
        <f aca="false">IF('Current Index'!323:323,"AAAAAHjmfxM=",0)</f>
        <v>0</v>
      </c>
      <c r="U13" s="22" t="e">
        <f aca="false">AND('Current Index'!A323,"AAAAAHjmfxQ=")</f>
        <v>#VALUE!</v>
      </c>
      <c r="V13" s="22" t="e">
        <f aca="false">AND('current index'!#ref!,"AAAAAHjmfxU=")</f>
        <v>#VALUE!</v>
      </c>
      <c r="W13" s="22" t="e">
        <f aca="false">AND('Current Index'!B323,"AAAAAHjmfxY=")</f>
        <v>#VALUE!</v>
      </c>
      <c r="X13" s="22" t="e">
        <f aca="false">AND('Current Index'!C323,"AAAAAHjmfxc=")</f>
        <v>#VALUE!</v>
      </c>
      <c r="Y13" s="22" t="e">
        <f aca="false">AND('Current Index'!D323,"AAAAAHjmfxg=")</f>
        <v>#VALUE!</v>
      </c>
      <c r="Z13" s="22" t="e">
        <f aca="false">AND('Current Index'!E323,"AAAAAHjmfxk=")</f>
        <v>#VALUE!</v>
      </c>
      <c r="AA13" s="22" t="e">
        <f aca="false">AND('Current Index'!F323,"AAAAAHjmfxo=")</f>
        <v>#VALUE!</v>
      </c>
      <c r="AB13" s="22" t="e">
        <f aca="false">AND('Current Index'!G323,"AAAAAHjmfxs=")</f>
        <v>#VALUE!</v>
      </c>
      <c r="AC13" s="22" t="e">
        <f aca="false">AND('Current Index'!H323,"AAAAAHjmfxw=")</f>
        <v>#VALUE!</v>
      </c>
      <c r="AD13" s="22" t="e">
        <f aca="false">AND('Current Index'!I323,"AAAAAHjmfx0=")</f>
        <v>#VALUE!</v>
      </c>
      <c r="AE13" s="22" t="n">
        <f aca="false">IF('Current Index'!324:324,"AAAAAHjmfx4=",0)</f>
        <v>0</v>
      </c>
      <c r="AF13" s="22" t="e">
        <f aca="false">AND('Current Index'!A324,"AAAAAHjmfx8=")</f>
        <v>#VALUE!</v>
      </c>
      <c r="AG13" s="22" t="e">
        <f aca="false">AND('current index'!#ref!,"AAAAAHjmfyA=")</f>
        <v>#VALUE!</v>
      </c>
      <c r="AH13" s="22" t="e">
        <f aca="false">AND('Current Index'!B324,"AAAAAHjmfyE=")</f>
        <v>#VALUE!</v>
      </c>
      <c r="AI13" s="22" t="e">
        <f aca="false">AND('Current Index'!C324,"AAAAAHjmfyI=")</f>
        <v>#VALUE!</v>
      </c>
      <c r="AJ13" s="22" t="e">
        <f aca="false">AND('Current Index'!D324,"AAAAAHjmfyM=")</f>
        <v>#VALUE!</v>
      </c>
      <c r="AK13" s="22" t="e">
        <f aca="false">AND('Current Index'!E324,"AAAAAHjmfyQ=")</f>
        <v>#VALUE!</v>
      </c>
      <c r="AL13" s="22" t="e">
        <f aca="false">AND('Current Index'!F324,"AAAAAHjmfyU=")</f>
        <v>#VALUE!</v>
      </c>
      <c r="AM13" s="22" t="e">
        <f aca="false">AND('Current Index'!G324,"AAAAAHjmfyY=")</f>
        <v>#VALUE!</v>
      </c>
      <c r="AN13" s="22" t="e">
        <f aca="false">AND('Current Index'!H324,"AAAAAHjmfyc=")</f>
        <v>#VALUE!</v>
      </c>
      <c r="AO13" s="22" t="e">
        <f aca="false">AND('Current Index'!I324,"AAAAAHjmfyg=")</f>
        <v>#VALUE!</v>
      </c>
      <c r="AP13" s="22" t="n">
        <f aca="false">IF('Current Index'!325:325,"AAAAAHjmfyk=",0)</f>
        <v>0</v>
      </c>
      <c r="AQ13" s="22" t="e">
        <f aca="false">AND('Current Index'!A325,"AAAAAHjmfyo=")</f>
        <v>#VALUE!</v>
      </c>
      <c r="AR13" s="22" t="e">
        <f aca="false">AND('current index'!#ref!,"AAAAAHjmfys=")</f>
        <v>#VALUE!</v>
      </c>
      <c r="AS13" s="22" t="e">
        <f aca="false">AND('Current Index'!B325,"AAAAAHjmfyw=")</f>
        <v>#VALUE!</v>
      </c>
      <c r="AT13" s="22" t="e">
        <f aca="false">AND('Current Index'!C325,"AAAAAHjmfy0=")</f>
        <v>#VALUE!</v>
      </c>
      <c r="AU13" s="22" t="e">
        <f aca="false">AND('Current Index'!D325,"AAAAAHjmfy4=")</f>
        <v>#VALUE!</v>
      </c>
      <c r="AV13" s="22" t="e">
        <f aca="false">AND('Current Index'!E325,"AAAAAHjmfy8=")</f>
        <v>#VALUE!</v>
      </c>
      <c r="AW13" s="22" t="e">
        <f aca="false">AND('Current Index'!F325,"AAAAAHjmfzA=")</f>
        <v>#VALUE!</v>
      </c>
      <c r="AX13" s="22" t="e">
        <f aca="false">AND('Current Index'!G325,"AAAAAHjmfzE=")</f>
        <v>#VALUE!</v>
      </c>
      <c r="AY13" s="22" t="e">
        <f aca="false">AND('Current Index'!H325,"AAAAAHjmfzI=")</f>
        <v>#VALUE!</v>
      </c>
      <c r="AZ13" s="22" t="e">
        <f aca="false">AND('Current Index'!I325,"AAAAAHjmfzM=")</f>
        <v>#VALUE!</v>
      </c>
      <c r="BA13" s="22" t="n">
        <f aca="false">IF('Current Index'!326:326,"AAAAAHjmfzQ=",0)</f>
        <v>0</v>
      </c>
      <c r="BB13" s="22" t="e">
        <f aca="false">AND('Current Index'!A326,"AAAAAHjmfzU=")</f>
        <v>#VALUE!</v>
      </c>
      <c r="BC13" s="22" t="e">
        <f aca="false">AND('current index'!#ref!,"AAAAAHjmfzY=")</f>
        <v>#VALUE!</v>
      </c>
      <c r="BD13" s="22" t="e">
        <f aca="false">AND('Current Index'!B326,"AAAAAHjmfzc=")</f>
        <v>#VALUE!</v>
      </c>
      <c r="BE13" s="22" t="e">
        <f aca="false">AND('Current Index'!C326,"AAAAAHjmfzg=")</f>
        <v>#VALUE!</v>
      </c>
      <c r="BF13" s="22" t="e">
        <f aca="false">AND('Current Index'!D326,"AAAAAHjmfzk=")</f>
        <v>#VALUE!</v>
      </c>
      <c r="BG13" s="22" t="e">
        <f aca="false">AND('Current Index'!E326,"AAAAAHjmfzo=")</f>
        <v>#VALUE!</v>
      </c>
      <c r="BH13" s="22" t="e">
        <f aca="false">AND('Current Index'!F326,"AAAAAHjmfzs=")</f>
        <v>#VALUE!</v>
      </c>
      <c r="BI13" s="22" t="e">
        <f aca="false">AND('Current Index'!G326,"AAAAAHjmfzw=")</f>
        <v>#VALUE!</v>
      </c>
      <c r="BJ13" s="22" t="e">
        <f aca="false">AND('Current Index'!H326,"AAAAAHjmfz0=")</f>
        <v>#VALUE!</v>
      </c>
      <c r="BK13" s="22" t="e">
        <f aca="false">AND('Current Index'!I326,"AAAAAHjmfz4=")</f>
        <v>#VALUE!</v>
      </c>
      <c r="BL13" s="22" t="e">
        <f aca="false">IF(#REF!,"AAAAAHjmfz8=",0)</f>
        <v>#REF!</v>
      </c>
      <c r="BM13" s="22" t="e">
        <f aca="false">AND(#REF!,"AAAAAHjmf0A=")</f>
        <v>#VALUE!</v>
      </c>
      <c r="BN13" s="22" t="e">
        <f aca="false">AND('current index'!#ref!,"AAAAAHjmf0E=")</f>
        <v>#VALUE!</v>
      </c>
      <c r="BO13" s="22" t="e">
        <f aca="false">AND(#REF!,"AAAAAHjmf0I=")</f>
        <v>#VALUE!</v>
      </c>
      <c r="BP13" s="22" t="e">
        <f aca="false">AND(#REF!,"AAAAAHjmf0M=")</f>
        <v>#VALUE!</v>
      </c>
      <c r="BQ13" s="22" t="e">
        <f aca="false">AND(#REF!,"AAAAAHjmf0Q=")</f>
        <v>#VALUE!</v>
      </c>
      <c r="BR13" s="22" t="e">
        <f aca="false">AND(#REF!,"AAAAAHjmf0U=")</f>
        <v>#VALUE!</v>
      </c>
      <c r="BS13" s="22" t="e">
        <f aca="false">AND(#REF!,"AAAAAHjmf0Y=")</f>
        <v>#VALUE!</v>
      </c>
      <c r="BT13" s="22" t="e">
        <f aca="false">AND(#REF!,"AAAAAHjmf0c=")</f>
        <v>#VALUE!</v>
      </c>
      <c r="BU13" s="22" t="e">
        <f aca="false">AND(#REF!,"AAAAAHjmf0g=")</f>
        <v>#VALUE!</v>
      </c>
      <c r="BV13" s="22" t="e">
        <f aca="false">AND(#REF!,"AAAAAHjmf0k=")</f>
        <v>#VALUE!</v>
      </c>
      <c r="BW13" s="22" t="e">
        <f aca="false">IF(#REF!,"AAAAAHjmf0o=",0)</f>
        <v>#REF!</v>
      </c>
      <c r="BX13" s="22" t="e">
        <f aca="false">AND(#REF!,"AAAAAHjmf0s=")</f>
        <v>#VALUE!</v>
      </c>
      <c r="BY13" s="22" t="e">
        <f aca="false">AND('current index'!#ref!,"AAAAAHjmf0w=")</f>
        <v>#VALUE!</v>
      </c>
      <c r="BZ13" s="22" t="e">
        <f aca="false">AND(#REF!,"AAAAAHjmf00=")</f>
        <v>#VALUE!</v>
      </c>
      <c r="CA13" s="22" t="e">
        <f aca="false">AND(#REF!,"AAAAAHjmf04=")</f>
        <v>#VALUE!</v>
      </c>
      <c r="CB13" s="22" t="e">
        <f aca="false">AND(#REF!,"AAAAAHjmf08=")</f>
        <v>#VALUE!</v>
      </c>
      <c r="CC13" s="22" t="e">
        <f aca="false">AND(#REF!,"AAAAAHjmf1A=")</f>
        <v>#VALUE!</v>
      </c>
      <c r="CD13" s="22" t="e">
        <f aca="false">AND(#REF!,"AAAAAHjmf1E=")</f>
        <v>#VALUE!</v>
      </c>
      <c r="CE13" s="22" t="e">
        <f aca="false">AND(#REF!,"AAAAAHjmf1I=")</f>
        <v>#VALUE!</v>
      </c>
      <c r="CF13" s="22" t="e">
        <f aca="false">AND(#REF!,"AAAAAHjmf1M=")</f>
        <v>#VALUE!</v>
      </c>
      <c r="CG13" s="22" t="e">
        <f aca="false">AND(#REF!,"AAAAAHjmf1Q=")</f>
        <v>#VALUE!</v>
      </c>
      <c r="CH13" s="22" t="e">
        <f aca="false">IF('current index'!#ref!,"AAAAAHjmf1U=",0)</f>
        <v>#VALUE!</v>
      </c>
      <c r="CI13" s="22" t="e">
        <f aca="false">AND('current index'!#ref!,"AAAAAHjmf1Y=")</f>
        <v>#VALUE!</v>
      </c>
      <c r="CJ13" s="22" t="e">
        <f aca="false">AND('current index'!#ref!,"AAAAAHjmf1c=")</f>
        <v>#VALUE!</v>
      </c>
      <c r="CK13" s="22" t="e">
        <f aca="false">AND('current index'!#ref!,"AAAAAHjmf1g=")</f>
        <v>#VALUE!</v>
      </c>
      <c r="CL13" s="22" t="e">
        <f aca="false">AND('current index'!#ref!,"AAAAAHjmf1k=")</f>
        <v>#VALUE!</v>
      </c>
      <c r="CM13" s="22" t="e">
        <f aca="false">AND('current index'!#ref!,"AAAAAHjmf1o=")</f>
        <v>#VALUE!</v>
      </c>
      <c r="CN13" s="22" t="e">
        <f aca="false">AND('current index'!#ref!,"AAAAAHjmf1s=")</f>
        <v>#VALUE!</v>
      </c>
      <c r="CO13" s="22" t="e">
        <f aca="false">AND('current index'!#ref!,"AAAAAHjmf1w=")</f>
        <v>#VALUE!</v>
      </c>
      <c r="CP13" s="22" t="e">
        <f aca="false">AND('current index'!#ref!,"AAAAAHjmf10=")</f>
        <v>#VALUE!</v>
      </c>
      <c r="CQ13" s="22" t="e">
        <f aca="false">AND('current index'!#ref!,"AAAAAHjmf14=")</f>
        <v>#VALUE!</v>
      </c>
      <c r="CR13" s="22" t="e">
        <f aca="false">AND('current index'!#ref!,"AAAAAHjmf18=")</f>
        <v>#VALUE!</v>
      </c>
      <c r="CS13" s="22" t="n">
        <f aca="false">IF('Current Index'!329:329,"AAAAAHjmf2A=",0)</f>
        <v>0</v>
      </c>
      <c r="CT13" s="22" t="e">
        <f aca="false">AND('Current Index'!A329,"AAAAAHjmf2E=")</f>
        <v>#VALUE!</v>
      </c>
      <c r="CU13" s="22" t="e">
        <f aca="false">AND('current index'!#ref!,"AAAAAHjmf2I=")</f>
        <v>#VALUE!</v>
      </c>
      <c r="CV13" s="22" t="e">
        <f aca="false">AND('Current Index'!B329,"AAAAAHjmf2M=")</f>
        <v>#VALUE!</v>
      </c>
      <c r="CW13" s="22" t="e">
        <f aca="false">AND('Current Index'!C329,"AAAAAHjmf2Q=")</f>
        <v>#VALUE!</v>
      </c>
      <c r="CX13" s="22" t="e">
        <f aca="false">AND('Current Index'!D329,"AAAAAHjmf2U=")</f>
        <v>#VALUE!</v>
      </c>
      <c r="CY13" s="22" t="e">
        <f aca="false">AND('Current Index'!E329,"AAAAAHjmf2Y=")</f>
        <v>#VALUE!</v>
      </c>
      <c r="CZ13" s="22" t="e">
        <f aca="false">AND('Current Index'!F329,"AAAAAHjmf2c=")</f>
        <v>#VALUE!</v>
      </c>
      <c r="DA13" s="22" t="e">
        <f aca="false">AND('Current Index'!G329,"AAAAAHjmf2g=")</f>
        <v>#VALUE!</v>
      </c>
      <c r="DB13" s="22" t="e">
        <f aca="false">AND('Current Index'!H329,"AAAAAHjmf2k=")</f>
        <v>#VALUE!</v>
      </c>
      <c r="DC13" s="22" t="e">
        <f aca="false">AND('Current Index'!I329,"AAAAAHjmf2o=")</f>
        <v>#VALUE!</v>
      </c>
      <c r="DD13" s="22" t="n">
        <f aca="false">IF('Current Index'!330:330,"AAAAAHjmf2s=",0)</f>
        <v>0</v>
      </c>
      <c r="DE13" s="22" t="e">
        <f aca="false">AND('Current Index'!A330,"AAAAAHjmf2w=")</f>
        <v>#VALUE!</v>
      </c>
      <c r="DF13" s="22" t="e">
        <f aca="false">AND('current index'!#ref!,"AAAAAHjmf20=")</f>
        <v>#VALUE!</v>
      </c>
      <c r="DG13" s="22" t="e">
        <f aca="false">AND('Current Index'!B330,"AAAAAHjmf24=")</f>
        <v>#VALUE!</v>
      </c>
      <c r="DH13" s="22" t="e">
        <f aca="false">AND('Current Index'!C330,"AAAAAHjmf28=")</f>
        <v>#VALUE!</v>
      </c>
      <c r="DI13" s="22" t="e">
        <f aca="false">AND('Current Index'!D330,"AAAAAHjmf3A=")</f>
        <v>#VALUE!</v>
      </c>
      <c r="DJ13" s="22" t="e">
        <f aca="false">AND('Current Index'!E330,"AAAAAHjmf3E=")</f>
        <v>#VALUE!</v>
      </c>
      <c r="DK13" s="22" t="e">
        <f aca="false">AND('Current Index'!F330,"AAAAAHjmf3I=")</f>
        <v>#VALUE!</v>
      </c>
      <c r="DL13" s="22" t="e">
        <f aca="false">AND('Current Index'!G330,"AAAAAHjmf3M=")</f>
        <v>#VALUE!</v>
      </c>
      <c r="DM13" s="22" t="e">
        <f aca="false">AND('Current Index'!H330,"AAAAAHjmf3Q=")</f>
        <v>#VALUE!</v>
      </c>
      <c r="DN13" s="22" t="e">
        <f aca="false">AND('Current Index'!I330,"AAAAAHjmf3U=")</f>
        <v>#VALUE!</v>
      </c>
      <c r="DO13" s="22" t="n">
        <f aca="false">IF('Current Index'!331:331,"AAAAAHjmf3Y=",0)</f>
        <v>0</v>
      </c>
      <c r="DP13" s="22" t="e">
        <f aca="false">AND('Current Index'!A331,"AAAAAHjmf3c=")</f>
        <v>#VALUE!</v>
      </c>
      <c r="DQ13" s="22" t="e">
        <f aca="false">AND('current index'!#ref!,"AAAAAHjmf3g=")</f>
        <v>#VALUE!</v>
      </c>
      <c r="DR13" s="22" t="e">
        <f aca="false">AND('Current Index'!B331,"AAAAAHjmf3k=")</f>
        <v>#VALUE!</v>
      </c>
      <c r="DS13" s="22" t="e">
        <f aca="false">AND('Current Index'!C331,"AAAAAHjmf3o=")</f>
        <v>#VALUE!</v>
      </c>
      <c r="DT13" s="22" t="e">
        <f aca="false">AND('Current Index'!D331,"AAAAAHjmf3s=")</f>
        <v>#VALUE!</v>
      </c>
      <c r="DU13" s="22" t="e">
        <f aca="false">AND('Current Index'!E331,"AAAAAHjmf3w=")</f>
        <v>#VALUE!</v>
      </c>
      <c r="DV13" s="22" t="e">
        <f aca="false">AND('Current Index'!F331,"AAAAAHjmf30=")</f>
        <v>#VALUE!</v>
      </c>
      <c r="DW13" s="22" t="e">
        <f aca="false">AND('Current Index'!G331,"AAAAAHjmf34=")</f>
        <v>#VALUE!</v>
      </c>
      <c r="DX13" s="22" t="e">
        <f aca="false">AND('Current Index'!H331,"AAAAAHjmf38=")</f>
        <v>#VALUE!</v>
      </c>
      <c r="DY13" s="22" t="e">
        <f aca="false">AND('Current Index'!I331,"AAAAAHjmf4A=")</f>
        <v>#VALUE!</v>
      </c>
      <c r="DZ13" s="22" t="n">
        <f aca="false">IF('Current Index'!332:332,"AAAAAHjmf4E=",0)</f>
        <v>0</v>
      </c>
      <c r="EA13" s="22" t="e">
        <f aca="false">AND('Current Index'!A332,"AAAAAHjmf4I=")</f>
        <v>#VALUE!</v>
      </c>
      <c r="EB13" s="22" t="e">
        <f aca="false">AND('current index'!#ref!,"AAAAAHjmf4M=")</f>
        <v>#VALUE!</v>
      </c>
      <c r="EC13" s="22" t="e">
        <f aca="false">AND('Current Index'!B332,"AAAAAHjmf4Q=")</f>
        <v>#VALUE!</v>
      </c>
      <c r="ED13" s="22" t="e">
        <f aca="false">AND('Current Index'!C332,"AAAAAHjmf4U=")</f>
        <v>#VALUE!</v>
      </c>
      <c r="EE13" s="22" t="e">
        <f aca="false">AND('Current Index'!D332,"AAAAAHjmf4Y=")</f>
        <v>#VALUE!</v>
      </c>
      <c r="EF13" s="22" t="e">
        <f aca="false">AND('Current Index'!E332,"AAAAAHjmf4c=")</f>
        <v>#VALUE!</v>
      </c>
      <c r="EG13" s="22" t="e">
        <f aca="false">AND('Current Index'!F332,"AAAAAHjmf4g=")</f>
        <v>#VALUE!</v>
      </c>
      <c r="EH13" s="22" t="e">
        <f aca="false">AND('Current Index'!G332,"AAAAAHjmf4k=")</f>
        <v>#VALUE!</v>
      </c>
      <c r="EI13" s="22" t="e">
        <f aca="false">AND('Current Index'!H332,"AAAAAHjmf4o=")</f>
        <v>#VALUE!</v>
      </c>
      <c r="EJ13" s="22" t="e">
        <f aca="false">AND('Current Index'!I332,"AAAAAHjmf4s=")</f>
        <v>#VALUE!</v>
      </c>
      <c r="EK13" s="22" t="n">
        <f aca="false">IF('Current Index'!333:333,"AAAAAHjmf4w=",0)</f>
        <v>0</v>
      </c>
      <c r="EL13" s="22" t="e">
        <f aca="false">AND('Current Index'!A333,"AAAAAHjmf40=")</f>
        <v>#VALUE!</v>
      </c>
      <c r="EM13" s="22" t="e">
        <f aca="false">AND('current index'!#ref!,"AAAAAHjmf44=")</f>
        <v>#VALUE!</v>
      </c>
      <c r="EN13" s="22" t="e">
        <f aca="false">AND('Current Index'!B333,"AAAAAHjmf48=")</f>
        <v>#VALUE!</v>
      </c>
      <c r="EO13" s="22" t="e">
        <f aca="false">AND('Current Index'!C333,"AAAAAHjmf5A=")</f>
        <v>#VALUE!</v>
      </c>
      <c r="EP13" s="22" t="e">
        <f aca="false">AND('Current Index'!D333,"AAAAAHjmf5E=")</f>
        <v>#VALUE!</v>
      </c>
      <c r="EQ13" s="22" t="e">
        <f aca="false">AND('Current Index'!E333,"AAAAAHjmf5I=")</f>
        <v>#VALUE!</v>
      </c>
      <c r="ER13" s="22" t="e">
        <f aca="false">AND('Current Index'!F333,"AAAAAHjmf5M=")</f>
        <v>#VALUE!</v>
      </c>
      <c r="ES13" s="22" t="e">
        <f aca="false">AND('Current Index'!G333,"AAAAAHjmf5Q=")</f>
        <v>#VALUE!</v>
      </c>
      <c r="ET13" s="22" t="e">
        <f aca="false">AND('Current Index'!H333,"AAAAAHjmf5U=")</f>
        <v>#VALUE!</v>
      </c>
      <c r="EU13" s="22" t="e">
        <f aca="false">AND('Current Index'!I333,"AAAAAHjmf5Y=")</f>
        <v>#VALUE!</v>
      </c>
      <c r="EV13" s="22" t="n">
        <f aca="false">IF('Current Index'!363:363,"AAAAAHjmf5c=",0)</f>
        <v>0</v>
      </c>
      <c r="EW13" s="22" t="e">
        <f aca="false">AND('Current Index'!A363,"AAAAAHjmf5g=")</f>
        <v>#VALUE!</v>
      </c>
      <c r="EX13" s="22" t="e">
        <f aca="false">AND('current index'!#ref!,"AAAAAHjmf5k=")</f>
        <v>#VALUE!</v>
      </c>
      <c r="EY13" s="22" t="e">
        <f aca="false">AND('Current Index'!B363,"AAAAAHjmf5o=")</f>
        <v>#VALUE!</v>
      </c>
      <c r="EZ13" s="22" t="e">
        <f aca="false">AND('Current Index'!C363,"AAAAAHjmf5s=")</f>
        <v>#VALUE!</v>
      </c>
      <c r="FA13" s="22" t="e">
        <f aca="false">AND('Current Index'!D363,"AAAAAHjmf5w=")</f>
        <v>#VALUE!</v>
      </c>
      <c r="FB13" s="22" t="e">
        <f aca="false">AND('Current Index'!E363,"AAAAAHjmf50=")</f>
        <v>#VALUE!</v>
      </c>
      <c r="FC13" s="22" t="e">
        <f aca="false">AND('Current Index'!F363,"AAAAAHjmf54=")</f>
        <v>#VALUE!</v>
      </c>
      <c r="FD13" s="22" t="e">
        <f aca="false">AND('Current Index'!G363,"AAAAAHjmf58=")</f>
        <v>#VALUE!</v>
      </c>
      <c r="FE13" s="22" t="e">
        <f aca="false">AND('Current Index'!H363,"AAAAAHjmf6A=")</f>
        <v>#VALUE!</v>
      </c>
      <c r="FF13" s="22" t="e">
        <f aca="false">AND('Current Index'!I363,"AAAAAHjmf6E=")</f>
        <v>#VALUE!</v>
      </c>
      <c r="FG13" s="22" t="n">
        <f aca="false">IF('Current Index'!364:364,"AAAAAHjmf6I=",0)</f>
        <v>0</v>
      </c>
      <c r="FH13" s="22" t="e">
        <f aca="false">AND('Current Index'!A364,"AAAAAHjmf6M=")</f>
        <v>#VALUE!</v>
      </c>
      <c r="FI13" s="22" t="e">
        <f aca="false">AND('current index'!#ref!,"AAAAAHjmf6Q=")</f>
        <v>#VALUE!</v>
      </c>
      <c r="FJ13" s="22" t="e">
        <f aca="false">AND('Current Index'!B364,"AAAAAHjmf6U=")</f>
        <v>#VALUE!</v>
      </c>
      <c r="FK13" s="22" t="e">
        <f aca="false">AND('Current Index'!C364,"AAAAAHjmf6Y=")</f>
        <v>#VALUE!</v>
      </c>
      <c r="FL13" s="22" t="e">
        <f aca="false">AND('Current Index'!D364,"AAAAAHjmf6c=")</f>
        <v>#VALUE!</v>
      </c>
      <c r="FM13" s="22" t="e">
        <f aca="false">AND('Current Index'!E364,"AAAAAHjmf6g=")</f>
        <v>#VALUE!</v>
      </c>
      <c r="FN13" s="22" t="e">
        <f aca="false">AND('Current Index'!F364,"AAAAAHjmf6k=")</f>
        <v>#VALUE!</v>
      </c>
      <c r="FO13" s="22" t="e">
        <f aca="false">AND('Current Index'!G364,"AAAAAHjmf6o=")</f>
        <v>#VALUE!</v>
      </c>
      <c r="FP13" s="22" t="e">
        <f aca="false">AND('Current Index'!H364,"AAAAAHjmf6s=")</f>
        <v>#VALUE!</v>
      </c>
      <c r="FQ13" s="22" t="e">
        <f aca="false">AND('Current Index'!I364,"AAAAAHjmf6w=")</f>
        <v>#VALUE!</v>
      </c>
      <c r="FR13" s="22" t="n">
        <f aca="false">IF('Current Index'!365:365,"AAAAAHjmf60=",0)</f>
        <v>0</v>
      </c>
      <c r="FS13" s="22" t="e">
        <f aca="false">AND('Current Index'!A365,"AAAAAHjmf64=")</f>
        <v>#VALUE!</v>
      </c>
      <c r="FT13" s="22" t="e">
        <f aca="false">AND('current index'!#ref!,"AAAAAHjmf68=")</f>
        <v>#VALUE!</v>
      </c>
      <c r="FU13" s="22" t="e">
        <f aca="false">AND('Current Index'!B365,"AAAAAHjmf7A=")</f>
        <v>#VALUE!</v>
      </c>
      <c r="FV13" s="22" t="e">
        <f aca="false">AND('Current Index'!C365,"AAAAAHjmf7E=")</f>
        <v>#VALUE!</v>
      </c>
      <c r="FW13" s="22" t="e">
        <f aca="false">AND('Current Index'!D365,"AAAAAHjmf7I=")</f>
        <v>#VALUE!</v>
      </c>
      <c r="FX13" s="22" t="e">
        <f aca="false">AND('Current Index'!E365,"AAAAAHjmf7M=")</f>
        <v>#VALUE!</v>
      </c>
      <c r="FY13" s="22" t="e">
        <f aca="false">AND('Current Index'!F365,"AAAAAHjmf7Q=")</f>
        <v>#VALUE!</v>
      </c>
      <c r="FZ13" s="22" t="e">
        <f aca="false">AND('Current Index'!G365,"AAAAAHjmf7U=")</f>
        <v>#VALUE!</v>
      </c>
      <c r="GA13" s="22" t="e">
        <f aca="false">AND('Current Index'!H365,"AAAAAHjmf7Y=")</f>
        <v>#VALUE!</v>
      </c>
      <c r="GB13" s="22" t="e">
        <f aca="false">AND('Current Index'!I365,"AAAAAHjmf7c=")</f>
        <v>#VALUE!</v>
      </c>
      <c r="GC13" s="22" t="n">
        <f aca="false">IF('Current Index'!366:366,"AAAAAHjmf7g=",0)</f>
        <v>0</v>
      </c>
      <c r="GD13" s="22" t="e">
        <f aca="false">AND('Current Index'!A366,"AAAAAHjmf7k=")</f>
        <v>#VALUE!</v>
      </c>
      <c r="GE13" s="22" t="e">
        <f aca="false">AND('current index'!#ref!,"AAAAAHjmf7o=")</f>
        <v>#VALUE!</v>
      </c>
      <c r="GF13" s="22" t="e">
        <f aca="false">AND('Current Index'!B366,"AAAAAHjmf7s=")</f>
        <v>#VALUE!</v>
      </c>
      <c r="GG13" s="22" t="e">
        <f aca="false">AND('Current Index'!C366,"AAAAAHjmf7w=")</f>
        <v>#VALUE!</v>
      </c>
      <c r="GH13" s="22" t="e">
        <f aca="false">AND('Current Index'!D366,"AAAAAHjmf70=")</f>
        <v>#VALUE!</v>
      </c>
      <c r="GI13" s="22" t="e">
        <f aca="false">AND('Current Index'!E366,"AAAAAHjmf74=")</f>
        <v>#VALUE!</v>
      </c>
      <c r="GJ13" s="22" t="e">
        <f aca="false">AND('Current Index'!F366,"AAAAAHjmf78=")</f>
        <v>#VALUE!</v>
      </c>
      <c r="GK13" s="22" t="e">
        <f aca="false">AND('Current Index'!G366,"AAAAAHjmf8A=")</f>
        <v>#VALUE!</v>
      </c>
      <c r="GL13" s="22" t="e">
        <f aca="false">AND('Current Index'!H366,"AAAAAHjmf8E=")</f>
        <v>#VALUE!</v>
      </c>
      <c r="GM13" s="22" t="e">
        <f aca="false">AND('Current Index'!I366,"AAAAAHjmf8I=")</f>
        <v>#VALUE!</v>
      </c>
      <c r="GN13" s="22" t="n">
        <f aca="false">IF('Current Index'!367:367,"AAAAAHjmf8M=",0)</f>
        <v>0</v>
      </c>
      <c r="GO13" s="22" t="e">
        <f aca="false">AND('Current Index'!A367,"AAAAAHjmf8Q=")</f>
        <v>#VALUE!</v>
      </c>
      <c r="GP13" s="22" t="e">
        <f aca="false">AND('current index'!#ref!,"AAAAAHjmf8U=")</f>
        <v>#VALUE!</v>
      </c>
      <c r="GQ13" s="22" t="e">
        <f aca="false">AND('Current Index'!B367,"AAAAAHjmf8Y=")</f>
        <v>#VALUE!</v>
      </c>
      <c r="GR13" s="22" t="e">
        <f aca="false">AND('Current Index'!C367,"AAAAAHjmf8c=")</f>
        <v>#VALUE!</v>
      </c>
      <c r="GS13" s="22" t="e">
        <f aca="false">AND('Current Index'!D367,"AAAAAHjmf8g=")</f>
        <v>#VALUE!</v>
      </c>
      <c r="GT13" s="22" t="e">
        <f aca="false">AND('Current Index'!E367,"AAAAAHjmf8k=")</f>
        <v>#VALUE!</v>
      </c>
      <c r="GU13" s="22" t="e">
        <f aca="false">AND('Current Index'!F367,"AAAAAHjmf8o=")</f>
        <v>#VALUE!</v>
      </c>
      <c r="GV13" s="22" t="e">
        <f aca="false">AND('Current Index'!G367,"AAAAAHjmf8s=")</f>
        <v>#VALUE!</v>
      </c>
      <c r="GW13" s="22" t="e">
        <f aca="false">AND('Current Index'!H367,"AAAAAHjmf8w=")</f>
        <v>#VALUE!</v>
      </c>
      <c r="GX13" s="22" t="e">
        <f aca="false">AND('Current Index'!I367,"AAAAAHjmf80=")</f>
        <v>#VALUE!</v>
      </c>
      <c r="GY13" s="22" t="n">
        <f aca="false">IF('Current Index'!368:368,"AAAAAHjmf84=",0)</f>
        <v>0</v>
      </c>
      <c r="GZ13" s="22" t="e">
        <f aca="false">AND('Current Index'!A368,"AAAAAHjmf88=")</f>
        <v>#VALUE!</v>
      </c>
      <c r="HA13" s="22" t="e">
        <f aca="false">AND('current index'!#ref!,"AAAAAHjmf9A=")</f>
        <v>#VALUE!</v>
      </c>
      <c r="HB13" s="22" t="e">
        <f aca="false">AND('Current Index'!B368,"AAAAAHjmf9E=")</f>
        <v>#VALUE!</v>
      </c>
      <c r="HC13" s="22" t="e">
        <f aca="false">AND('Current Index'!C368,"AAAAAHjmf9I=")</f>
        <v>#VALUE!</v>
      </c>
      <c r="HD13" s="22" t="e">
        <f aca="false">AND('Current Index'!D368,"AAAAAHjmf9M=")</f>
        <v>#VALUE!</v>
      </c>
      <c r="HE13" s="22" t="e">
        <f aca="false">AND('Current Index'!E368,"AAAAAHjmf9Q=")</f>
        <v>#VALUE!</v>
      </c>
      <c r="HF13" s="22" t="e">
        <f aca="false">AND('Current Index'!F368,"AAAAAHjmf9U=")</f>
        <v>#VALUE!</v>
      </c>
      <c r="HG13" s="22" t="e">
        <f aca="false">AND('Current Index'!G368,"AAAAAHjmf9Y=")</f>
        <v>#VALUE!</v>
      </c>
      <c r="HH13" s="22" t="e">
        <f aca="false">AND('Current Index'!H368,"AAAAAHjmf9c=")</f>
        <v>#VALUE!</v>
      </c>
      <c r="HI13" s="22" t="e">
        <f aca="false">AND('Current Index'!I368,"AAAAAHjmf9g=")</f>
        <v>#VALUE!</v>
      </c>
      <c r="HJ13" s="22" t="e">
        <f aca="false">IF('current index'!#ref!,"AAAAAHjmf9k=",0)</f>
        <v>#VALUE!</v>
      </c>
      <c r="HK13" s="22" t="e">
        <f aca="false">AND('current index'!#ref!,"AAAAAHjmf9o=")</f>
        <v>#VALUE!</v>
      </c>
      <c r="HL13" s="22" t="e">
        <f aca="false">AND('current index'!#ref!,"AAAAAHjmf9s=")</f>
        <v>#VALUE!</v>
      </c>
      <c r="HM13" s="22" t="e">
        <f aca="false">AND('current index'!#ref!,"AAAAAHjmf9w=")</f>
        <v>#VALUE!</v>
      </c>
      <c r="HN13" s="22" t="e">
        <f aca="false">AND('current index'!#ref!,"AAAAAHjmf90=")</f>
        <v>#VALUE!</v>
      </c>
      <c r="HO13" s="22" t="e">
        <f aca="false">AND('current index'!#ref!,"AAAAAHjmf94=")</f>
        <v>#VALUE!</v>
      </c>
      <c r="HP13" s="22" t="e">
        <f aca="false">AND('current index'!#ref!,"AAAAAHjmf98=")</f>
        <v>#VALUE!</v>
      </c>
      <c r="HQ13" s="22" t="e">
        <f aca="false">AND('current index'!#ref!,"AAAAAHjmf+A=")</f>
        <v>#VALUE!</v>
      </c>
      <c r="HR13" s="22" t="e">
        <f aca="false">AND('current index'!#ref!,"AAAAAHjmf+E=")</f>
        <v>#VALUE!</v>
      </c>
      <c r="HS13" s="22" t="e">
        <f aca="false">AND('current index'!#ref!,"AAAAAHjmf+I=")</f>
        <v>#VALUE!</v>
      </c>
      <c r="HT13" s="22" t="e">
        <f aca="false">AND('current index'!#ref!,"AAAAAHjmf+M=")</f>
        <v>#VALUE!</v>
      </c>
      <c r="HU13" s="22" t="n">
        <f aca="false">IF('Current Index'!369:369,"AAAAAHjmf+Q=",0)</f>
        <v>0</v>
      </c>
      <c r="HV13" s="22" t="e">
        <f aca="false">AND('Current Index'!A369,"AAAAAHjmf+U=")</f>
        <v>#VALUE!</v>
      </c>
      <c r="HW13" s="22" t="e">
        <f aca="false">AND('current index'!#ref!,"AAAAAHjmf+Y=")</f>
        <v>#VALUE!</v>
      </c>
      <c r="HX13" s="22" t="e">
        <f aca="false">AND('Current Index'!B369,"AAAAAHjmf+c=")</f>
        <v>#VALUE!</v>
      </c>
      <c r="HY13" s="22" t="e">
        <f aca="false">AND('Current Index'!C369,"AAAAAHjmf+g=")</f>
        <v>#VALUE!</v>
      </c>
      <c r="HZ13" s="22" t="e">
        <f aca="false">AND('Current Index'!D369,"AAAAAHjmf+k=")</f>
        <v>#VALUE!</v>
      </c>
      <c r="IA13" s="22" t="e">
        <f aca="false">AND('Current Index'!E369,"AAAAAHjmf+o=")</f>
        <v>#VALUE!</v>
      </c>
      <c r="IB13" s="22" t="e">
        <f aca="false">AND('Current Index'!F369,"AAAAAHjmf+s=")</f>
        <v>#VALUE!</v>
      </c>
      <c r="IC13" s="22" t="e">
        <f aca="false">AND('Current Index'!G369,"AAAAAHjmf+w=")</f>
        <v>#VALUE!</v>
      </c>
      <c r="ID13" s="22" t="e">
        <f aca="false">AND('Current Index'!H369,"AAAAAHjmf+0=")</f>
        <v>#VALUE!</v>
      </c>
      <c r="IE13" s="22" t="e">
        <f aca="false">AND('Current Index'!I369,"AAAAAHjmf+4=")</f>
        <v>#VALUE!</v>
      </c>
      <c r="IF13" s="22" t="n">
        <f aca="false">IF('Current Index'!370:370,"AAAAAHjmf+8=",0)</f>
        <v>0</v>
      </c>
      <c r="IG13" s="22" t="e">
        <f aca="false">AND('Current Index'!A370,"AAAAAHjmf/A=")</f>
        <v>#VALUE!</v>
      </c>
      <c r="IH13" s="22" t="e">
        <f aca="false">AND('current index'!#ref!,"AAAAAHjmf/E=")</f>
        <v>#VALUE!</v>
      </c>
      <c r="II13" s="22" t="e">
        <f aca="false">AND('Current Index'!B370,"AAAAAHjmf/I=")</f>
        <v>#VALUE!</v>
      </c>
      <c r="IJ13" s="22" t="e">
        <f aca="false">AND('Current Index'!C370,"AAAAAHjmf/M=")</f>
        <v>#VALUE!</v>
      </c>
      <c r="IK13" s="22" t="e">
        <f aca="false">AND('Current Index'!D370,"AAAAAHjmf/Q=")</f>
        <v>#VALUE!</v>
      </c>
      <c r="IL13" s="22" t="e">
        <f aca="false">AND('Current Index'!E370,"AAAAAHjmf/U=")</f>
        <v>#VALUE!</v>
      </c>
      <c r="IM13" s="22" t="e">
        <f aca="false">AND('Current Index'!F370,"AAAAAHjmf/Y=")</f>
        <v>#VALUE!</v>
      </c>
      <c r="IN13" s="22" t="e">
        <f aca="false">AND('Current Index'!G370,"AAAAAHjmf/c=")</f>
        <v>#VALUE!</v>
      </c>
      <c r="IO13" s="22" t="e">
        <f aca="false">AND('Current Index'!H370,"AAAAAHjmf/g=")</f>
        <v>#VALUE!</v>
      </c>
      <c r="IP13" s="22" t="e">
        <f aca="false">AND('Current Index'!I370,"AAAAAHjmf/k=")</f>
        <v>#VALUE!</v>
      </c>
      <c r="IQ13" s="22" t="n">
        <f aca="false">IF('Current Index'!371:371,"AAAAAHjmf/o=",0)</f>
        <v>0</v>
      </c>
      <c r="IR13" s="22" t="e">
        <f aca="false">AND('Current Index'!A371,"AAAAAHjmf/s=")</f>
        <v>#VALUE!</v>
      </c>
      <c r="IS13" s="22" t="e">
        <f aca="false">AND('current index'!#ref!,"AAAAAHjmf/w=")</f>
        <v>#VALUE!</v>
      </c>
      <c r="IT13" s="22" t="e">
        <f aca="false">AND('Current Index'!B371,"AAAAAHjmf/0=")</f>
        <v>#VALUE!</v>
      </c>
      <c r="IU13" s="22" t="e">
        <f aca="false">AND('Current Index'!C371,"AAAAAHjmf/4=")</f>
        <v>#VALUE!</v>
      </c>
      <c r="IV13" s="22" t="e">
        <f aca="false">AND('Current Index'!D371,"AAAAAHjmf/8=")</f>
        <v>#VALUE!</v>
      </c>
    </row>
    <row r="14" customFormat="false" ht="12.75" hidden="false" customHeight="false" outlineLevel="0" collapsed="false">
      <c r="A14" s="22" t="e">
        <f aca="false">AND('Current Index'!E371,"AAAAAB9v9gA=")</f>
        <v>#VALUE!</v>
      </c>
      <c r="B14" s="22" t="e">
        <f aca="false">AND('Current Index'!F371,"AAAAAB9v9gE=")</f>
        <v>#VALUE!</v>
      </c>
      <c r="C14" s="22" t="e">
        <f aca="false">AND('Current Index'!G371,"AAAAAB9v9gI=")</f>
        <v>#VALUE!</v>
      </c>
      <c r="D14" s="22" t="e">
        <f aca="false">AND('Current Index'!H371,"AAAAAB9v9gM=")</f>
        <v>#VALUE!</v>
      </c>
      <c r="E14" s="22" t="e">
        <f aca="false">AND('Current Index'!I371,"AAAAAB9v9gQ=")</f>
        <v>#VALUE!</v>
      </c>
      <c r="F14" s="22" t="e">
        <f aca="false">IF('current index'!#ref!,"AAAAAB9v9gU=",0)</f>
        <v>#VALUE!</v>
      </c>
      <c r="G14" s="22" t="e">
        <f aca="false">AND('current index'!#ref!,"AAAAAB9v9gY=")</f>
        <v>#VALUE!</v>
      </c>
      <c r="H14" s="22" t="e">
        <f aca="false">AND('current index'!#ref!,"AAAAAB9v9gc=")</f>
        <v>#VALUE!</v>
      </c>
      <c r="I14" s="22" t="e">
        <f aca="false">AND('current index'!#ref!,"AAAAAB9v9gg=")</f>
        <v>#VALUE!</v>
      </c>
      <c r="J14" s="22" t="e">
        <f aca="false">AND('current index'!#ref!,"AAAAAB9v9gk=")</f>
        <v>#VALUE!</v>
      </c>
      <c r="K14" s="22" t="e">
        <f aca="false">AND('current index'!#ref!,"AAAAAB9v9go=")</f>
        <v>#VALUE!</v>
      </c>
      <c r="L14" s="22" t="e">
        <f aca="false">AND('current index'!#ref!,"AAAAAB9v9gs=")</f>
        <v>#VALUE!</v>
      </c>
      <c r="M14" s="22" t="e">
        <f aca="false">AND('current index'!#ref!,"AAAAAB9v9gw=")</f>
        <v>#VALUE!</v>
      </c>
      <c r="N14" s="22" t="e">
        <f aca="false">AND('current index'!#ref!,"AAAAAB9v9g0=")</f>
        <v>#VALUE!</v>
      </c>
      <c r="O14" s="22" t="e">
        <f aca="false">AND('current index'!#ref!,"AAAAAB9v9g4=")</f>
        <v>#VALUE!</v>
      </c>
      <c r="P14" s="22" t="e">
        <f aca="false">AND('current index'!#ref!,"AAAAAB9v9g8=")</f>
        <v>#VALUE!</v>
      </c>
      <c r="Q14" s="22" t="n">
        <f aca="false">IF('Current Index'!372:372,"AAAAAB9v9hA=",0)</f>
        <v>0</v>
      </c>
      <c r="R14" s="22" t="e">
        <f aca="false">AND('Current Index'!A372,"AAAAAB9v9hE=")</f>
        <v>#VALUE!</v>
      </c>
      <c r="S14" s="22" t="e">
        <f aca="false">AND('current index'!#ref!,"AAAAAB9v9hI=")</f>
        <v>#VALUE!</v>
      </c>
      <c r="T14" s="22" t="e">
        <f aca="false">AND('Current Index'!B372,"AAAAAB9v9hM=")</f>
        <v>#VALUE!</v>
      </c>
      <c r="U14" s="22" t="e">
        <f aca="false">AND('Current Index'!C372,"AAAAAB9v9hQ=")</f>
        <v>#VALUE!</v>
      </c>
      <c r="V14" s="22" t="e">
        <f aca="false">AND('Current Index'!D372,"AAAAAB9v9hU=")</f>
        <v>#VALUE!</v>
      </c>
      <c r="W14" s="22" t="e">
        <f aca="false">AND('Current Index'!E372,"AAAAAB9v9hY=")</f>
        <v>#VALUE!</v>
      </c>
      <c r="X14" s="22" t="e">
        <f aca="false">AND('Current Index'!F372,"AAAAAB9v9hc=")</f>
        <v>#VALUE!</v>
      </c>
      <c r="Y14" s="22" t="e">
        <f aca="false">AND('Current Index'!G372,"AAAAAB9v9hg=")</f>
        <v>#VALUE!</v>
      </c>
      <c r="Z14" s="22" t="e">
        <f aca="false">AND('Current Index'!H372,"AAAAAB9v9hk=")</f>
        <v>#VALUE!</v>
      </c>
      <c r="AA14" s="22" t="e">
        <f aca="false">AND('Current Index'!I372,"AAAAAB9v9ho=")</f>
        <v>#VALUE!</v>
      </c>
      <c r="AB14" s="22" t="n">
        <f aca="false">IF('Current Index'!373:373,"AAAAAB9v9hs=",0)</f>
        <v>0</v>
      </c>
      <c r="AC14" s="22" t="e">
        <f aca="false">AND('Current Index'!A373,"AAAAAB9v9hw=")</f>
        <v>#VALUE!</v>
      </c>
      <c r="AD14" s="22" t="e">
        <f aca="false">AND('current index'!#ref!,"AAAAAB9v9h0=")</f>
        <v>#VALUE!</v>
      </c>
      <c r="AE14" s="22" t="e">
        <f aca="false">AND('Current Index'!B373,"AAAAAB9v9h4=")</f>
        <v>#VALUE!</v>
      </c>
      <c r="AF14" s="22" t="e">
        <f aca="false">AND('Current Index'!C373,"AAAAAB9v9h8=")</f>
        <v>#VALUE!</v>
      </c>
      <c r="AG14" s="22" t="e">
        <f aca="false">AND('Current Index'!D373,"AAAAAB9v9iA=")</f>
        <v>#VALUE!</v>
      </c>
      <c r="AH14" s="22" t="e">
        <f aca="false">AND('Current Index'!E373,"AAAAAB9v9iE=")</f>
        <v>#VALUE!</v>
      </c>
      <c r="AI14" s="22" t="e">
        <f aca="false">AND('Current Index'!F373,"AAAAAB9v9iI=")</f>
        <v>#VALUE!</v>
      </c>
      <c r="AJ14" s="22" t="e">
        <f aca="false">AND('Current Index'!G373,"AAAAAB9v9iM=")</f>
        <v>#VALUE!</v>
      </c>
      <c r="AK14" s="22" t="e">
        <f aca="false">AND('Current Index'!H373,"AAAAAB9v9iQ=")</f>
        <v>#VALUE!</v>
      </c>
      <c r="AL14" s="22" t="e">
        <f aca="false">AND('Current Index'!I373,"AAAAAB9v9iU=")</f>
        <v>#VALUE!</v>
      </c>
      <c r="AM14" s="22" t="e">
        <f aca="false">IF(#REF!,"AAAAAB9v9iY=",0)</f>
        <v>#REF!</v>
      </c>
      <c r="AN14" s="22" t="e">
        <f aca="false">AND(#REF!,"AAAAAB9v9ic=")</f>
        <v>#VALUE!</v>
      </c>
      <c r="AO14" s="22" t="e">
        <f aca="false">AND('current index'!#ref!,"AAAAAB9v9ig=")</f>
        <v>#VALUE!</v>
      </c>
      <c r="AP14" s="22" t="e">
        <f aca="false">AND(#REF!,"AAAAAB9v9ik=")</f>
        <v>#VALUE!</v>
      </c>
      <c r="AQ14" s="22" t="e">
        <f aca="false">AND(#REF!,"AAAAAB9v9io=")</f>
        <v>#VALUE!</v>
      </c>
      <c r="AR14" s="22" t="e">
        <f aca="false">AND(#REF!,"AAAAAB9v9is=")</f>
        <v>#VALUE!</v>
      </c>
      <c r="AS14" s="22" t="e">
        <f aca="false">AND(#REF!,"AAAAAB9v9iw=")</f>
        <v>#VALUE!</v>
      </c>
      <c r="AT14" s="22" t="e">
        <f aca="false">AND(#REF!,"AAAAAB9v9i0=")</f>
        <v>#VALUE!</v>
      </c>
      <c r="AU14" s="22" t="e">
        <f aca="false">AND(#REF!,"AAAAAB9v9i4=")</f>
        <v>#VALUE!</v>
      </c>
      <c r="AV14" s="22" t="e">
        <f aca="false">AND(#REF!,"AAAAAB9v9i8=")</f>
        <v>#VALUE!</v>
      </c>
      <c r="AW14" s="22" t="e">
        <f aca="false">AND(#REF!,"AAAAAB9v9jA=")</f>
        <v>#VALUE!</v>
      </c>
      <c r="AX14" s="22" t="n">
        <f aca="false">IF('Current Index'!374:374,"AAAAAB9v9jE=",0)</f>
        <v>0</v>
      </c>
      <c r="AY14" s="22" t="e">
        <f aca="false">AND('Current Index'!A374,"AAAAAB9v9jI=")</f>
        <v>#VALUE!</v>
      </c>
      <c r="AZ14" s="22" t="e">
        <f aca="false">AND('current index'!#ref!,"AAAAAB9v9jM=")</f>
        <v>#VALUE!</v>
      </c>
      <c r="BA14" s="22" t="e">
        <f aca="false">AND('Current Index'!B374,"AAAAAB9v9jQ=")</f>
        <v>#VALUE!</v>
      </c>
      <c r="BB14" s="22" t="e">
        <f aca="false">AND('Current Index'!C374,"AAAAAB9v9jU=")</f>
        <v>#VALUE!</v>
      </c>
      <c r="BC14" s="22" t="e">
        <f aca="false">AND('Current Index'!D374,"AAAAAB9v9jY=")</f>
        <v>#VALUE!</v>
      </c>
      <c r="BD14" s="22" t="e">
        <f aca="false">AND('Current Index'!E374,"AAAAAB9v9jc=")</f>
        <v>#VALUE!</v>
      </c>
      <c r="BE14" s="22" t="e">
        <f aca="false">AND('Current Index'!F374,"AAAAAB9v9jg=")</f>
        <v>#VALUE!</v>
      </c>
      <c r="BF14" s="22" t="e">
        <f aca="false">AND('Current Index'!G374,"AAAAAB9v9jk=")</f>
        <v>#VALUE!</v>
      </c>
      <c r="BG14" s="22" t="e">
        <f aca="false">AND('Current Index'!H374,"AAAAAB9v9jo=")</f>
        <v>#VALUE!</v>
      </c>
      <c r="BH14" s="22" t="e">
        <f aca="false">AND('Current Index'!I374,"AAAAAB9v9js=")</f>
        <v>#VALUE!</v>
      </c>
      <c r="BI14" s="22" t="n">
        <f aca="false">IF('Current Index'!375:375,"AAAAAB9v9jw=",0)</f>
        <v>0</v>
      </c>
      <c r="BJ14" s="22" t="e">
        <f aca="false">AND('Current Index'!A375,"AAAAAB9v9j0=")</f>
        <v>#VALUE!</v>
      </c>
      <c r="BK14" s="22" t="e">
        <f aca="false">AND('current index'!#ref!,"AAAAAB9v9j4=")</f>
        <v>#VALUE!</v>
      </c>
      <c r="BL14" s="22" t="e">
        <f aca="false">AND('Current Index'!B375,"AAAAAB9v9j8=")</f>
        <v>#VALUE!</v>
      </c>
      <c r="BM14" s="22" t="e">
        <f aca="false">AND('Current Index'!C375,"AAAAAB9v9kA=")</f>
        <v>#VALUE!</v>
      </c>
      <c r="BN14" s="22" t="e">
        <f aca="false">AND('Current Index'!D375,"AAAAAB9v9kE=")</f>
        <v>#VALUE!</v>
      </c>
      <c r="BO14" s="22" t="e">
        <f aca="false">AND('Current Index'!E375,"AAAAAB9v9kI=")</f>
        <v>#VALUE!</v>
      </c>
      <c r="BP14" s="22" t="e">
        <f aca="false">AND('Current Index'!F375,"AAAAAB9v9kM=")</f>
        <v>#VALUE!</v>
      </c>
      <c r="BQ14" s="22" t="e">
        <f aca="false">AND('Current Index'!G375,"AAAAAB9v9kQ=")</f>
        <v>#VALUE!</v>
      </c>
      <c r="BR14" s="22" t="e">
        <f aca="false">AND('Current Index'!H375,"AAAAAB9v9kU=")</f>
        <v>#VALUE!</v>
      </c>
      <c r="BS14" s="22" t="e">
        <f aca="false">AND('Current Index'!I375,"AAAAAB9v9kY=")</f>
        <v>#VALUE!</v>
      </c>
      <c r="BT14" s="22" t="n">
        <f aca="false">IF('Current Index'!376:376,"AAAAAB9v9kc=",0)</f>
        <v>0</v>
      </c>
      <c r="BU14" s="22" t="e">
        <f aca="false">AND('Current Index'!A376,"AAAAAB9v9kg=")</f>
        <v>#VALUE!</v>
      </c>
      <c r="BV14" s="22" t="e">
        <f aca="false">AND('current index'!#ref!,"AAAAAB9v9kk=")</f>
        <v>#VALUE!</v>
      </c>
      <c r="BW14" s="22" t="e">
        <f aca="false">AND('Current Index'!B376,"AAAAAB9v9ko=")</f>
        <v>#VALUE!</v>
      </c>
      <c r="BX14" s="22" t="e">
        <f aca="false">AND('Current Index'!C376,"AAAAAB9v9ks=")</f>
        <v>#VALUE!</v>
      </c>
      <c r="BY14" s="22" t="e">
        <f aca="false">AND('Current Index'!D376,"AAAAAB9v9kw=")</f>
        <v>#VALUE!</v>
      </c>
      <c r="BZ14" s="22" t="e">
        <f aca="false">AND('Current Index'!E376,"AAAAAB9v9k0=")</f>
        <v>#VALUE!</v>
      </c>
      <c r="CA14" s="22" t="e">
        <f aca="false">AND('Current Index'!F376,"AAAAAB9v9k4=")</f>
        <v>#VALUE!</v>
      </c>
      <c r="CB14" s="22" t="e">
        <f aca="false">AND('Current Index'!G376,"AAAAAB9v9k8=")</f>
        <v>#VALUE!</v>
      </c>
      <c r="CC14" s="22" t="e">
        <f aca="false">AND('Current Index'!H376,"AAAAAB9v9lA=")</f>
        <v>#VALUE!</v>
      </c>
      <c r="CD14" s="22" t="e">
        <f aca="false">AND('Current Index'!I376,"AAAAAB9v9lE=")</f>
        <v>#VALUE!</v>
      </c>
      <c r="CE14" s="22" t="n">
        <f aca="false">IF('Current Index'!377:377,"AAAAAB9v9lI=",0)</f>
        <v>0</v>
      </c>
      <c r="CF14" s="22" t="e">
        <f aca="false">AND('Current Index'!A377,"AAAAAB9v9lM=")</f>
        <v>#VALUE!</v>
      </c>
      <c r="CG14" s="22" t="e">
        <f aca="false">AND('current index'!#ref!,"AAAAAB9v9lQ=")</f>
        <v>#VALUE!</v>
      </c>
      <c r="CH14" s="22" t="e">
        <f aca="false">AND('Current Index'!B377,"AAAAAB9v9lU=")</f>
        <v>#VALUE!</v>
      </c>
      <c r="CI14" s="22" t="e">
        <f aca="false">AND('Current Index'!C377,"AAAAAB9v9lY=")</f>
        <v>#VALUE!</v>
      </c>
      <c r="CJ14" s="22" t="e">
        <f aca="false">AND('Current Index'!D377,"AAAAAB9v9lc=")</f>
        <v>#VALUE!</v>
      </c>
      <c r="CK14" s="22" t="e">
        <f aca="false">AND('Current Index'!E377,"AAAAAB9v9lg=")</f>
        <v>#VALUE!</v>
      </c>
      <c r="CL14" s="22" t="e">
        <f aca="false">AND('Current Index'!F377,"AAAAAB9v9lk=")</f>
        <v>#VALUE!</v>
      </c>
      <c r="CM14" s="22" t="e">
        <f aca="false">AND('Current Index'!G377,"AAAAAB9v9lo=")</f>
        <v>#VALUE!</v>
      </c>
      <c r="CN14" s="22" t="e">
        <f aca="false">AND('Current Index'!H377,"AAAAAB9v9ls=")</f>
        <v>#VALUE!</v>
      </c>
      <c r="CO14" s="22" t="e">
        <f aca="false">AND('Current Index'!I377,"AAAAAB9v9lw=")</f>
        <v>#VALUE!</v>
      </c>
      <c r="CP14" s="22" t="n">
        <f aca="false">IF('Current Index'!378:378,"AAAAAB9v9l0=",0)</f>
        <v>0</v>
      </c>
      <c r="CQ14" s="22" t="e">
        <f aca="false">AND('Current Index'!A378,"AAAAAB9v9l4=")</f>
        <v>#VALUE!</v>
      </c>
      <c r="CR14" s="22" t="e">
        <f aca="false">AND('current index'!#ref!,"AAAAAB9v9l8=")</f>
        <v>#VALUE!</v>
      </c>
      <c r="CS14" s="22" t="e">
        <f aca="false">AND('Current Index'!B378,"AAAAAB9v9mA=")</f>
        <v>#VALUE!</v>
      </c>
      <c r="CT14" s="22" t="e">
        <f aca="false">AND('Current Index'!C378,"AAAAAB9v9mE=")</f>
        <v>#VALUE!</v>
      </c>
      <c r="CU14" s="22" t="e">
        <f aca="false">AND('Current Index'!D378,"AAAAAB9v9mI=")</f>
        <v>#VALUE!</v>
      </c>
      <c r="CV14" s="22" t="e">
        <f aca="false">AND('Current Index'!E378,"AAAAAB9v9mM=")</f>
        <v>#VALUE!</v>
      </c>
      <c r="CW14" s="22" t="e">
        <f aca="false">AND('Current Index'!F378,"AAAAAB9v9mQ=")</f>
        <v>#VALUE!</v>
      </c>
      <c r="CX14" s="22" t="e">
        <f aca="false">AND('Current Index'!G378,"AAAAAB9v9mU=")</f>
        <v>#VALUE!</v>
      </c>
      <c r="CY14" s="22" t="e">
        <f aca="false">AND('Current Index'!H378,"AAAAAB9v9mY=")</f>
        <v>#VALUE!</v>
      </c>
      <c r="CZ14" s="22" t="e">
        <f aca="false">AND('Current Index'!I378,"AAAAAB9v9mc=")</f>
        <v>#VALUE!</v>
      </c>
      <c r="DA14" s="22" t="e">
        <f aca="false">IF('current index'!#ref!,"AAAAAB9v9mg=",0)</f>
        <v>#VALUE!</v>
      </c>
      <c r="DB14" s="22" t="e">
        <f aca="false">AND('current index'!#ref!,"AAAAAB9v9mk=")</f>
        <v>#VALUE!</v>
      </c>
      <c r="DC14" s="22" t="e">
        <f aca="false">AND('current index'!#ref!,"AAAAAB9v9mo=")</f>
        <v>#VALUE!</v>
      </c>
      <c r="DD14" s="22" t="e">
        <f aca="false">AND('current index'!#ref!,"AAAAAB9v9ms=")</f>
        <v>#VALUE!</v>
      </c>
      <c r="DE14" s="22" t="e">
        <f aca="false">AND('current index'!#ref!,"AAAAAB9v9mw=")</f>
        <v>#VALUE!</v>
      </c>
      <c r="DF14" s="22" t="e">
        <f aca="false">AND('current index'!#ref!,"AAAAAB9v9m0=")</f>
        <v>#VALUE!</v>
      </c>
      <c r="DG14" s="22" t="e">
        <f aca="false">AND('current index'!#ref!,"AAAAAB9v9m4=")</f>
        <v>#VALUE!</v>
      </c>
      <c r="DH14" s="22" t="e">
        <f aca="false">AND('current index'!#ref!,"AAAAAB9v9m8=")</f>
        <v>#VALUE!</v>
      </c>
      <c r="DI14" s="22" t="e">
        <f aca="false">AND('current index'!#ref!,"AAAAAB9v9nA=")</f>
        <v>#VALUE!</v>
      </c>
      <c r="DJ14" s="22" t="e">
        <f aca="false">AND('current index'!#ref!,"AAAAAB9v9nE=")</f>
        <v>#VALUE!</v>
      </c>
      <c r="DK14" s="22" t="e">
        <f aca="false">AND('current index'!#ref!,"AAAAAB9v9nI=")</f>
        <v>#VALUE!</v>
      </c>
      <c r="DL14" s="22" t="n">
        <f aca="false">IF('Current Index'!379:379,"AAAAAB9v9nM=",0)</f>
        <v>0</v>
      </c>
      <c r="DM14" s="22" t="e">
        <f aca="false">AND('Current Index'!A379,"AAAAAB9v9nQ=")</f>
        <v>#VALUE!</v>
      </c>
      <c r="DN14" s="22" t="e">
        <f aca="false">AND('current index'!#ref!,"AAAAAB9v9nU=")</f>
        <v>#VALUE!</v>
      </c>
      <c r="DO14" s="22" t="e">
        <f aca="false">AND('Current Index'!B379,"AAAAAB9v9nY=")</f>
        <v>#VALUE!</v>
      </c>
      <c r="DP14" s="22" t="e">
        <f aca="false">AND('Current Index'!C379,"AAAAAB9v9nc=")</f>
        <v>#VALUE!</v>
      </c>
      <c r="DQ14" s="22" t="e">
        <f aca="false">AND('Current Index'!D379,"AAAAAB9v9ng=")</f>
        <v>#VALUE!</v>
      </c>
      <c r="DR14" s="22" t="e">
        <f aca="false">AND('Current Index'!E379,"AAAAAB9v9nk=")</f>
        <v>#VALUE!</v>
      </c>
      <c r="DS14" s="22" t="e">
        <f aca="false">AND('Current Index'!F379,"AAAAAB9v9no=")</f>
        <v>#VALUE!</v>
      </c>
      <c r="DT14" s="22" t="e">
        <f aca="false">AND('Current Index'!G379,"AAAAAB9v9ns=")</f>
        <v>#VALUE!</v>
      </c>
      <c r="DU14" s="22" t="e">
        <f aca="false">AND('Current Index'!H379,"AAAAAB9v9nw=")</f>
        <v>#VALUE!</v>
      </c>
      <c r="DV14" s="22" t="e">
        <f aca="false">AND('Current Index'!I379,"AAAAAB9v9n0=")</f>
        <v>#VALUE!</v>
      </c>
      <c r="DW14" s="22" t="n">
        <f aca="false">IF('Current Index'!380:380,"AAAAAB9v9n4=",0)</f>
        <v>0</v>
      </c>
      <c r="DX14" s="22" t="e">
        <f aca="false">AND('Current Index'!A380,"AAAAAB9v9n8=")</f>
        <v>#VALUE!</v>
      </c>
      <c r="DY14" s="22" t="e">
        <f aca="false">AND('current index'!#ref!,"AAAAAB9v9oA=")</f>
        <v>#VALUE!</v>
      </c>
      <c r="DZ14" s="22" t="e">
        <f aca="false">AND('Current Index'!B380,"AAAAAB9v9oE=")</f>
        <v>#VALUE!</v>
      </c>
      <c r="EA14" s="22" t="e">
        <f aca="false">AND('Current Index'!C380,"AAAAAB9v9oI=")</f>
        <v>#VALUE!</v>
      </c>
      <c r="EB14" s="22" t="e">
        <f aca="false">AND('Current Index'!D380,"AAAAAB9v9oM=")</f>
        <v>#VALUE!</v>
      </c>
      <c r="EC14" s="22" t="e">
        <f aca="false">AND('Current Index'!E380,"AAAAAB9v9oQ=")</f>
        <v>#VALUE!</v>
      </c>
      <c r="ED14" s="22" t="e">
        <f aca="false">AND('Current Index'!F380,"AAAAAB9v9oU=")</f>
        <v>#VALUE!</v>
      </c>
      <c r="EE14" s="22" t="e">
        <f aca="false">AND('Current Index'!G380,"AAAAAB9v9oY=")</f>
        <v>#VALUE!</v>
      </c>
      <c r="EF14" s="22" t="e">
        <f aca="false">AND('Current Index'!H380,"AAAAAB9v9oc=")</f>
        <v>#VALUE!</v>
      </c>
      <c r="EG14" s="22" t="e">
        <f aca="false">AND('Current Index'!I380,"AAAAAB9v9og=")</f>
        <v>#VALUE!</v>
      </c>
      <c r="EH14" s="22" t="n">
        <f aca="false">IF('Current Index'!381:381,"AAAAAB9v9ok=",0)</f>
        <v>0</v>
      </c>
      <c r="EI14" s="22" t="e">
        <f aca="false">AND('Current Index'!A381,"AAAAAB9v9oo=")</f>
        <v>#VALUE!</v>
      </c>
      <c r="EJ14" s="22" t="e">
        <f aca="false">AND('current index'!#ref!,"AAAAAB9v9os=")</f>
        <v>#VALUE!</v>
      </c>
      <c r="EK14" s="22" t="e">
        <f aca="false">AND('Current Index'!B381,"AAAAAB9v9ow=")</f>
        <v>#VALUE!</v>
      </c>
      <c r="EL14" s="22" t="e">
        <f aca="false">AND('Current Index'!C381,"AAAAAB9v9o0=")</f>
        <v>#VALUE!</v>
      </c>
      <c r="EM14" s="22" t="e">
        <f aca="false">AND('Current Index'!D381,"AAAAAB9v9o4=")</f>
        <v>#VALUE!</v>
      </c>
      <c r="EN14" s="22" t="e">
        <f aca="false">AND('Current Index'!E381,"AAAAAB9v9o8=")</f>
        <v>#VALUE!</v>
      </c>
      <c r="EO14" s="22" t="e">
        <f aca="false">AND('Current Index'!F381,"AAAAAB9v9pA=")</f>
        <v>#VALUE!</v>
      </c>
      <c r="EP14" s="22" t="e">
        <f aca="false">AND('Current Index'!G381,"AAAAAB9v9pE=")</f>
        <v>#VALUE!</v>
      </c>
      <c r="EQ14" s="22" t="e">
        <f aca="false">AND('Current Index'!H381,"AAAAAB9v9pI=")</f>
        <v>#VALUE!</v>
      </c>
      <c r="ER14" s="22" t="e">
        <f aca="false">AND('Current Index'!I381,"AAAAAB9v9pM=")</f>
        <v>#VALUE!</v>
      </c>
      <c r="ES14" s="22" t="e">
        <f aca="false">IF('current index'!#ref!,"AAAAAB9v9pQ=",0)</f>
        <v>#VALUE!</v>
      </c>
      <c r="ET14" s="22" t="e">
        <f aca="false">AND('current index'!#ref!,"AAAAAB9v9pU=")</f>
        <v>#VALUE!</v>
      </c>
      <c r="EU14" s="22" t="e">
        <f aca="false">AND('current index'!#ref!,"AAAAAB9v9pY=")</f>
        <v>#VALUE!</v>
      </c>
      <c r="EV14" s="22" t="e">
        <f aca="false">AND('current index'!#ref!,"AAAAAB9v9pc=")</f>
        <v>#VALUE!</v>
      </c>
      <c r="EW14" s="22" t="e">
        <f aca="false">AND('current index'!#ref!,"AAAAAB9v9pg=")</f>
        <v>#VALUE!</v>
      </c>
      <c r="EX14" s="22" t="e">
        <f aca="false">AND('current index'!#ref!,"AAAAAB9v9pk=")</f>
        <v>#VALUE!</v>
      </c>
      <c r="EY14" s="22" t="e">
        <f aca="false">AND('current index'!#ref!,"AAAAAB9v9po=")</f>
        <v>#VALUE!</v>
      </c>
      <c r="EZ14" s="22" t="e">
        <f aca="false">AND('current index'!#ref!,"AAAAAB9v9ps=")</f>
        <v>#VALUE!</v>
      </c>
      <c r="FA14" s="22" t="e">
        <f aca="false">AND('current index'!#ref!,"AAAAAB9v9pw=")</f>
        <v>#VALUE!</v>
      </c>
      <c r="FB14" s="22" t="e">
        <f aca="false">AND('current index'!#ref!,"AAAAAB9v9p0=")</f>
        <v>#VALUE!</v>
      </c>
      <c r="FC14" s="22" t="e">
        <f aca="false">AND('current index'!#ref!,"AAAAAB9v9p4=")</f>
        <v>#VALUE!</v>
      </c>
      <c r="FD14" s="22" t="n">
        <f aca="false">IF('Current Index'!382:382,"AAAAAB9v9p8=",0)</f>
        <v>0</v>
      </c>
      <c r="FE14" s="22" t="e">
        <f aca="false">AND('Current Index'!A382,"AAAAAB9v9qA=")</f>
        <v>#VALUE!</v>
      </c>
      <c r="FF14" s="22" t="e">
        <f aca="false">AND('current index'!#ref!,"AAAAAB9v9qE=")</f>
        <v>#VALUE!</v>
      </c>
      <c r="FG14" s="22" t="e">
        <f aca="false">AND('Current Index'!B382,"AAAAAB9v9qI=")</f>
        <v>#VALUE!</v>
      </c>
      <c r="FH14" s="22" t="e">
        <f aca="false">AND('Current Index'!C382,"AAAAAB9v9qM=")</f>
        <v>#VALUE!</v>
      </c>
      <c r="FI14" s="22" t="e">
        <f aca="false">AND('Current Index'!D382,"AAAAAB9v9qQ=")</f>
        <v>#VALUE!</v>
      </c>
      <c r="FJ14" s="22" t="e">
        <f aca="false">AND('Current Index'!E382,"AAAAAB9v9qU=")</f>
        <v>#VALUE!</v>
      </c>
      <c r="FK14" s="22" t="e">
        <f aca="false">AND('Current Index'!F382,"AAAAAB9v9qY=")</f>
        <v>#VALUE!</v>
      </c>
      <c r="FL14" s="22" t="e">
        <f aca="false">AND('Current Index'!G382,"AAAAAB9v9qc=")</f>
        <v>#VALUE!</v>
      </c>
      <c r="FM14" s="22" t="e">
        <f aca="false">AND('Current Index'!H382,"AAAAAB9v9qg=")</f>
        <v>#VALUE!</v>
      </c>
      <c r="FN14" s="22" t="e">
        <f aca="false">AND('Current Index'!I382,"AAAAAB9v9qk=")</f>
        <v>#VALUE!</v>
      </c>
      <c r="FO14" s="22" t="n">
        <f aca="false">IF('Current Index'!383:383,"AAAAAB9v9qo=",0)</f>
        <v>0</v>
      </c>
      <c r="FP14" s="22" t="e">
        <f aca="false">AND('Current Index'!A383,"AAAAAB9v9qs=")</f>
        <v>#VALUE!</v>
      </c>
      <c r="FQ14" s="22" t="e">
        <f aca="false">AND('current index'!#ref!,"AAAAAB9v9qw=")</f>
        <v>#VALUE!</v>
      </c>
      <c r="FR14" s="22" t="e">
        <f aca="false">AND('Current Index'!B383,"AAAAAB9v9q0=")</f>
        <v>#VALUE!</v>
      </c>
      <c r="FS14" s="22" t="e">
        <f aca="false">AND('Current Index'!C383,"AAAAAB9v9q4=")</f>
        <v>#VALUE!</v>
      </c>
      <c r="FT14" s="22" t="e">
        <f aca="false">AND('Current Index'!D383,"AAAAAB9v9q8=")</f>
        <v>#VALUE!</v>
      </c>
      <c r="FU14" s="22" t="e">
        <f aca="false">AND('Current Index'!E383,"AAAAAB9v9rA=")</f>
        <v>#VALUE!</v>
      </c>
      <c r="FV14" s="22" t="e">
        <f aca="false">AND('Current Index'!F383,"AAAAAB9v9rE=")</f>
        <v>#VALUE!</v>
      </c>
      <c r="FW14" s="22" t="e">
        <f aca="false">AND('Current Index'!G383,"AAAAAB9v9rI=")</f>
        <v>#VALUE!</v>
      </c>
      <c r="FX14" s="22" t="e">
        <f aca="false">AND('Current Index'!H383,"AAAAAB9v9rM=")</f>
        <v>#VALUE!</v>
      </c>
      <c r="FY14" s="22" t="e">
        <f aca="false">AND('Current Index'!I383,"AAAAAB9v9rQ=")</f>
        <v>#VALUE!</v>
      </c>
      <c r="FZ14" s="22" t="n">
        <f aca="false">IF('Current Index'!384:384,"AAAAAB9v9rU=",0)</f>
        <v>0</v>
      </c>
      <c r="GA14" s="22" t="e">
        <f aca="false">AND('Current Index'!A384,"AAAAAB9v9rY=")</f>
        <v>#VALUE!</v>
      </c>
      <c r="GB14" s="22" t="e">
        <f aca="false">AND('current index'!#ref!,"AAAAAB9v9rc=")</f>
        <v>#VALUE!</v>
      </c>
      <c r="GC14" s="22" t="e">
        <f aca="false">AND('Current Index'!B384,"AAAAAB9v9rg=")</f>
        <v>#VALUE!</v>
      </c>
      <c r="GD14" s="22" t="e">
        <f aca="false">AND('Current Index'!C384,"AAAAAB9v9rk=")</f>
        <v>#VALUE!</v>
      </c>
      <c r="GE14" s="22" t="e">
        <f aca="false">AND('Current Index'!D384,"AAAAAB9v9ro=")</f>
        <v>#VALUE!</v>
      </c>
      <c r="GF14" s="22" t="e">
        <f aca="false">AND('Current Index'!E384,"AAAAAB9v9rs=")</f>
        <v>#VALUE!</v>
      </c>
      <c r="GG14" s="22" t="e">
        <f aca="false">AND('Current Index'!F384,"AAAAAB9v9rw=")</f>
        <v>#VALUE!</v>
      </c>
      <c r="GH14" s="22" t="e">
        <f aca="false">AND('Current Index'!G384,"AAAAAB9v9r0=")</f>
        <v>#VALUE!</v>
      </c>
      <c r="GI14" s="22" t="e">
        <f aca="false">AND('Current Index'!H384,"AAAAAB9v9r4=")</f>
        <v>#VALUE!</v>
      </c>
      <c r="GJ14" s="22" t="e">
        <f aca="false">AND('Current Index'!I384,"AAAAAB9v9r8=")</f>
        <v>#VALUE!</v>
      </c>
      <c r="GK14" s="22" t="n">
        <f aca="false">IF('Current Index'!385:385,"AAAAAB9v9sA=",0)</f>
        <v>0</v>
      </c>
      <c r="GL14" s="22" t="e">
        <f aca="false">AND('Current Index'!A385,"AAAAAB9v9sE=")</f>
        <v>#VALUE!</v>
      </c>
      <c r="GM14" s="22" t="e">
        <f aca="false">AND('current index'!#ref!,"AAAAAB9v9sI=")</f>
        <v>#VALUE!</v>
      </c>
      <c r="GN14" s="22" t="e">
        <f aca="false">AND('Current Index'!B385,"AAAAAB9v9sM=")</f>
        <v>#VALUE!</v>
      </c>
      <c r="GO14" s="22" t="e">
        <f aca="false">AND('Current Index'!C385,"AAAAAB9v9sQ=")</f>
        <v>#VALUE!</v>
      </c>
      <c r="GP14" s="22" t="e">
        <f aca="false">AND('Current Index'!D385,"AAAAAB9v9sU=")</f>
        <v>#VALUE!</v>
      </c>
      <c r="GQ14" s="22" t="e">
        <f aca="false">AND('Current Index'!E385,"AAAAAB9v9sY=")</f>
        <v>#VALUE!</v>
      </c>
      <c r="GR14" s="22" t="e">
        <f aca="false">AND('Current Index'!F385,"AAAAAB9v9sc=")</f>
        <v>#VALUE!</v>
      </c>
      <c r="GS14" s="22" t="e">
        <f aca="false">AND('Current Index'!G385,"AAAAAB9v9sg=")</f>
        <v>#VALUE!</v>
      </c>
      <c r="GT14" s="22" t="e">
        <f aca="false">AND('Current Index'!H385,"AAAAAB9v9sk=")</f>
        <v>#VALUE!</v>
      </c>
      <c r="GU14" s="22" t="e">
        <f aca="false">AND('Current Index'!I385,"AAAAAB9v9so=")</f>
        <v>#VALUE!</v>
      </c>
      <c r="GV14" s="22" t="n">
        <f aca="false">IF('Current Index'!386:386,"AAAAAB9v9ss=",0)</f>
        <v>0</v>
      </c>
      <c r="GW14" s="22" t="e">
        <f aca="false">AND('Current Index'!A386,"AAAAAB9v9sw=")</f>
        <v>#VALUE!</v>
      </c>
      <c r="GX14" s="22" t="e">
        <f aca="false">AND('current index'!#ref!,"AAAAAB9v9s0=")</f>
        <v>#VALUE!</v>
      </c>
      <c r="GY14" s="22" t="e">
        <f aca="false">AND('Current Index'!B386,"AAAAAB9v9s4=")</f>
        <v>#VALUE!</v>
      </c>
      <c r="GZ14" s="22" t="e">
        <f aca="false">AND('Current Index'!C386,"AAAAAB9v9s8=")</f>
        <v>#VALUE!</v>
      </c>
      <c r="HA14" s="22" t="e">
        <f aca="false">AND('Current Index'!D386,"AAAAAB9v9tA=")</f>
        <v>#VALUE!</v>
      </c>
      <c r="HB14" s="22" t="e">
        <f aca="false">AND('Current Index'!E386,"AAAAAB9v9tE=")</f>
        <v>#VALUE!</v>
      </c>
      <c r="HC14" s="22" t="e">
        <f aca="false">AND('Current Index'!F386,"AAAAAB9v9tI=")</f>
        <v>#VALUE!</v>
      </c>
      <c r="HD14" s="22" t="e">
        <f aca="false">AND('Current Index'!G386,"AAAAAB9v9tM=")</f>
        <v>#VALUE!</v>
      </c>
      <c r="HE14" s="22" t="e">
        <f aca="false">AND('Current Index'!H386,"AAAAAB9v9tQ=")</f>
        <v>#VALUE!</v>
      </c>
      <c r="HF14" s="22" t="e">
        <f aca="false">AND('Current Index'!I386,"AAAAAB9v9tU=")</f>
        <v>#VALUE!</v>
      </c>
      <c r="HG14" s="22" t="e">
        <f aca="false">IF('current index'!#ref!,"AAAAAB9v9tY=",0)</f>
        <v>#VALUE!</v>
      </c>
      <c r="HH14" s="22" t="e">
        <f aca="false">AND('current index'!#ref!,"AAAAAB9v9tc=")</f>
        <v>#VALUE!</v>
      </c>
      <c r="HI14" s="22" t="e">
        <f aca="false">AND('current index'!#ref!,"AAAAAB9v9tg=")</f>
        <v>#VALUE!</v>
      </c>
      <c r="HJ14" s="22" t="e">
        <f aca="false">AND('current index'!#ref!,"AAAAAB9v9tk=")</f>
        <v>#VALUE!</v>
      </c>
      <c r="HK14" s="22" t="e">
        <f aca="false">AND('current index'!#ref!,"AAAAAB9v9to=")</f>
        <v>#VALUE!</v>
      </c>
      <c r="HL14" s="22" t="e">
        <f aca="false">AND('current index'!#ref!,"AAAAAB9v9ts=")</f>
        <v>#VALUE!</v>
      </c>
      <c r="HM14" s="22" t="e">
        <f aca="false">AND('current index'!#ref!,"AAAAAB9v9tw=")</f>
        <v>#VALUE!</v>
      </c>
      <c r="HN14" s="22" t="e">
        <f aca="false">AND('current index'!#ref!,"AAAAAB9v9t0=")</f>
        <v>#VALUE!</v>
      </c>
      <c r="HO14" s="22" t="e">
        <f aca="false">AND('current index'!#ref!,"AAAAAB9v9t4=")</f>
        <v>#VALUE!</v>
      </c>
      <c r="HP14" s="22" t="e">
        <f aca="false">AND('current index'!#ref!,"AAAAAB9v9t8=")</f>
        <v>#VALUE!</v>
      </c>
      <c r="HQ14" s="22" t="e">
        <f aca="false">AND('current index'!#ref!,"AAAAAB9v9uA=")</f>
        <v>#VALUE!</v>
      </c>
      <c r="HR14" s="22" t="n">
        <f aca="false">IF('Current Index'!387:387,"AAAAAB9v9uE=",0)</f>
        <v>0</v>
      </c>
      <c r="HS14" s="22" t="e">
        <f aca="false">AND('Current Index'!A387,"AAAAAB9v9uI=")</f>
        <v>#VALUE!</v>
      </c>
      <c r="HT14" s="22" t="e">
        <f aca="false">AND('current index'!#ref!,"AAAAAB9v9uM=")</f>
        <v>#VALUE!</v>
      </c>
      <c r="HU14" s="22" t="e">
        <f aca="false">AND('Current Index'!B387,"AAAAAB9v9uQ=")</f>
        <v>#VALUE!</v>
      </c>
      <c r="HV14" s="22" t="e">
        <f aca="false">AND('Current Index'!C387,"AAAAAB9v9uU=")</f>
        <v>#VALUE!</v>
      </c>
      <c r="HW14" s="22" t="e">
        <f aca="false">AND('Current Index'!D387,"AAAAAB9v9uY=")</f>
        <v>#VALUE!</v>
      </c>
      <c r="HX14" s="22" t="e">
        <f aca="false">AND('Current Index'!E387,"AAAAAB9v9uc=")</f>
        <v>#VALUE!</v>
      </c>
      <c r="HY14" s="22" t="e">
        <f aca="false">AND('Current Index'!F387,"AAAAAB9v9ug=")</f>
        <v>#VALUE!</v>
      </c>
      <c r="HZ14" s="22" t="e">
        <f aca="false">AND('Current Index'!G387,"AAAAAB9v9uk=")</f>
        <v>#VALUE!</v>
      </c>
      <c r="IA14" s="22" t="e">
        <f aca="false">AND('Current Index'!H387,"AAAAAB9v9uo=")</f>
        <v>#VALUE!</v>
      </c>
      <c r="IB14" s="22" t="e">
        <f aca="false">AND('Current Index'!I387,"AAAAAB9v9us=")</f>
        <v>#VALUE!</v>
      </c>
      <c r="IC14" s="22" t="e">
        <f aca="false">IF('current index'!#ref!,"AAAAAB9v9uw=",0)</f>
        <v>#VALUE!</v>
      </c>
      <c r="ID14" s="22" t="e">
        <f aca="false">AND('current index'!#ref!,"AAAAAB9v9u0=")</f>
        <v>#VALUE!</v>
      </c>
      <c r="IE14" s="22" t="e">
        <f aca="false">AND('current index'!#ref!,"AAAAAB9v9u4=")</f>
        <v>#VALUE!</v>
      </c>
      <c r="IF14" s="22" t="e">
        <f aca="false">AND('current index'!#ref!,"AAAAAB9v9u8=")</f>
        <v>#VALUE!</v>
      </c>
      <c r="IG14" s="22" t="e">
        <f aca="false">AND('current index'!#ref!,"AAAAAB9v9vA=")</f>
        <v>#VALUE!</v>
      </c>
      <c r="IH14" s="22" t="e">
        <f aca="false">AND('current index'!#ref!,"AAAAAB9v9vE=")</f>
        <v>#VALUE!</v>
      </c>
      <c r="II14" s="22" t="e">
        <f aca="false">AND('current index'!#ref!,"AAAAAB9v9vI=")</f>
        <v>#VALUE!</v>
      </c>
      <c r="IJ14" s="22" t="e">
        <f aca="false">AND('current index'!#ref!,"AAAAAB9v9vM=")</f>
        <v>#VALUE!</v>
      </c>
      <c r="IK14" s="22" t="e">
        <f aca="false">AND('current index'!#ref!,"AAAAAB9v9vQ=")</f>
        <v>#VALUE!</v>
      </c>
      <c r="IL14" s="22" t="e">
        <f aca="false">AND('current index'!#ref!,"AAAAAB9v9vU=")</f>
        <v>#VALUE!</v>
      </c>
      <c r="IM14" s="22" t="e">
        <f aca="false">AND('current index'!#ref!,"AAAAAB9v9vY=")</f>
        <v>#VALUE!</v>
      </c>
      <c r="IN14" s="22" t="n">
        <f aca="false">IF('Current Index'!388:388,"AAAAAB9v9vc=",0)</f>
        <v>0</v>
      </c>
      <c r="IO14" s="22" t="e">
        <f aca="false">AND('Current Index'!A388,"AAAAAB9v9vg=")</f>
        <v>#VALUE!</v>
      </c>
      <c r="IP14" s="22" t="e">
        <f aca="false">AND('current index'!#ref!,"AAAAAB9v9vk=")</f>
        <v>#VALUE!</v>
      </c>
      <c r="IQ14" s="22" t="e">
        <f aca="false">AND('Current Index'!B388,"AAAAAB9v9vo=")</f>
        <v>#VALUE!</v>
      </c>
      <c r="IR14" s="22" t="e">
        <f aca="false">AND('Current Index'!C388,"AAAAAB9v9vs=")</f>
        <v>#VALUE!</v>
      </c>
      <c r="IS14" s="22" t="e">
        <f aca="false">AND('Current Index'!D388,"AAAAAB9v9vw=")</f>
        <v>#VALUE!</v>
      </c>
      <c r="IT14" s="22" t="e">
        <f aca="false">AND('Current Index'!E388,"AAAAAB9v9v0=")</f>
        <v>#VALUE!</v>
      </c>
      <c r="IU14" s="22" t="e">
        <f aca="false">AND('Current Index'!F388,"AAAAAB9v9v4=")</f>
        <v>#VALUE!</v>
      </c>
      <c r="IV14" s="22" t="e">
        <f aca="false">AND('Current Index'!G388,"AAAAAB9v9v8=")</f>
        <v>#VALUE!</v>
      </c>
    </row>
    <row r="15" customFormat="false" ht="12.75" hidden="false" customHeight="false" outlineLevel="0" collapsed="false">
      <c r="A15" s="22" t="e">
        <f aca="false">AND('Current Index'!H388,"AAAAADb3fwA=")</f>
        <v>#VALUE!</v>
      </c>
      <c r="B15" s="22" t="e">
        <f aca="false">AND('Current Index'!I388,"AAAAADb3fwE=")</f>
        <v>#VALUE!</v>
      </c>
      <c r="C15" s="22" t="e">
        <f aca="false">IF('Current Index'!389:389,"AAAAADb3fwI=",0)</f>
        <v>#VALUE!</v>
      </c>
      <c r="D15" s="22" t="e">
        <f aca="false">AND('Current Index'!A389,"AAAAADb3fwM=")</f>
        <v>#VALUE!</v>
      </c>
      <c r="E15" s="22" t="e">
        <f aca="false">AND('current index'!#ref!,"AAAAADb3fwQ=")</f>
        <v>#VALUE!</v>
      </c>
      <c r="F15" s="22" t="e">
        <f aca="false">AND('Current Index'!B389,"AAAAADb3fwU=")</f>
        <v>#VALUE!</v>
      </c>
      <c r="G15" s="22" t="e">
        <f aca="false">AND('Current Index'!C389,"AAAAADb3fwY=")</f>
        <v>#VALUE!</v>
      </c>
      <c r="H15" s="22" t="e">
        <f aca="false">AND('Current Index'!D389,"AAAAADb3fwc=")</f>
        <v>#VALUE!</v>
      </c>
      <c r="I15" s="22" t="e">
        <f aca="false">AND('Current Index'!E389,"AAAAADb3fwg=")</f>
        <v>#VALUE!</v>
      </c>
      <c r="J15" s="22" t="e">
        <f aca="false">AND('Current Index'!F389,"AAAAADb3fwk=")</f>
        <v>#VALUE!</v>
      </c>
      <c r="K15" s="22" t="e">
        <f aca="false">AND('Current Index'!G389,"AAAAADb3fwo=")</f>
        <v>#VALUE!</v>
      </c>
      <c r="L15" s="22" t="e">
        <f aca="false">AND('Current Index'!H389,"AAAAADb3fws=")</f>
        <v>#VALUE!</v>
      </c>
      <c r="M15" s="22" t="e">
        <f aca="false">AND('Current Index'!I389,"AAAAADb3fww=")</f>
        <v>#VALUE!</v>
      </c>
      <c r="N15" s="22" t="n">
        <f aca="false">IF('Current Index'!390:390,"AAAAADb3fw0=",0)</f>
        <v>0</v>
      </c>
      <c r="O15" s="22" t="e">
        <f aca="false">AND('Current Index'!A390,"AAAAADb3fw4=")</f>
        <v>#VALUE!</v>
      </c>
      <c r="P15" s="22" t="e">
        <f aca="false">AND('current index'!#ref!,"AAAAADb3fw8=")</f>
        <v>#VALUE!</v>
      </c>
      <c r="Q15" s="22" t="e">
        <f aca="false">AND('Current Index'!B390,"AAAAADb3fxA=")</f>
        <v>#VALUE!</v>
      </c>
      <c r="R15" s="22" t="e">
        <f aca="false">AND('Current Index'!C390,"AAAAADb3fxE=")</f>
        <v>#VALUE!</v>
      </c>
      <c r="S15" s="22" t="e">
        <f aca="false">AND('Current Index'!D390,"AAAAADb3fxI=")</f>
        <v>#VALUE!</v>
      </c>
      <c r="T15" s="22" t="e">
        <f aca="false">AND('Current Index'!E390,"AAAAADb3fxM=")</f>
        <v>#VALUE!</v>
      </c>
      <c r="U15" s="22" t="e">
        <f aca="false">AND('Current Index'!F390,"AAAAADb3fxQ=")</f>
        <v>#VALUE!</v>
      </c>
      <c r="V15" s="22" t="e">
        <f aca="false">AND('Current Index'!G390,"AAAAADb3fxU=")</f>
        <v>#VALUE!</v>
      </c>
      <c r="W15" s="22" t="e">
        <f aca="false">AND('Current Index'!H390,"AAAAADb3fxY=")</f>
        <v>#VALUE!</v>
      </c>
      <c r="X15" s="22" t="e">
        <f aca="false">AND('Current Index'!I390,"AAAAADb3fxc=")</f>
        <v>#VALUE!</v>
      </c>
      <c r="Y15" s="22" t="n">
        <f aca="false">IF('Current Index'!391:391,"AAAAADb3fxg=",0)</f>
        <v>0</v>
      </c>
      <c r="Z15" s="22" t="e">
        <f aca="false">AND('Current Index'!A391,"AAAAADb3fxk=")</f>
        <v>#VALUE!</v>
      </c>
      <c r="AA15" s="22" t="e">
        <f aca="false">AND('current index'!#ref!,"AAAAADb3fxo=")</f>
        <v>#VALUE!</v>
      </c>
      <c r="AB15" s="22" t="e">
        <f aca="false">AND('Current Index'!B391,"AAAAADb3fxs=")</f>
        <v>#VALUE!</v>
      </c>
      <c r="AC15" s="22" t="e">
        <f aca="false">AND('Current Index'!C391,"AAAAADb3fxw=")</f>
        <v>#VALUE!</v>
      </c>
      <c r="AD15" s="22" t="e">
        <f aca="false">AND('Current Index'!D391,"AAAAADb3fx0=")</f>
        <v>#VALUE!</v>
      </c>
      <c r="AE15" s="22" t="e">
        <f aca="false">AND('Current Index'!E391,"AAAAADb3fx4=")</f>
        <v>#VALUE!</v>
      </c>
      <c r="AF15" s="22" t="e">
        <f aca="false">AND('Current Index'!F391,"AAAAADb3fx8=")</f>
        <v>#VALUE!</v>
      </c>
      <c r="AG15" s="22" t="e">
        <f aca="false">AND('Current Index'!G391,"AAAAADb3fyA=")</f>
        <v>#VALUE!</v>
      </c>
      <c r="AH15" s="22" t="e">
        <f aca="false">AND('Current Index'!H391,"AAAAADb3fyE=")</f>
        <v>#VALUE!</v>
      </c>
      <c r="AI15" s="22" t="e">
        <f aca="false">AND('Current Index'!I391,"AAAAADb3fyI=")</f>
        <v>#VALUE!</v>
      </c>
      <c r="AJ15" s="22" t="n">
        <f aca="false">IF('Current Index'!392:392,"AAAAADb3fyM=",0)</f>
        <v>0</v>
      </c>
      <c r="AK15" s="22" t="e">
        <f aca="false">AND('Current Index'!A392,"AAAAADb3fyQ=")</f>
        <v>#VALUE!</v>
      </c>
      <c r="AL15" s="22" t="e">
        <f aca="false">AND('current index'!#ref!,"AAAAADb3fyU=")</f>
        <v>#VALUE!</v>
      </c>
      <c r="AM15" s="22" t="e">
        <f aca="false">AND('Current Index'!B392,"AAAAADb3fyY=")</f>
        <v>#VALUE!</v>
      </c>
      <c r="AN15" s="22" t="e">
        <f aca="false">AND('Current Index'!C392,"AAAAADb3fyc=")</f>
        <v>#VALUE!</v>
      </c>
      <c r="AO15" s="22" t="e">
        <f aca="false">AND('Current Index'!D392,"AAAAADb3fyg=")</f>
        <v>#VALUE!</v>
      </c>
      <c r="AP15" s="22" t="e">
        <f aca="false">AND('Current Index'!E392,"AAAAADb3fyk=")</f>
        <v>#VALUE!</v>
      </c>
      <c r="AQ15" s="22" t="e">
        <f aca="false">AND('Current Index'!F392,"AAAAADb3fyo=")</f>
        <v>#VALUE!</v>
      </c>
      <c r="AR15" s="22" t="e">
        <f aca="false">AND('Current Index'!G392,"AAAAADb3fys=")</f>
        <v>#VALUE!</v>
      </c>
      <c r="AS15" s="22" t="e">
        <f aca="false">AND('Current Index'!H392,"AAAAADb3fyw=")</f>
        <v>#VALUE!</v>
      </c>
      <c r="AT15" s="22" t="e">
        <f aca="false">AND('Current Index'!I392,"AAAAADb3fy0=")</f>
        <v>#VALUE!</v>
      </c>
      <c r="AU15" s="22" t="n">
        <f aca="false">IF('Current Index'!393:393,"AAAAADb3fy4=",0)</f>
        <v>0</v>
      </c>
      <c r="AV15" s="22" t="e">
        <f aca="false">AND('Current Index'!A393,"AAAAADb3fy8=")</f>
        <v>#VALUE!</v>
      </c>
      <c r="AW15" s="22" t="e">
        <f aca="false">AND('current index'!#ref!,"AAAAADb3fzA=")</f>
        <v>#VALUE!</v>
      </c>
      <c r="AX15" s="22" t="e">
        <f aca="false">AND('Current Index'!B393,"AAAAADb3fzE=")</f>
        <v>#VALUE!</v>
      </c>
      <c r="AY15" s="22" t="e">
        <f aca="false">AND('Current Index'!C393,"AAAAADb3fzI=")</f>
        <v>#VALUE!</v>
      </c>
      <c r="AZ15" s="22" t="e">
        <f aca="false">AND('Current Index'!D393,"AAAAADb3fzM=")</f>
        <v>#VALUE!</v>
      </c>
      <c r="BA15" s="22" t="e">
        <f aca="false">AND('Current Index'!E393,"AAAAADb3fzQ=")</f>
        <v>#VALUE!</v>
      </c>
      <c r="BB15" s="22" t="e">
        <f aca="false">AND('Current Index'!F393,"AAAAADb3fzU=")</f>
        <v>#VALUE!</v>
      </c>
      <c r="BC15" s="22" t="e">
        <f aca="false">AND('Current Index'!G393,"AAAAADb3fzY=")</f>
        <v>#VALUE!</v>
      </c>
      <c r="BD15" s="22" t="e">
        <f aca="false">AND('Current Index'!H393,"AAAAADb3fzc=")</f>
        <v>#VALUE!</v>
      </c>
      <c r="BE15" s="22" t="e">
        <f aca="false">AND('Current Index'!I393,"AAAAADb3fzg=")</f>
        <v>#VALUE!</v>
      </c>
      <c r="BF15" s="22" t="n">
        <f aca="false">IF('Current Index'!394:394,"AAAAADb3fzk=",0)</f>
        <v>0</v>
      </c>
      <c r="BG15" s="22" t="e">
        <f aca="false">AND('Current Index'!A394,"AAAAADb3fzo=")</f>
        <v>#VALUE!</v>
      </c>
      <c r="BH15" s="22" t="e">
        <f aca="false">AND('current index'!#ref!,"AAAAADb3fzs=")</f>
        <v>#VALUE!</v>
      </c>
      <c r="BI15" s="22" t="e">
        <f aca="false">AND('Current Index'!B394,"AAAAADb3fzw=")</f>
        <v>#VALUE!</v>
      </c>
      <c r="BJ15" s="22" t="e">
        <f aca="false">AND('Current Index'!C394,"AAAAADb3fz0=")</f>
        <v>#VALUE!</v>
      </c>
      <c r="BK15" s="22" t="e">
        <f aca="false">AND('Current Index'!D394,"AAAAADb3fz4=")</f>
        <v>#VALUE!</v>
      </c>
      <c r="BL15" s="22" t="e">
        <f aca="false">AND('Current Index'!E394,"AAAAADb3fz8=")</f>
        <v>#VALUE!</v>
      </c>
      <c r="BM15" s="22" t="e">
        <f aca="false">AND('Current Index'!F394,"AAAAADb3f0A=")</f>
        <v>#VALUE!</v>
      </c>
      <c r="BN15" s="22" t="e">
        <f aca="false">AND('Current Index'!G394,"AAAAADb3f0E=")</f>
        <v>#VALUE!</v>
      </c>
      <c r="BO15" s="22" t="e">
        <f aca="false">AND('Current Index'!H394,"AAAAADb3f0I=")</f>
        <v>#VALUE!</v>
      </c>
      <c r="BP15" s="22" t="e">
        <f aca="false">AND('Current Index'!I394,"AAAAADb3f0M=")</f>
        <v>#VALUE!</v>
      </c>
      <c r="BQ15" s="22" t="e">
        <f aca="false">IF(_xlfn.single('current index'!#ref!),"AAAAADb3f0Q=",0)</f>
        <v>#VALUE!</v>
      </c>
      <c r="BR15" s="22" t="e">
        <f aca="false">AND('current index'!#ref!,"AAAAADb3f0U=")</f>
        <v>#VALUE!</v>
      </c>
      <c r="BS15" s="22" t="e">
        <f aca="false">AND('current index'!#ref!,"AAAAADb3f0Y=")</f>
        <v>#VALUE!</v>
      </c>
      <c r="BT15" s="22" t="e">
        <f aca="false">AND('current index'!#ref!,"AAAAADb3f0c=")</f>
        <v>#VALUE!</v>
      </c>
      <c r="BU15" s="22" t="e">
        <f aca="false">AND('current index'!#ref!,"AAAAADb3f0g=")</f>
        <v>#VALUE!</v>
      </c>
      <c r="BV15" s="22" t="e">
        <f aca="false">AND('current index'!#ref!,"AAAAADb3f0k=")</f>
        <v>#VALUE!</v>
      </c>
      <c r="BW15" s="22" t="e">
        <f aca="false">AND('current index'!#ref!,"AAAAADb3f0o=")</f>
        <v>#VALUE!</v>
      </c>
      <c r="BX15" s="22" t="e">
        <f aca="false">AND('current index'!#ref!,"AAAAADb3f0s=")</f>
        <v>#VALUE!</v>
      </c>
      <c r="BY15" s="22" t="e">
        <f aca="false">AND('current index'!#ref!,"AAAAADb3f0w=")</f>
        <v>#VALUE!</v>
      </c>
      <c r="BZ15" s="22" t="e">
        <f aca="false">AND('current index'!#ref!,"AAAAADb3f00=")</f>
        <v>#VALUE!</v>
      </c>
      <c r="CA15" s="22" t="e">
        <f aca="false">AND('current index'!#ref!,"AAAAADb3f04=")</f>
        <v>#VALUE!</v>
      </c>
      <c r="CB15" s="22" t="e">
        <f aca="false">IF(_xlfn.single('current index'!#ref!),"AAAAADb3f08=",0)</f>
        <v>#VALUE!</v>
      </c>
      <c r="CC15" s="22" t="e">
        <f aca="false">AND('current index'!#ref!,"AAAAADb3f1A=")</f>
        <v>#VALUE!</v>
      </c>
      <c r="CD15" s="22" t="e">
        <f aca="false">AND('current index'!#ref!,"AAAAADb3f1E=")</f>
        <v>#VALUE!</v>
      </c>
      <c r="CE15" s="22" t="e">
        <f aca="false">AND('current index'!#ref!,"AAAAADb3f1I=")</f>
        <v>#VALUE!</v>
      </c>
      <c r="CF15" s="22" t="e">
        <f aca="false">AND('current index'!#ref!,"AAAAADb3f1M=")</f>
        <v>#VALUE!</v>
      </c>
      <c r="CG15" s="22" t="e">
        <f aca="false">AND('current index'!#ref!,"AAAAADb3f1Q=")</f>
        <v>#VALUE!</v>
      </c>
      <c r="CH15" s="22" t="e">
        <f aca="false">AND('current index'!#ref!,"AAAAADb3f1U=")</f>
        <v>#VALUE!</v>
      </c>
      <c r="CI15" s="22" t="e">
        <f aca="false">AND('current index'!#ref!,"AAAAADb3f1Y=")</f>
        <v>#VALUE!</v>
      </c>
      <c r="CJ15" s="22" t="e">
        <f aca="false">AND('current index'!#ref!,"AAAAADb3f1c=")</f>
        <v>#VALUE!</v>
      </c>
      <c r="CK15" s="22" t="e">
        <f aca="false">AND('current index'!#ref!,"AAAAADb3f1g=")</f>
        <v>#VALUE!</v>
      </c>
      <c r="CL15" s="22" t="e">
        <f aca="false">AND('current index'!#ref!,"AAAAADb3f1k=")</f>
        <v>#VALUE!</v>
      </c>
      <c r="CM15" s="22" t="e">
        <f aca="false">IF(_xlfn.single('current index'!#ref!),"AAAAADb3f1o=",0)</f>
        <v>#VALUE!</v>
      </c>
      <c r="CN15" s="22" t="e">
        <f aca="false">AND('current index'!#ref!,"AAAAADb3f1s=")</f>
        <v>#VALUE!</v>
      </c>
      <c r="CO15" s="22" t="e">
        <f aca="false">AND('current index'!#ref!,"AAAAADb3f1w=")</f>
        <v>#VALUE!</v>
      </c>
      <c r="CP15" s="22" t="e">
        <f aca="false">AND('current index'!#ref!,"AAAAADb3f10=")</f>
        <v>#VALUE!</v>
      </c>
      <c r="CQ15" s="22" t="e">
        <f aca="false">AND('current index'!#ref!,"AAAAADb3f14=")</f>
        <v>#VALUE!</v>
      </c>
      <c r="CR15" s="22" t="e">
        <f aca="false">AND('current index'!#ref!,"AAAAADb3f18=")</f>
        <v>#VALUE!</v>
      </c>
      <c r="CS15" s="22" t="e">
        <f aca="false">AND('current index'!#ref!,"AAAAADb3f2A=")</f>
        <v>#VALUE!</v>
      </c>
      <c r="CT15" s="22" t="e">
        <f aca="false">AND('current index'!#ref!,"AAAAADb3f2E=")</f>
        <v>#VALUE!</v>
      </c>
      <c r="CU15" s="22" t="e">
        <f aca="false">AND('current index'!#ref!,"AAAAADb3f2I=")</f>
        <v>#VALUE!</v>
      </c>
      <c r="CV15" s="22" t="e">
        <f aca="false">AND('current index'!#ref!,"AAAAADb3f2M=")</f>
        <v>#VALUE!</v>
      </c>
      <c r="CW15" s="22" t="e">
        <f aca="false">AND('current index'!#ref!,"AAAAADb3f2Q=")</f>
        <v>#VALUE!</v>
      </c>
      <c r="CX15" s="22" t="e">
        <f aca="false">IF(_xlfn.single('current index'!#ref!),"AAAAADb3f2U=",0)</f>
        <v>#VALUE!</v>
      </c>
      <c r="CY15" s="22" t="e">
        <f aca="false">AND('current index'!#ref!,"AAAAADb3f2Y=")</f>
        <v>#VALUE!</v>
      </c>
      <c r="CZ15" s="22" t="e">
        <f aca="false">AND('current index'!#ref!,"AAAAADb3f2c=")</f>
        <v>#VALUE!</v>
      </c>
      <c r="DA15" s="22" t="e">
        <f aca="false">AND('current index'!#ref!,"AAAAADb3f2g=")</f>
        <v>#VALUE!</v>
      </c>
      <c r="DB15" s="22" t="e">
        <f aca="false">AND('current index'!#ref!,"AAAAADb3f2k=")</f>
        <v>#VALUE!</v>
      </c>
      <c r="DC15" s="22" t="e">
        <f aca="false">AND('current index'!#ref!,"AAAAADb3f2o=")</f>
        <v>#VALUE!</v>
      </c>
      <c r="DD15" s="22" t="e">
        <f aca="false">AND('current index'!#ref!,"AAAAADb3f2s=")</f>
        <v>#VALUE!</v>
      </c>
      <c r="DE15" s="22" t="e">
        <f aca="false">AND('current index'!#ref!,"AAAAADb3f2w=")</f>
        <v>#VALUE!</v>
      </c>
      <c r="DF15" s="22" t="e">
        <f aca="false">AND('current index'!#ref!,"AAAAADb3f20=")</f>
        <v>#VALUE!</v>
      </c>
      <c r="DG15" s="22" t="e">
        <f aca="false">AND('current index'!#ref!,"AAAAADb3f24=")</f>
        <v>#VALUE!</v>
      </c>
      <c r="DH15" s="22" t="e">
        <f aca="false">AND('current index'!#ref!,"AAAAADb3f28=")</f>
        <v>#VALUE!</v>
      </c>
      <c r="DI15" s="22" t="e">
        <f aca="false">IF(_xlfn.single('current index'!#ref!),"AAAAADb3f3A=",0)</f>
        <v>#VALUE!</v>
      </c>
      <c r="DJ15" s="22" t="e">
        <f aca="false">AND('current index'!#ref!,"AAAAADb3f3E=")</f>
        <v>#VALUE!</v>
      </c>
      <c r="DK15" s="22" t="e">
        <f aca="false">AND('current index'!#ref!,"AAAAADb3f3I=")</f>
        <v>#VALUE!</v>
      </c>
      <c r="DL15" s="22" t="e">
        <f aca="false">AND('current index'!#ref!,"AAAAADb3f3M=")</f>
        <v>#VALUE!</v>
      </c>
      <c r="DM15" s="22" t="e">
        <f aca="false">AND('current index'!#ref!,"AAAAADb3f3Q=")</f>
        <v>#VALUE!</v>
      </c>
      <c r="DN15" s="22" t="e">
        <f aca="false">AND('current index'!#ref!,"AAAAADb3f3U=")</f>
        <v>#VALUE!</v>
      </c>
      <c r="DO15" s="22" t="e">
        <f aca="false">AND('current index'!#ref!,"AAAAADb3f3Y=")</f>
        <v>#VALUE!</v>
      </c>
      <c r="DP15" s="22" t="e">
        <f aca="false">AND('current index'!#ref!,"AAAAADb3f3c=")</f>
        <v>#VALUE!</v>
      </c>
      <c r="DQ15" s="22" t="e">
        <f aca="false">AND('current index'!#ref!,"AAAAADb3f3g=")</f>
        <v>#VALUE!</v>
      </c>
      <c r="DR15" s="22" t="e">
        <f aca="false">AND('current index'!#ref!,"AAAAADb3f3k=")</f>
        <v>#VALUE!</v>
      </c>
      <c r="DS15" s="22" t="e">
        <f aca="false">AND('current index'!#ref!,"AAAAADb3f3o=")</f>
        <v>#VALUE!</v>
      </c>
      <c r="DT15" s="22" t="e">
        <f aca="false">IF('current index'!#ref!,"AAAAADb3f3s=",0)</f>
        <v>#VALUE!</v>
      </c>
      <c r="DU15" s="22" t="e">
        <f aca="false">AND('current index'!#ref!,"AAAAADb3f3w=")</f>
        <v>#VALUE!</v>
      </c>
      <c r="DV15" s="22" t="e">
        <f aca="false">AND('current index'!#ref!,"AAAAADb3f30=")</f>
        <v>#VALUE!</v>
      </c>
      <c r="DW15" s="22" t="e">
        <f aca="false">AND('current index'!#ref!,"AAAAADb3f34=")</f>
        <v>#VALUE!</v>
      </c>
      <c r="DX15" s="22" t="e">
        <f aca="false">AND('current index'!#ref!,"AAAAADb3f38=")</f>
        <v>#VALUE!</v>
      </c>
      <c r="DY15" s="22" t="e">
        <f aca="false">AND('current index'!#ref!,"AAAAADb3f4A=")</f>
        <v>#VALUE!</v>
      </c>
      <c r="DZ15" s="22" t="e">
        <f aca="false">AND('current index'!#ref!,"AAAAADb3f4E=")</f>
        <v>#VALUE!</v>
      </c>
      <c r="EA15" s="22" t="e">
        <f aca="false">AND('current index'!#ref!,"AAAAADb3f4I=")</f>
        <v>#VALUE!</v>
      </c>
      <c r="EB15" s="22" t="e">
        <f aca="false">AND('current index'!#ref!,"AAAAADb3f4M=")</f>
        <v>#VALUE!</v>
      </c>
      <c r="EC15" s="22" t="e">
        <f aca="false">AND('current index'!#ref!,"AAAAADb3f4Q=")</f>
        <v>#VALUE!</v>
      </c>
      <c r="ED15" s="22" t="e">
        <f aca="false">AND('current index'!#ref!,"AAAAADb3f4U=")</f>
        <v>#VALUE!</v>
      </c>
      <c r="EE15" s="22" t="e">
        <f aca="false">IF('current index'!#ref!,"AAAAADb3f4Y=",0)</f>
        <v>#VALUE!</v>
      </c>
      <c r="EF15" s="22" t="e">
        <f aca="false">AND('current index'!#ref!,"AAAAADb3f4c=")</f>
        <v>#VALUE!</v>
      </c>
      <c r="EG15" s="22" t="e">
        <f aca="false">AND('current index'!#ref!,"AAAAADb3f4g=")</f>
        <v>#VALUE!</v>
      </c>
      <c r="EH15" s="22" t="e">
        <f aca="false">AND('current index'!#ref!,"AAAAADb3f4k=")</f>
        <v>#VALUE!</v>
      </c>
      <c r="EI15" s="22" t="e">
        <f aca="false">AND('current index'!#ref!,"AAAAADb3f4o=")</f>
        <v>#VALUE!</v>
      </c>
      <c r="EJ15" s="22" t="e">
        <f aca="false">AND('current index'!#ref!,"AAAAADb3f4s=")</f>
        <v>#VALUE!</v>
      </c>
      <c r="EK15" s="22" t="e">
        <f aca="false">AND('current index'!#ref!,"AAAAADb3f4w=")</f>
        <v>#VALUE!</v>
      </c>
      <c r="EL15" s="22" t="e">
        <f aca="false">AND('current index'!#ref!,"AAAAADb3f40=")</f>
        <v>#VALUE!</v>
      </c>
      <c r="EM15" s="22" t="e">
        <f aca="false">AND('current index'!#ref!,"AAAAADb3f44=")</f>
        <v>#VALUE!</v>
      </c>
      <c r="EN15" s="22" t="e">
        <f aca="false">AND('current index'!#ref!,"AAAAADb3f48=")</f>
        <v>#VALUE!</v>
      </c>
      <c r="EO15" s="22" t="e">
        <f aca="false">AND('current index'!#ref!,"AAAAADb3f5A=")</f>
        <v>#VALUE!</v>
      </c>
      <c r="EP15" s="22" t="e">
        <f aca="false">IF(_xlfn.single('current index'!#ref!),"AAAAADb3f5E=",0)</f>
        <v>#VALUE!</v>
      </c>
      <c r="EQ15" s="22" t="e">
        <f aca="false">AND('current index'!#ref!,"AAAAADb3f5I=")</f>
        <v>#VALUE!</v>
      </c>
      <c r="ER15" s="22" t="e">
        <f aca="false">AND('current index'!#ref!,"AAAAADb3f5M=")</f>
        <v>#VALUE!</v>
      </c>
      <c r="ES15" s="22" t="e">
        <f aca="false">AND('current index'!#ref!,"AAAAADb3f5Q=")</f>
        <v>#VALUE!</v>
      </c>
      <c r="ET15" s="22" t="e">
        <f aca="false">AND('current index'!#ref!,"AAAAADb3f5U=")</f>
        <v>#VALUE!</v>
      </c>
      <c r="EU15" s="22" t="e">
        <f aca="false">AND('current index'!#ref!,"AAAAADb3f5Y=")</f>
        <v>#VALUE!</v>
      </c>
      <c r="EV15" s="22" t="e">
        <f aca="false">AND('current index'!#ref!,"AAAAADb3f5c=")</f>
        <v>#VALUE!</v>
      </c>
      <c r="EW15" s="22" t="e">
        <f aca="false">AND('current index'!#ref!,"AAAAADb3f5g=")</f>
        <v>#VALUE!</v>
      </c>
      <c r="EX15" s="22" t="e">
        <f aca="false">AND('current index'!#ref!,"AAAAADb3f5k=")</f>
        <v>#VALUE!</v>
      </c>
      <c r="EY15" s="22" t="e">
        <f aca="false">AND('current index'!#ref!,"AAAAADb3f5o=")</f>
        <v>#VALUE!</v>
      </c>
      <c r="EZ15" s="22" t="e">
        <f aca="false">AND('current index'!#ref!,"AAAAADb3f5s=")</f>
        <v>#VALUE!</v>
      </c>
      <c r="FA15" s="22" t="e">
        <f aca="false">IF(_xlfn.single('current index'!#ref!),"AAAAADb3f5w=",0)</f>
        <v>#VALUE!</v>
      </c>
      <c r="FB15" s="22" t="e">
        <f aca="false">AND('current index'!#ref!,"AAAAADb3f50=")</f>
        <v>#VALUE!</v>
      </c>
      <c r="FC15" s="22" t="e">
        <f aca="false">AND('current index'!#ref!,"AAAAADb3f54=")</f>
        <v>#VALUE!</v>
      </c>
      <c r="FD15" s="22" t="e">
        <f aca="false">AND('current index'!#ref!,"AAAAADb3f58=")</f>
        <v>#VALUE!</v>
      </c>
      <c r="FE15" s="22" t="e">
        <f aca="false">AND('current index'!#ref!,"AAAAADb3f6A=")</f>
        <v>#VALUE!</v>
      </c>
      <c r="FF15" s="22" t="e">
        <f aca="false">AND('current index'!#ref!,"AAAAADb3f6E=")</f>
        <v>#VALUE!</v>
      </c>
      <c r="FG15" s="22" t="e">
        <f aca="false">AND('current index'!#ref!,"AAAAADb3f6I=")</f>
        <v>#VALUE!</v>
      </c>
      <c r="FH15" s="22" t="e">
        <f aca="false">AND('current index'!#ref!,"AAAAADb3f6M=")</f>
        <v>#VALUE!</v>
      </c>
      <c r="FI15" s="22" t="e">
        <f aca="false">AND('current index'!#ref!,"AAAAADb3f6Q=")</f>
        <v>#VALUE!</v>
      </c>
      <c r="FJ15" s="22" t="e">
        <f aca="false">AND('current index'!#ref!,"AAAAADb3f6U=")</f>
        <v>#VALUE!</v>
      </c>
      <c r="FK15" s="22" t="e">
        <f aca="false">AND('current index'!#ref!,"AAAAADb3f6Y=")</f>
        <v>#VALUE!</v>
      </c>
      <c r="FL15" s="22" t="e">
        <f aca="false">IF(_xlfn.single('current index'!#ref!),"AAAAADb3f6c=",0)</f>
        <v>#VALUE!</v>
      </c>
      <c r="FM15" s="22" t="e">
        <f aca="false">AND('current index'!#ref!,"AAAAADb3f6g=")</f>
        <v>#VALUE!</v>
      </c>
      <c r="FN15" s="22" t="e">
        <f aca="false">AND('current index'!#ref!,"AAAAADb3f6k=")</f>
        <v>#VALUE!</v>
      </c>
      <c r="FO15" s="22" t="e">
        <f aca="false">AND('current index'!#ref!,"AAAAADb3f6o=")</f>
        <v>#VALUE!</v>
      </c>
      <c r="FP15" s="22" t="e">
        <f aca="false">AND('current index'!#ref!,"AAAAADb3f6s=")</f>
        <v>#VALUE!</v>
      </c>
      <c r="FQ15" s="22" t="e">
        <f aca="false">AND('current index'!#ref!,"AAAAADb3f6w=")</f>
        <v>#VALUE!</v>
      </c>
      <c r="FR15" s="22" t="e">
        <f aca="false">AND('current index'!#ref!,"AAAAADb3f60=")</f>
        <v>#VALUE!</v>
      </c>
      <c r="FS15" s="22" t="e">
        <f aca="false">AND('current index'!#ref!,"AAAAADb3f64=")</f>
        <v>#VALUE!</v>
      </c>
      <c r="FT15" s="22" t="e">
        <f aca="false">AND('current index'!#ref!,"AAAAADb3f68=")</f>
        <v>#VALUE!</v>
      </c>
      <c r="FU15" s="22" t="e">
        <f aca="false">AND('current index'!#ref!,"AAAAADb3f7A=")</f>
        <v>#VALUE!</v>
      </c>
      <c r="FV15" s="22" t="e">
        <f aca="false">AND('current index'!#ref!,"AAAAADb3f7E=")</f>
        <v>#VALUE!</v>
      </c>
      <c r="FW15" s="22" t="e">
        <f aca="false">IF(_xlfn.single('current index'!#ref!),"AAAAADb3f7I=",0)</f>
        <v>#VALUE!</v>
      </c>
      <c r="FX15" s="22" t="e">
        <f aca="false">AND('current index'!#ref!,"AAAAADb3f7M=")</f>
        <v>#VALUE!</v>
      </c>
      <c r="FY15" s="22" t="e">
        <f aca="false">AND('current index'!#ref!,"AAAAADb3f7Q=")</f>
        <v>#VALUE!</v>
      </c>
      <c r="FZ15" s="22" t="e">
        <f aca="false">AND('current index'!#ref!,"AAAAADb3f7U=")</f>
        <v>#VALUE!</v>
      </c>
      <c r="GA15" s="22" t="e">
        <f aca="false">AND('current index'!#ref!,"AAAAADb3f7Y=")</f>
        <v>#VALUE!</v>
      </c>
      <c r="GB15" s="22" t="e">
        <f aca="false">AND('current index'!#ref!,"AAAAADb3f7c=")</f>
        <v>#VALUE!</v>
      </c>
      <c r="GC15" s="22" t="e">
        <f aca="false">AND('current index'!#ref!,"AAAAADb3f7g=")</f>
        <v>#VALUE!</v>
      </c>
      <c r="GD15" s="22" t="e">
        <f aca="false">AND('current index'!#ref!,"AAAAADb3f7k=")</f>
        <v>#VALUE!</v>
      </c>
      <c r="GE15" s="22" t="e">
        <f aca="false">AND('current index'!#ref!,"AAAAADb3f7o=")</f>
        <v>#VALUE!</v>
      </c>
      <c r="GF15" s="22" t="e">
        <f aca="false">AND('current index'!#ref!,"AAAAADb3f7s=")</f>
        <v>#VALUE!</v>
      </c>
      <c r="GG15" s="22" t="e">
        <f aca="false">AND('current index'!#ref!,"AAAAADb3f7w=")</f>
        <v>#VALUE!</v>
      </c>
      <c r="GH15" s="22" t="e">
        <f aca="false">IF(_xlfn.single('current index'!#ref!),"AAAAADb3f70=",0)</f>
        <v>#VALUE!</v>
      </c>
      <c r="GI15" s="22" t="e">
        <f aca="false">AND('current index'!#ref!,"AAAAADb3f74=")</f>
        <v>#VALUE!</v>
      </c>
      <c r="GJ15" s="22" t="e">
        <f aca="false">AND('current index'!#ref!,"AAAAADb3f78=")</f>
        <v>#VALUE!</v>
      </c>
      <c r="GK15" s="22" t="e">
        <f aca="false">AND('current index'!#ref!,"AAAAADb3f8A=")</f>
        <v>#VALUE!</v>
      </c>
      <c r="GL15" s="22" t="e">
        <f aca="false">AND('current index'!#ref!,"AAAAADb3f8E=")</f>
        <v>#VALUE!</v>
      </c>
      <c r="GM15" s="22" t="e">
        <f aca="false">AND('current index'!#ref!,"AAAAADb3f8I=")</f>
        <v>#VALUE!</v>
      </c>
      <c r="GN15" s="22" t="e">
        <f aca="false">AND('current index'!#ref!,"AAAAADb3f8M=")</f>
        <v>#VALUE!</v>
      </c>
      <c r="GO15" s="22" t="e">
        <f aca="false">AND('current index'!#ref!,"AAAAADb3f8Q=")</f>
        <v>#VALUE!</v>
      </c>
      <c r="GP15" s="22" t="e">
        <f aca="false">AND('current index'!#ref!,"AAAAADb3f8U=")</f>
        <v>#VALUE!</v>
      </c>
      <c r="GQ15" s="22" t="e">
        <f aca="false">AND('current index'!#ref!,"AAAAADb3f8Y=")</f>
        <v>#VALUE!</v>
      </c>
      <c r="GR15" s="22" t="e">
        <f aca="false">AND('current index'!#ref!,"AAAAADb3f8c=")</f>
        <v>#VALUE!</v>
      </c>
      <c r="GS15" s="22" t="e">
        <f aca="false">IF(_xlfn.single('current index'!#ref!),"AAAAADb3f8g=",0)</f>
        <v>#VALUE!</v>
      </c>
      <c r="GT15" s="22" t="e">
        <f aca="false">AND('current index'!#ref!,"AAAAADb3f8k=")</f>
        <v>#VALUE!</v>
      </c>
      <c r="GU15" s="22" t="e">
        <f aca="false">AND('current index'!#ref!,"AAAAADb3f8o=")</f>
        <v>#VALUE!</v>
      </c>
      <c r="GV15" s="22" t="e">
        <f aca="false">AND('current index'!#ref!,"AAAAADb3f8s=")</f>
        <v>#VALUE!</v>
      </c>
      <c r="GW15" s="22" t="e">
        <f aca="false">AND('current index'!#ref!,"AAAAADb3f8w=")</f>
        <v>#VALUE!</v>
      </c>
      <c r="GX15" s="22" t="e">
        <f aca="false">AND('current index'!#ref!,"AAAAADb3f80=")</f>
        <v>#VALUE!</v>
      </c>
      <c r="GY15" s="22" t="e">
        <f aca="false">AND('current index'!#ref!,"AAAAADb3f84=")</f>
        <v>#VALUE!</v>
      </c>
      <c r="GZ15" s="22" t="e">
        <f aca="false">AND('current index'!#ref!,"AAAAADb3f88=")</f>
        <v>#VALUE!</v>
      </c>
      <c r="HA15" s="22" t="e">
        <f aca="false">AND('current index'!#ref!,"AAAAADb3f9A=")</f>
        <v>#VALUE!</v>
      </c>
      <c r="HB15" s="22" t="e">
        <f aca="false">AND('current index'!#ref!,"AAAAADb3f9E=")</f>
        <v>#VALUE!</v>
      </c>
      <c r="HC15" s="22" t="e">
        <f aca="false">AND('current index'!#ref!,"AAAAADb3f9I=")</f>
        <v>#VALUE!</v>
      </c>
      <c r="HD15" s="22" t="e">
        <f aca="false">IF(_xlfn.single('current index'!#ref!),"AAAAADb3f9M=",0)</f>
        <v>#VALUE!</v>
      </c>
      <c r="HE15" s="22" t="e">
        <f aca="false">AND('current index'!#ref!,"AAAAADb3f9Q=")</f>
        <v>#VALUE!</v>
      </c>
      <c r="HF15" s="22" t="e">
        <f aca="false">AND('current index'!#ref!,"AAAAADb3f9U=")</f>
        <v>#VALUE!</v>
      </c>
      <c r="HG15" s="22" t="e">
        <f aca="false">AND('current index'!#ref!,"AAAAADb3f9Y=")</f>
        <v>#VALUE!</v>
      </c>
      <c r="HH15" s="22" t="e">
        <f aca="false">AND('current index'!#ref!,"AAAAADb3f9c=")</f>
        <v>#VALUE!</v>
      </c>
      <c r="HI15" s="22" t="e">
        <f aca="false">AND('current index'!#ref!,"AAAAADb3f9g=")</f>
        <v>#VALUE!</v>
      </c>
      <c r="HJ15" s="22" t="e">
        <f aca="false">AND('current index'!#ref!,"AAAAADb3f9k=")</f>
        <v>#VALUE!</v>
      </c>
      <c r="HK15" s="22" t="e">
        <f aca="false">AND('current index'!#ref!,"AAAAADb3f9o=")</f>
        <v>#VALUE!</v>
      </c>
      <c r="HL15" s="22" t="e">
        <f aca="false">AND('current index'!#ref!,"AAAAADb3f9s=")</f>
        <v>#VALUE!</v>
      </c>
      <c r="HM15" s="22" t="e">
        <f aca="false">AND('current index'!#ref!,"AAAAADb3f9w=")</f>
        <v>#VALUE!</v>
      </c>
      <c r="HN15" s="22" t="e">
        <f aca="false">AND('current index'!#ref!,"AAAAADb3f90=")</f>
        <v>#VALUE!</v>
      </c>
      <c r="HO15" s="22" t="e">
        <f aca="false">IF(_xlfn.single('current index'!#ref!),"AAAAADb3f94=",0)</f>
        <v>#VALUE!</v>
      </c>
      <c r="HP15" s="22" t="e">
        <f aca="false">AND('current index'!#ref!,"AAAAADb3f98=")</f>
        <v>#VALUE!</v>
      </c>
      <c r="HQ15" s="22" t="e">
        <f aca="false">AND('current index'!#ref!,"AAAAADb3f+A=")</f>
        <v>#VALUE!</v>
      </c>
      <c r="HR15" s="22" t="e">
        <f aca="false">AND('current index'!#ref!,"AAAAADb3f+E=")</f>
        <v>#VALUE!</v>
      </c>
      <c r="HS15" s="22" t="e">
        <f aca="false">AND('current index'!#ref!,"AAAAADb3f+I=")</f>
        <v>#VALUE!</v>
      </c>
      <c r="HT15" s="22" t="e">
        <f aca="false">AND('current index'!#ref!,"AAAAADb3f+M=")</f>
        <v>#VALUE!</v>
      </c>
      <c r="HU15" s="22" t="e">
        <f aca="false">AND('current index'!#ref!,"AAAAADb3f+Q=")</f>
        <v>#VALUE!</v>
      </c>
      <c r="HV15" s="22" t="e">
        <f aca="false">AND('current index'!#ref!,"AAAAADb3f+U=")</f>
        <v>#VALUE!</v>
      </c>
      <c r="HW15" s="22" t="e">
        <f aca="false">AND('current index'!#ref!,"AAAAADb3f+Y=")</f>
        <v>#VALUE!</v>
      </c>
      <c r="HX15" s="22" t="e">
        <f aca="false">AND('current index'!#ref!,"AAAAADb3f+c=")</f>
        <v>#VALUE!</v>
      </c>
      <c r="HY15" s="22" t="e">
        <f aca="false">AND('current index'!#ref!,"AAAAADb3f+g=")</f>
        <v>#VALUE!</v>
      </c>
      <c r="HZ15" s="22" t="e">
        <f aca="false">IF('current index'!#ref!,"AAAAADb3f+k=",0)</f>
        <v>#VALUE!</v>
      </c>
      <c r="IA15" s="22" t="e">
        <f aca="false">AND('current index'!#ref!,"AAAAADb3f+o=")</f>
        <v>#VALUE!</v>
      </c>
      <c r="IB15" s="22" t="e">
        <f aca="false">AND('current index'!#ref!,"AAAAADb3f+s=")</f>
        <v>#VALUE!</v>
      </c>
      <c r="IC15" s="22" t="e">
        <f aca="false">AND('current index'!#ref!,"AAAAADb3f+w=")</f>
        <v>#VALUE!</v>
      </c>
      <c r="ID15" s="22" t="e">
        <f aca="false">AND('current index'!#ref!,"AAAAADb3f+0=")</f>
        <v>#VALUE!</v>
      </c>
      <c r="IE15" s="22" t="e">
        <f aca="false">AND('current index'!#ref!,"AAAAADb3f+4=")</f>
        <v>#VALUE!</v>
      </c>
      <c r="IF15" s="22" t="e">
        <f aca="false">AND('current index'!#ref!,"AAAAADb3f+8=")</f>
        <v>#VALUE!</v>
      </c>
      <c r="IG15" s="22" t="e">
        <f aca="false">AND('current index'!#ref!,"AAAAADb3f/A=")</f>
        <v>#VALUE!</v>
      </c>
      <c r="IH15" s="22" t="e">
        <f aca="false">AND('current index'!#ref!,"AAAAADb3f/E=")</f>
        <v>#VALUE!</v>
      </c>
      <c r="II15" s="22" t="e">
        <f aca="false">AND('current index'!#ref!,"AAAAADb3f/I=")</f>
        <v>#VALUE!</v>
      </c>
      <c r="IJ15" s="22" t="e">
        <f aca="false">AND('current index'!#ref!,"AAAAADb3f/M=")</f>
        <v>#VALUE!</v>
      </c>
      <c r="IK15" s="22" t="e">
        <f aca="false">IF('current index'!#ref!,"AAAAADb3f/Q=",0)</f>
        <v>#VALUE!</v>
      </c>
      <c r="IL15" s="22" t="e">
        <f aca="false">AND('current index'!#ref!,"AAAAADb3f/U=")</f>
        <v>#VALUE!</v>
      </c>
      <c r="IM15" s="22" t="e">
        <f aca="false">AND('current index'!#ref!,"AAAAADb3f/Y=")</f>
        <v>#VALUE!</v>
      </c>
      <c r="IN15" s="22" t="e">
        <f aca="false">AND('current index'!#ref!,"AAAAADb3f/c=")</f>
        <v>#VALUE!</v>
      </c>
      <c r="IO15" s="22" t="e">
        <f aca="false">AND('current index'!#ref!,"AAAAADb3f/g=")</f>
        <v>#VALUE!</v>
      </c>
      <c r="IP15" s="22" t="e">
        <f aca="false">AND('current index'!#ref!,"AAAAADb3f/k=")</f>
        <v>#VALUE!</v>
      </c>
      <c r="IQ15" s="22" t="e">
        <f aca="false">AND('current index'!#ref!,"AAAAADb3f/o=")</f>
        <v>#VALUE!</v>
      </c>
      <c r="IR15" s="22" t="e">
        <f aca="false">AND('current index'!#ref!,"AAAAADb3f/s=")</f>
        <v>#VALUE!</v>
      </c>
      <c r="IS15" s="22" t="e">
        <f aca="false">AND('current index'!#ref!,"AAAAADb3f/w=")</f>
        <v>#VALUE!</v>
      </c>
      <c r="IT15" s="22" t="e">
        <f aca="false">AND('current index'!#ref!,"AAAAADb3f/0=")</f>
        <v>#VALUE!</v>
      </c>
      <c r="IU15" s="22" t="e">
        <f aca="false">AND('current index'!#ref!,"AAAAADb3f/4=")</f>
        <v>#VALUE!</v>
      </c>
      <c r="IV15" s="22" t="e">
        <f aca="false">IF('current index'!#ref!,"AAAAADb3f/8=",0)</f>
        <v>#VALUE!</v>
      </c>
    </row>
    <row r="16" customFormat="false" ht="12.75" hidden="false" customHeight="false" outlineLevel="0" collapsed="false">
      <c r="A16" s="22" t="e">
        <f aca="false">AND('current index'!#ref!,"AAAAAD939wA=")</f>
        <v>#VALUE!</v>
      </c>
      <c r="B16" s="22" t="e">
        <f aca="false">AND('current index'!#ref!,"AAAAAD939wE=")</f>
        <v>#VALUE!</v>
      </c>
      <c r="C16" s="22" t="e">
        <f aca="false">AND('current index'!#ref!,"AAAAAD939wI=")</f>
        <v>#VALUE!</v>
      </c>
      <c r="D16" s="22" t="e">
        <f aca="false">AND('current index'!#ref!,"AAAAAD939wM=")</f>
        <v>#VALUE!</v>
      </c>
      <c r="E16" s="22" t="e">
        <f aca="false">AND('current index'!#ref!,"AAAAAD939wQ=")</f>
        <v>#VALUE!</v>
      </c>
      <c r="F16" s="22" t="e">
        <f aca="false">AND('current index'!#ref!,"AAAAAD939wU=")</f>
        <v>#VALUE!</v>
      </c>
      <c r="G16" s="22" t="e">
        <f aca="false">AND('current index'!#ref!,"AAAAAD939wY=")</f>
        <v>#VALUE!</v>
      </c>
      <c r="H16" s="22" t="e">
        <f aca="false">AND('current index'!#ref!,"AAAAAD939wc=")</f>
        <v>#VALUE!</v>
      </c>
      <c r="I16" s="22" t="e">
        <f aca="false">AND('current index'!#ref!,"AAAAAD939wg=")</f>
        <v>#VALUE!</v>
      </c>
      <c r="J16" s="22" t="e">
        <f aca="false">AND('current index'!#ref!,"AAAAAD939wk=")</f>
        <v>#VALUE!</v>
      </c>
      <c r="K16" s="22" t="e">
        <f aca="false">IF(_xlfn.single('current index'!#ref!),"AAAAAD939wo=",0)</f>
        <v>#VALUE!</v>
      </c>
      <c r="L16" s="22" t="e">
        <f aca="false">AND('current index'!#ref!,"AAAAAD939ws=")</f>
        <v>#VALUE!</v>
      </c>
      <c r="M16" s="22" t="e">
        <f aca="false">AND('current index'!#ref!,"AAAAAD939ww=")</f>
        <v>#VALUE!</v>
      </c>
      <c r="N16" s="22" t="e">
        <f aca="false">AND('current index'!#ref!,"AAAAAD939w0=")</f>
        <v>#VALUE!</v>
      </c>
      <c r="O16" s="22" t="e">
        <f aca="false">AND('current index'!#ref!,"AAAAAD939w4=")</f>
        <v>#VALUE!</v>
      </c>
      <c r="P16" s="22" t="e">
        <f aca="false">AND('current index'!#ref!,"AAAAAD939w8=")</f>
        <v>#VALUE!</v>
      </c>
      <c r="Q16" s="22" t="e">
        <f aca="false">AND('current index'!#ref!,"AAAAAD939xA=")</f>
        <v>#VALUE!</v>
      </c>
      <c r="R16" s="22" t="e">
        <f aca="false">AND('current index'!#ref!,"AAAAAD939xE=")</f>
        <v>#VALUE!</v>
      </c>
      <c r="S16" s="22" t="e">
        <f aca="false">AND('current index'!#ref!,"AAAAAD939xI=")</f>
        <v>#VALUE!</v>
      </c>
      <c r="T16" s="22" t="e">
        <f aca="false">AND('current index'!#ref!,"AAAAAD939xM=")</f>
        <v>#VALUE!</v>
      </c>
      <c r="U16" s="22" t="e">
        <f aca="false">AND('current index'!#ref!,"AAAAAD939xQ=")</f>
        <v>#VALUE!</v>
      </c>
      <c r="V16" s="22" t="e">
        <f aca="false">IF(_xlfn.single('current index'!#ref!),"AAAAAD939xU=",0)</f>
        <v>#VALUE!</v>
      </c>
      <c r="W16" s="22" t="e">
        <f aca="false">AND('current index'!#ref!,"AAAAAD939xY=")</f>
        <v>#VALUE!</v>
      </c>
      <c r="X16" s="22" t="e">
        <f aca="false">AND('current index'!#ref!,"AAAAAD939xc=")</f>
        <v>#VALUE!</v>
      </c>
      <c r="Y16" s="22" t="e">
        <f aca="false">AND('current index'!#ref!,"AAAAAD939xg=")</f>
        <v>#VALUE!</v>
      </c>
      <c r="Z16" s="22" t="e">
        <f aca="false">AND('current index'!#ref!,"AAAAAD939xk=")</f>
        <v>#VALUE!</v>
      </c>
      <c r="AA16" s="22" t="e">
        <f aca="false">AND('current index'!#ref!,"AAAAAD939xo=")</f>
        <v>#VALUE!</v>
      </c>
      <c r="AB16" s="22" t="e">
        <f aca="false">AND('current index'!#ref!,"AAAAAD939xs=")</f>
        <v>#VALUE!</v>
      </c>
      <c r="AC16" s="22" t="e">
        <f aca="false">AND('current index'!#ref!,"AAAAAD939xw=")</f>
        <v>#VALUE!</v>
      </c>
      <c r="AD16" s="22" t="e">
        <f aca="false">AND('current index'!#ref!,"AAAAAD939x0=")</f>
        <v>#VALUE!</v>
      </c>
      <c r="AE16" s="22" t="e">
        <f aca="false">AND('current index'!#ref!,"AAAAAD939x4=")</f>
        <v>#VALUE!</v>
      </c>
      <c r="AF16" s="22" t="e">
        <f aca="false">AND('current index'!#ref!,"AAAAAD939x8=")</f>
        <v>#VALUE!</v>
      </c>
      <c r="AG16" s="22" t="e">
        <f aca="false">IF(_xlfn.single('current index'!#ref!),"AAAAAD939yA=",0)</f>
        <v>#VALUE!</v>
      </c>
      <c r="AH16" s="22" t="e">
        <f aca="false">AND('current index'!#ref!,"AAAAAD939yE=")</f>
        <v>#VALUE!</v>
      </c>
      <c r="AI16" s="22" t="e">
        <f aca="false">AND('current index'!#ref!,"AAAAAD939yI=")</f>
        <v>#VALUE!</v>
      </c>
      <c r="AJ16" s="22" t="e">
        <f aca="false">AND('current index'!#ref!,"AAAAAD939yM=")</f>
        <v>#VALUE!</v>
      </c>
      <c r="AK16" s="22" t="e">
        <f aca="false">AND('current index'!#ref!,"AAAAAD939yQ=")</f>
        <v>#VALUE!</v>
      </c>
      <c r="AL16" s="22" t="e">
        <f aca="false">AND('current index'!#ref!,"AAAAAD939yU=")</f>
        <v>#VALUE!</v>
      </c>
      <c r="AM16" s="22" t="e">
        <f aca="false">AND('current index'!#ref!,"AAAAAD939yY=")</f>
        <v>#VALUE!</v>
      </c>
      <c r="AN16" s="22" t="e">
        <f aca="false">AND('current index'!#ref!,"AAAAAD939yc=")</f>
        <v>#VALUE!</v>
      </c>
      <c r="AO16" s="22" t="e">
        <f aca="false">AND('current index'!#ref!,"AAAAAD939yg=")</f>
        <v>#VALUE!</v>
      </c>
      <c r="AP16" s="22" t="e">
        <f aca="false">AND('current index'!#ref!,"AAAAAD939yk=")</f>
        <v>#VALUE!</v>
      </c>
      <c r="AQ16" s="22" t="e">
        <f aca="false">AND('current index'!#ref!,"AAAAAD939yo=")</f>
        <v>#VALUE!</v>
      </c>
      <c r="AR16" s="22" t="e">
        <f aca="false">IF(_xlfn.single('current index'!#ref!),"AAAAAD939ys=",0)</f>
        <v>#VALUE!</v>
      </c>
      <c r="AS16" s="22" t="e">
        <f aca="false">AND('current index'!#ref!,"AAAAAD939yw=")</f>
        <v>#VALUE!</v>
      </c>
      <c r="AT16" s="22" t="e">
        <f aca="false">AND('current index'!#ref!,"AAAAAD939y0=")</f>
        <v>#VALUE!</v>
      </c>
      <c r="AU16" s="22" t="e">
        <f aca="false">AND('current index'!#ref!,"AAAAAD939y4=")</f>
        <v>#VALUE!</v>
      </c>
      <c r="AV16" s="22" t="e">
        <f aca="false">AND('current index'!#ref!,"AAAAAD939y8=")</f>
        <v>#VALUE!</v>
      </c>
      <c r="AW16" s="22" t="e">
        <f aca="false">AND('current index'!#ref!,"AAAAAD939zA=")</f>
        <v>#VALUE!</v>
      </c>
      <c r="AX16" s="22" t="e">
        <f aca="false">AND('current index'!#ref!,"AAAAAD939zE=")</f>
        <v>#VALUE!</v>
      </c>
      <c r="AY16" s="22" t="e">
        <f aca="false">AND('current index'!#ref!,"AAAAAD939zI=")</f>
        <v>#VALUE!</v>
      </c>
      <c r="AZ16" s="22" t="e">
        <f aca="false">AND('current index'!#ref!,"AAAAAD939zM=")</f>
        <v>#VALUE!</v>
      </c>
      <c r="BA16" s="22" t="e">
        <f aca="false">AND('current index'!#ref!,"AAAAAD939zQ=")</f>
        <v>#VALUE!</v>
      </c>
      <c r="BB16" s="22" t="e">
        <f aca="false">AND('current index'!#ref!,"AAAAAD939zU=")</f>
        <v>#VALUE!</v>
      </c>
      <c r="BC16" s="22" t="e">
        <f aca="false">IF(_xlfn.single('current index'!#ref!),"AAAAAD939zY=",0)</f>
        <v>#VALUE!</v>
      </c>
      <c r="BD16" s="22" t="e">
        <f aca="false">AND('current index'!#ref!,"AAAAAD939zc=")</f>
        <v>#VALUE!</v>
      </c>
      <c r="BE16" s="22" t="e">
        <f aca="false">AND('current index'!#ref!,"AAAAAD939zg=")</f>
        <v>#VALUE!</v>
      </c>
      <c r="BF16" s="22" t="e">
        <f aca="false">AND('current index'!#ref!,"AAAAAD939zk=")</f>
        <v>#VALUE!</v>
      </c>
      <c r="BG16" s="22" t="e">
        <f aca="false">AND('current index'!#ref!,"AAAAAD939zo=")</f>
        <v>#VALUE!</v>
      </c>
      <c r="BH16" s="22" t="e">
        <f aca="false">AND('current index'!#ref!,"AAAAAD939zs=")</f>
        <v>#VALUE!</v>
      </c>
      <c r="BI16" s="22" t="e">
        <f aca="false">AND('current index'!#ref!,"AAAAAD939zw=")</f>
        <v>#VALUE!</v>
      </c>
      <c r="BJ16" s="22" t="e">
        <f aca="false">AND('current index'!#ref!,"AAAAAD939z0=")</f>
        <v>#VALUE!</v>
      </c>
      <c r="BK16" s="22" t="e">
        <f aca="false">AND('current index'!#ref!,"AAAAAD939z4=")</f>
        <v>#VALUE!</v>
      </c>
      <c r="BL16" s="22" t="e">
        <f aca="false">AND('current index'!#ref!,"AAAAAD939z8=")</f>
        <v>#VALUE!</v>
      </c>
      <c r="BM16" s="22" t="e">
        <f aca="false">AND('current index'!#ref!,"AAAAAD9390A=")</f>
        <v>#VALUE!</v>
      </c>
      <c r="BN16" s="22" t="e">
        <f aca="false">IF(_xlfn.single('current index'!#ref!),"AAAAAD9390E=",0)</f>
        <v>#VALUE!</v>
      </c>
      <c r="BO16" s="22" t="e">
        <f aca="false">AND('current index'!#ref!,"AAAAAD9390I=")</f>
        <v>#VALUE!</v>
      </c>
      <c r="BP16" s="22" t="e">
        <f aca="false">AND('current index'!#ref!,"AAAAAD9390M=")</f>
        <v>#VALUE!</v>
      </c>
      <c r="BQ16" s="22" t="e">
        <f aca="false">AND('current index'!#ref!,"AAAAAD9390Q=")</f>
        <v>#VALUE!</v>
      </c>
      <c r="BR16" s="22" t="e">
        <f aca="false">AND('current index'!#ref!,"AAAAAD9390U=")</f>
        <v>#VALUE!</v>
      </c>
      <c r="BS16" s="22" t="e">
        <f aca="false">AND('current index'!#ref!,"AAAAAD9390Y=")</f>
        <v>#VALUE!</v>
      </c>
      <c r="BT16" s="22" t="e">
        <f aca="false">AND('current index'!#ref!,"AAAAAD9390c=")</f>
        <v>#VALUE!</v>
      </c>
      <c r="BU16" s="22" t="e">
        <f aca="false">AND('current index'!#ref!,"AAAAAD9390g=")</f>
        <v>#VALUE!</v>
      </c>
      <c r="BV16" s="22" t="e">
        <f aca="false">AND('current index'!#ref!,"AAAAAD9390k=")</f>
        <v>#VALUE!</v>
      </c>
      <c r="BW16" s="22" t="e">
        <f aca="false">AND('current index'!#ref!,"AAAAAD9390o=")</f>
        <v>#VALUE!</v>
      </c>
      <c r="BX16" s="22" t="e">
        <f aca="false">AND('current index'!#ref!,"AAAAAD9390s=")</f>
        <v>#VALUE!</v>
      </c>
      <c r="BY16" s="22" t="e">
        <f aca="false">IF(_xlfn.single('current index'!#ref!),"AAAAAD9390w=",0)</f>
        <v>#VALUE!</v>
      </c>
      <c r="BZ16" s="22" t="e">
        <f aca="false">AND('current index'!#ref!,"AAAAAD93900=")</f>
        <v>#VALUE!</v>
      </c>
      <c r="CA16" s="22" t="e">
        <f aca="false">AND('current index'!#ref!,"AAAAAD93904=")</f>
        <v>#VALUE!</v>
      </c>
      <c r="CB16" s="22" t="e">
        <f aca="false">AND('current index'!#ref!,"AAAAAD93908=")</f>
        <v>#VALUE!</v>
      </c>
      <c r="CC16" s="22" t="e">
        <f aca="false">AND('current index'!#ref!,"AAAAAD9391A=")</f>
        <v>#VALUE!</v>
      </c>
      <c r="CD16" s="22" t="e">
        <f aca="false">AND('current index'!#ref!,"AAAAAD9391E=")</f>
        <v>#VALUE!</v>
      </c>
      <c r="CE16" s="22" t="e">
        <f aca="false">AND('current index'!#ref!,"AAAAAD9391I=")</f>
        <v>#VALUE!</v>
      </c>
      <c r="CF16" s="22" t="e">
        <f aca="false">AND('current index'!#ref!,"AAAAAD9391M=")</f>
        <v>#VALUE!</v>
      </c>
      <c r="CG16" s="22" t="e">
        <f aca="false">AND('current index'!#ref!,"AAAAAD9391Q=")</f>
        <v>#VALUE!</v>
      </c>
      <c r="CH16" s="22" t="e">
        <f aca="false">AND('current index'!#ref!,"AAAAAD9391U=")</f>
        <v>#VALUE!</v>
      </c>
      <c r="CI16" s="22" t="e">
        <f aca="false">AND('current index'!#ref!,"AAAAAD9391Y=")</f>
        <v>#VALUE!</v>
      </c>
      <c r="CJ16" s="22" t="e">
        <f aca="false">IF(_xlfn.single('current index'!#ref!),"AAAAAD9391c=",0)</f>
        <v>#VALUE!</v>
      </c>
      <c r="CK16" s="22" t="e">
        <f aca="false">AND('current index'!#ref!,"AAAAAD9391g=")</f>
        <v>#VALUE!</v>
      </c>
      <c r="CL16" s="22" t="e">
        <f aca="false">AND('current index'!#ref!,"AAAAAD9391k=")</f>
        <v>#VALUE!</v>
      </c>
      <c r="CM16" s="22" t="e">
        <f aca="false">AND('current index'!#ref!,"AAAAAD9391o=")</f>
        <v>#VALUE!</v>
      </c>
      <c r="CN16" s="22" t="e">
        <f aca="false">AND('current index'!#ref!,"AAAAAD9391s=")</f>
        <v>#VALUE!</v>
      </c>
      <c r="CO16" s="22" t="e">
        <f aca="false">AND('current index'!#ref!,"AAAAAD9391w=")</f>
        <v>#VALUE!</v>
      </c>
      <c r="CP16" s="22" t="e">
        <f aca="false">AND('current index'!#ref!,"AAAAAD93910=")</f>
        <v>#VALUE!</v>
      </c>
      <c r="CQ16" s="22" t="e">
        <f aca="false">AND('current index'!#ref!,"AAAAAD93914=")</f>
        <v>#VALUE!</v>
      </c>
      <c r="CR16" s="22" t="e">
        <f aca="false">AND('current index'!#ref!,"AAAAAD93918=")</f>
        <v>#VALUE!</v>
      </c>
      <c r="CS16" s="22" t="e">
        <f aca="false">AND('current index'!#ref!,"AAAAAD9392A=")</f>
        <v>#VALUE!</v>
      </c>
      <c r="CT16" s="22" t="e">
        <f aca="false">AND('current index'!#ref!,"AAAAAD9392E=")</f>
        <v>#VALUE!</v>
      </c>
      <c r="CU16" s="22" t="e">
        <f aca="false">IF(_xlfn.single('current index'!#ref!),"AAAAAD9392I=",0)</f>
        <v>#VALUE!</v>
      </c>
      <c r="CV16" s="22" t="e">
        <f aca="false">AND('current index'!#ref!,"AAAAAD9392M=")</f>
        <v>#VALUE!</v>
      </c>
      <c r="CW16" s="22" t="e">
        <f aca="false">AND('current index'!#ref!,"AAAAAD9392Q=")</f>
        <v>#VALUE!</v>
      </c>
      <c r="CX16" s="22" t="e">
        <f aca="false">AND('current index'!#ref!,"AAAAAD9392U=")</f>
        <v>#VALUE!</v>
      </c>
      <c r="CY16" s="22" t="e">
        <f aca="false">AND('current index'!#ref!,"AAAAAD9392Y=")</f>
        <v>#VALUE!</v>
      </c>
      <c r="CZ16" s="22" t="e">
        <f aca="false">AND('current index'!#ref!,"AAAAAD9392c=")</f>
        <v>#VALUE!</v>
      </c>
      <c r="DA16" s="22" t="e">
        <f aca="false">AND('current index'!#ref!,"AAAAAD9392g=")</f>
        <v>#VALUE!</v>
      </c>
      <c r="DB16" s="22" t="e">
        <f aca="false">AND('current index'!#ref!,"AAAAAD9392k=")</f>
        <v>#VALUE!</v>
      </c>
      <c r="DC16" s="22" t="e">
        <f aca="false">AND('current index'!#ref!,"AAAAAD9392o=")</f>
        <v>#VALUE!</v>
      </c>
      <c r="DD16" s="22" t="e">
        <f aca="false">AND('current index'!#ref!,"AAAAAD9392s=")</f>
        <v>#VALUE!</v>
      </c>
      <c r="DE16" s="22" t="e">
        <f aca="false">AND('current index'!#ref!,"AAAAAD9392w=")</f>
        <v>#VALUE!</v>
      </c>
      <c r="DF16" s="22" t="e">
        <f aca="false">IF(_xlfn.single('current index'!#ref!),"AAAAAD93920=",0)</f>
        <v>#VALUE!</v>
      </c>
      <c r="DG16" s="22" t="e">
        <f aca="false">AND('current index'!#ref!,"AAAAAD93924=")</f>
        <v>#VALUE!</v>
      </c>
      <c r="DH16" s="22" t="e">
        <f aca="false">AND('current index'!#ref!,"AAAAAD93928=")</f>
        <v>#VALUE!</v>
      </c>
      <c r="DI16" s="22" t="e">
        <f aca="false">AND('current index'!#ref!,"AAAAAD9393A=")</f>
        <v>#VALUE!</v>
      </c>
      <c r="DJ16" s="22" t="e">
        <f aca="false">AND('current index'!#ref!,"AAAAAD9393E=")</f>
        <v>#VALUE!</v>
      </c>
      <c r="DK16" s="22" t="e">
        <f aca="false">AND('current index'!#ref!,"AAAAAD9393I=")</f>
        <v>#VALUE!</v>
      </c>
      <c r="DL16" s="22" t="e">
        <f aca="false">AND('current index'!#ref!,"AAAAAD9393M=")</f>
        <v>#VALUE!</v>
      </c>
      <c r="DM16" s="22" t="e">
        <f aca="false">AND('current index'!#ref!,"AAAAAD9393Q=")</f>
        <v>#VALUE!</v>
      </c>
      <c r="DN16" s="22" t="e">
        <f aca="false">AND('current index'!#ref!,"AAAAAD9393U=")</f>
        <v>#VALUE!</v>
      </c>
      <c r="DO16" s="22" t="e">
        <f aca="false">AND('current index'!#ref!,"AAAAAD9393Y=")</f>
        <v>#VALUE!</v>
      </c>
      <c r="DP16" s="22" t="e">
        <f aca="false">AND('current index'!#ref!,"AAAAAD9393c=")</f>
        <v>#VALUE!</v>
      </c>
      <c r="DQ16" s="22" t="n">
        <f aca="false">IF('Current Index'!395:395,"AAAAAD9393g=",0)</f>
        <v>0</v>
      </c>
      <c r="DR16" s="22" t="e">
        <f aca="false">AND('Current Index'!A395,"AAAAAD9393k=")</f>
        <v>#VALUE!</v>
      </c>
      <c r="DS16" s="22" t="e">
        <f aca="false">AND('current index'!#ref!,"AAAAAD9393o=")</f>
        <v>#VALUE!</v>
      </c>
      <c r="DT16" s="22" t="e">
        <f aca="false">AND('Current Index'!B395,"AAAAAD9393s=")</f>
        <v>#VALUE!</v>
      </c>
      <c r="DU16" s="22" t="e">
        <f aca="false">AND('Current Index'!C395,"AAAAAD9393w=")</f>
        <v>#VALUE!</v>
      </c>
      <c r="DV16" s="22" t="e">
        <f aca="false">AND('Current Index'!D395,"AAAAAD93930=")</f>
        <v>#VALUE!</v>
      </c>
      <c r="DW16" s="22" t="e">
        <f aca="false">AND('Current Index'!E395,"AAAAAD93934=")</f>
        <v>#VALUE!</v>
      </c>
      <c r="DX16" s="22" t="e">
        <f aca="false">AND('Current Index'!F395,"AAAAAD93938=")</f>
        <v>#VALUE!</v>
      </c>
      <c r="DY16" s="22" t="e">
        <f aca="false">AND('Current Index'!G395,"AAAAAD9394A=")</f>
        <v>#VALUE!</v>
      </c>
      <c r="DZ16" s="22" t="e">
        <f aca="false">AND('Current Index'!H395,"AAAAAD9394E=")</f>
        <v>#VALUE!</v>
      </c>
      <c r="EA16" s="22" t="e">
        <f aca="false">AND('Current Index'!I395,"AAAAAD9394I=")</f>
        <v>#VALUE!</v>
      </c>
      <c r="EB16" s="22" t="n">
        <f aca="false">IF('Current Index'!396:396,"AAAAAD9394M=",0)</f>
        <v>0</v>
      </c>
      <c r="EC16" s="22" t="e">
        <f aca="false">AND('Current Index'!A396,"AAAAAD9394Q=")</f>
        <v>#VALUE!</v>
      </c>
      <c r="ED16" s="22" t="e">
        <f aca="false">AND('current index'!#ref!,"AAAAAD9394U=")</f>
        <v>#VALUE!</v>
      </c>
      <c r="EE16" s="22" t="e">
        <f aca="false">AND('Current Index'!B396,"AAAAAD9394Y=")</f>
        <v>#VALUE!</v>
      </c>
      <c r="EF16" s="22" t="e">
        <f aca="false">AND('Current Index'!C396,"AAAAAD9394c=")</f>
        <v>#VALUE!</v>
      </c>
      <c r="EG16" s="22" t="e">
        <f aca="false">AND('Current Index'!D396,"AAAAAD9394g=")</f>
        <v>#VALUE!</v>
      </c>
      <c r="EH16" s="22" t="e">
        <f aca="false">AND('Current Index'!E396,"AAAAAD9394k=")</f>
        <v>#VALUE!</v>
      </c>
      <c r="EI16" s="22" t="e">
        <f aca="false">AND('Current Index'!F396,"AAAAAD9394o=")</f>
        <v>#VALUE!</v>
      </c>
      <c r="EJ16" s="22" t="e">
        <f aca="false">AND('Current Index'!G396,"AAAAAD9394s=")</f>
        <v>#VALUE!</v>
      </c>
      <c r="EK16" s="22" t="e">
        <f aca="false">AND('Current Index'!H396,"AAAAAD9394w=")</f>
        <v>#VALUE!</v>
      </c>
      <c r="EL16" s="22" t="e">
        <f aca="false">AND('Current Index'!I396,"AAAAAD93940=")</f>
        <v>#VALUE!</v>
      </c>
      <c r="EM16" s="22" t="n">
        <f aca="false">IF('Current Index'!399:399,"AAAAAD93944=",0)</f>
        <v>0</v>
      </c>
      <c r="EN16" s="22" t="e">
        <f aca="false">AND('Current Index'!A399,"AAAAAD93948=")</f>
        <v>#VALUE!</v>
      </c>
      <c r="EO16" s="22" t="e">
        <f aca="false">AND('current index'!#ref!,"AAAAAD9395A=")</f>
        <v>#VALUE!</v>
      </c>
      <c r="EP16" s="22" t="e">
        <f aca="false">AND('Current Index'!B399,"AAAAAD9395E=")</f>
        <v>#VALUE!</v>
      </c>
      <c r="EQ16" s="22" t="e">
        <f aca="false">AND('Current Index'!C399,"AAAAAD9395I=")</f>
        <v>#VALUE!</v>
      </c>
      <c r="ER16" s="22" t="e">
        <f aca="false">AND('Current Index'!D399,"AAAAAD9395M=")</f>
        <v>#VALUE!</v>
      </c>
      <c r="ES16" s="22" t="e">
        <f aca="false">AND('Current Index'!E399,"AAAAAD9395Q=")</f>
        <v>#VALUE!</v>
      </c>
      <c r="ET16" s="22" t="e">
        <f aca="false">AND('Current Index'!F399,"AAAAAD9395U=")</f>
        <v>#VALUE!</v>
      </c>
      <c r="EU16" s="22" t="e">
        <f aca="false">AND('Current Index'!G399,"AAAAAD9395Y=")</f>
        <v>#VALUE!</v>
      </c>
      <c r="EV16" s="22" t="e">
        <f aca="false">AND('Current Index'!H399,"AAAAAD9395c=")</f>
        <v>#VALUE!</v>
      </c>
      <c r="EW16" s="22" t="e">
        <f aca="false">AND('Current Index'!I399,"AAAAAD9395g=")</f>
        <v>#VALUE!</v>
      </c>
      <c r="EX16" s="22" t="n">
        <f aca="false">IF('Current Index'!400:400,"AAAAAD9395k=",0)</f>
        <v>0</v>
      </c>
      <c r="EY16" s="22" t="e">
        <f aca="false">AND('Current Index'!A400,"AAAAAD9395o=")</f>
        <v>#VALUE!</v>
      </c>
      <c r="EZ16" s="22" t="e">
        <f aca="false">AND('current index'!#ref!,"AAAAAD9395s=")</f>
        <v>#VALUE!</v>
      </c>
      <c r="FA16" s="22" t="e">
        <f aca="false">AND('Current Index'!B400,"AAAAAD9395w=")</f>
        <v>#VALUE!</v>
      </c>
      <c r="FB16" s="22" t="e">
        <f aca="false">AND('Current Index'!C400,"AAAAAD93950=")</f>
        <v>#VALUE!</v>
      </c>
      <c r="FC16" s="22" t="e">
        <f aca="false">AND('Current Index'!D400,"AAAAAD93954=")</f>
        <v>#VALUE!</v>
      </c>
      <c r="FD16" s="22" t="e">
        <f aca="false">AND('Current Index'!E400,"AAAAAD93958=")</f>
        <v>#VALUE!</v>
      </c>
      <c r="FE16" s="22" t="e">
        <f aca="false">AND('Current Index'!F400,"AAAAAD9396A=")</f>
        <v>#VALUE!</v>
      </c>
      <c r="FF16" s="22" t="e">
        <f aca="false">AND('Current Index'!G400,"AAAAAD9396E=")</f>
        <v>#VALUE!</v>
      </c>
      <c r="FG16" s="22" t="e">
        <f aca="false">AND('Current Index'!H400,"AAAAAD9396I=")</f>
        <v>#VALUE!</v>
      </c>
      <c r="FH16" s="22" t="e">
        <f aca="false">AND('Current Index'!I400,"AAAAAD9396M=")</f>
        <v>#VALUE!</v>
      </c>
      <c r="FI16" s="22" t="n">
        <f aca="false">IF('Current Index'!401:401,"AAAAAD9396Q=",0)</f>
        <v>0</v>
      </c>
      <c r="FJ16" s="22" t="e">
        <f aca="false">AND('Current Index'!A401,"AAAAAD9396U=")</f>
        <v>#VALUE!</v>
      </c>
      <c r="FK16" s="22" t="e">
        <f aca="false">AND('current index'!#ref!,"AAAAAD9396Y=")</f>
        <v>#VALUE!</v>
      </c>
      <c r="FL16" s="22" t="e">
        <f aca="false">AND('Current Index'!B401,"AAAAAD9396c=")</f>
        <v>#VALUE!</v>
      </c>
      <c r="FM16" s="22" t="e">
        <f aca="false">AND('Current Index'!C401,"AAAAAD9396g=")</f>
        <v>#VALUE!</v>
      </c>
      <c r="FN16" s="22" t="e">
        <f aca="false">AND('Current Index'!D401,"AAAAAD9396k=")</f>
        <v>#VALUE!</v>
      </c>
      <c r="FO16" s="22" t="e">
        <f aca="false">AND('Current Index'!E401,"AAAAAD9396o=")</f>
        <v>#VALUE!</v>
      </c>
      <c r="FP16" s="22" t="e">
        <f aca="false">AND('Current Index'!F401,"AAAAAD9396s=")</f>
        <v>#VALUE!</v>
      </c>
      <c r="FQ16" s="22" t="e">
        <f aca="false">AND('Current Index'!G401,"AAAAAD9396w=")</f>
        <v>#VALUE!</v>
      </c>
      <c r="FR16" s="22" t="e">
        <f aca="false">AND('Current Index'!H401,"AAAAAD93960=")</f>
        <v>#VALUE!</v>
      </c>
      <c r="FS16" s="22" t="e">
        <f aca="false">AND('Current Index'!I401,"AAAAAD93964=")</f>
        <v>#VALUE!</v>
      </c>
      <c r="FT16" s="22" t="n">
        <f aca="false">IF('Current Index'!402:402,"AAAAAD93968=",0)</f>
        <v>0</v>
      </c>
      <c r="FU16" s="22" t="e">
        <f aca="false">AND('Current Index'!A402,"AAAAAD9397A=")</f>
        <v>#VALUE!</v>
      </c>
      <c r="FV16" s="22" t="e">
        <f aca="false">AND('current index'!#ref!,"AAAAAD9397E=")</f>
        <v>#VALUE!</v>
      </c>
      <c r="FW16" s="22" t="e">
        <f aca="false">AND('Current Index'!B402,"AAAAAD9397I=")</f>
        <v>#VALUE!</v>
      </c>
      <c r="FX16" s="22" t="e">
        <f aca="false">AND('Current Index'!C402,"AAAAAD9397M=")</f>
        <v>#VALUE!</v>
      </c>
      <c r="FY16" s="22" t="e">
        <f aca="false">AND('Current Index'!D402,"AAAAAD9397Q=")</f>
        <v>#VALUE!</v>
      </c>
      <c r="FZ16" s="22" t="e">
        <f aca="false">AND('Current Index'!E402,"AAAAAD9397U=")</f>
        <v>#VALUE!</v>
      </c>
      <c r="GA16" s="22" t="e">
        <f aca="false">AND('Current Index'!F402,"AAAAAD9397Y=")</f>
        <v>#VALUE!</v>
      </c>
      <c r="GB16" s="22" t="e">
        <f aca="false">AND('Current Index'!G402,"AAAAAD9397c=")</f>
        <v>#VALUE!</v>
      </c>
      <c r="GC16" s="22" t="e">
        <f aca="false">AND('Current Index'!H402,"AAAAAD9397g=")</f>
        <v>#VALUE!</v>
      </c>
      <c r="GD16" s="22" t="e">
        <f aca="false">AND('Current Index'!I402,"AAAAAD9397k=")</f>
        <v>#VALUE!</v>
      </c>
      <c r="GE16" s="22" t="n">
        <f aca="false">IF('Current Index'!403:403,"AAAAAD9397o=",0)</f>
        <v>0</v>
      </c>
      <c r="GF16" s="22" t="e">
        <f aca="false">AND('Current Index'!A403,"AAAAAD9397s=")</f>
        <v>#VALUE!</v>
      </c>
      <c r="GG16" s="22" t="e">
        <f aca="false">AND('current index'!#ref!,"AAAAAD9397w=")</f>
        <v>#VALUE!</v>
      </c>
      <c r="GH16" s="22" t="e">
        <f aca="false">AND('Current Index'!B403,"AAAAAD93970=")</f>
        <v>#VALUE!</v>
      </c>
      <c r="GI16" s="22" t="e">
        <f aca="false">AND('Current Index'!C403,"AAAAAD93974=")</f>
        <v>#VALUE!</v>
      </c>
      <c r="GJ16" s="22" t="e">
        <f aca="false">AND('Current Index'!D403,"AAAAAD93978=")</f>
        <v>#VALUE!</v>
      </c>
      <c r="GK16" s="22" t="e">
        <f aca="false">AND('Current Index'!E403,"AAAAAD9398A=")</f>
        <v>#VALUE!</v>
      </c>
      <c r="GL16" s="22" t="e">
        <f aca="false">AND('Current Index'!F403,"AAAAAD9398E=")</f>
        <v>#VALUE!</v>
      </c>
      <c r="GM16" s="22" t="e">
        <f aca="false">AND('Current Index'!G403,"AAAAAD9398I=")</f>
        <v>#VALUE!</v>
      </c>
      <c r="GN16" s="22" t="e">
        <f aca="false">AND('Current Index'!H403,"AAAAAD9398M=")</f>
        <v>#VALUE!</v>
      </c>
      <c r="GO16" s="22" t="e">
        <f aca="false">AND('Current Index'!I403,"AAAAAD9398Q=")</f>
        <v>#VALUE!</v>
      </c>
      <c r="GP16" s="22" t="n">
        <f aca="false">IF('Current Index'!404:404,"AAAAAD9398U=",0)</f>
        <v>0</v>
      </c>
      <c r="GQ16" s="22" t="e">
        <f aca="false">AND('Current Index'!A404,"AAAAAD9398Y=")</f>
        <v>#VALUE!</v>
      </c>
      <c r="GR16" s="22" t="e">
        <f aca="false">AND('current index'!#ref!,"AAAAAD9398c=")</f>
        <v>#VALUE!</v>
      </c>
      <c r="GS16" s="22" t="e">
        <f aca="false">AND('Current Index'!B404,"AAAAAD9398g=")</f>
        <v>#VALUE!</v>
      </c>
      <c r="GT16" s="22" t="e">
        <f aca="false">AND('Current Index'!C404,"AAAAAD9398k=")</f>
        <v>#VALUE!</v>
      </c>
      <c r="GU16" s="22" t="e">
        <f aca="false">AND('Current Index'!D404,"AAAAAD9398o=")</f>
        <v>#VALUE!</v>
      </c>
      <c r="GV16" s="22" t="e">
        <f aca="false">AND('Current Index'!E404,"AAAAAD9398s=")</f>
        <v>#VALUE!</v>
      </c>
      <c r="GW16" s="22" t="e">
        <f aca="false">AND('Current Index'!F404,"AAAAAD9398w=")</f>
        <v>#VALUE!</v>
      </c>
      <c r="GX16" s="22" t="e">
        <f aca="false">AND('Current Index'!G404,"AAAAAD93980=")</f>
        <v>#VALUE!</v>
      </c>
      <c r="GY16" s="22" t="e">
        <f aca="false">AND('Current Index'!H404,"AAAAAD93984=")</f>
        <v>#VALUE!</v>
      </c>
      <c r="GZ16" s="22" t="e">
        <f aca="false">AND('Current Index'!I404,"AAAAAD93988=")</f>
        <v>#VALUE!</v>
      </c>
      <c r="HA16" s="22" t="n">
        <f aca="false">IF('Current Index'!405:405,"AAAAAD9399A=",0)</f>
        <v>0</v>
      </c>
      <c r="HB16" s="22" t="e">
        <f aca="false">AND('Current Index'!A405,"AAAAAD9399E=")</f>
        <v>#VALUE!</v>
      </c>
      <c r="HC16" s="22" t="e">
        <f aca="false">AND('current index'!#ref!,"AAAAAD9399I=")</f>
        <v>#VALUE!</v>
      </c>
      <c r="HD16" s="22" t="e">
        <f aca="false">AND('Current Index'!B405,"AAAAAD9399M=")</f>
        <v>#VALUE!</v>
      </c>
      <c r="HE16" s="22" t="e">
        <f aca="false">AND('Current Index'!C405,"AAAAAD9399Q=")</f>
        <v>#VALUE!</v>
      </c>
      <c r="HF16" s="22" t="e">
        <f aca="false">AND('Current Index'!D405,"AAAAAD9399U=")</f>
        <v>#VALUE!</v>
      </c>
      <c r="HG16" s="22" t="e">
        <f aca="false">AND('Current Index'!E405,"AAAAAD9399Y=")</f>
        <v>#VALUE!</v>
      </c>
      <c r="HH16" s="22" t="e">
        <f aca="false">AND('Current Index'!F405,"AAAAAD9399c=")</f>
        <v>#VALUE!</v>
      </c>
      <c r="HI16" s="22" t="e">
        <f aca="false">AND('Current Index'!G405,"AAAAAD9399g=")</f>
        <v>#VALUE!</v>
      </c>
      <c r="HJ16" s="22" t="e">
        <f aca="false">AND('Current Index'!H405,"AAAAAD9399k=")</f>
        <v>#VALUE!</v>
      </c>
      <c r="HK16" s="22" t="e">
        <f aca="false">AND('Current Index'!I405,"AAAAAD9399o=")</f>
        <v>#VALUE!</v>
      </c>
      <c r="HL16" s="22" t="n">
        <f aca="false">IF('Current Index'!407:407,"AAAAAD9399s=",0)</f>
        <v>0</v>
      </c>
      <c r="HM16" s="22" t="e">
        <f aca="false">AND('Current Index'!A407,"AAAAAD9399w=")</f>
        <v>#VALUE!</v>
      </c>
      <c r="HN16" s="22" t="e">
        <f aca="false">AND('current index'!#ref!,"AAAAAD93990=")</f>
        <v>#VALUE!</v>
      </c>
      <c r="HO16" s="22" t="e">
        <f aca="false">AND('Current Index'!B407,"AAAAAD93994=")</f>
        <v>#VALUE!</v>
      </c>
      <c r="HP16" s="22" t="e">
        <f aca="false">AND('Current Index'!C407,"AAAAAD93998=")</f>
        <v>#VALUE!</v>
      </c>
      <c r="HQ16" s="22" t="e">
        <f aca="false">AND('Current Index'!D407,"AAAAAD939+A=")</f>
        <v>#VALUE!</v>
      </c>
      <c r="HR16" s="22" t="e">
        <f aca="false">AND('Current Index'!E407,"AAAAAD939+E=")</f>
        <v>#VALUE!</v>
      </c>
      <c r="HS16" s="22" t="e">
        <f aca="false">AND('Current Index'!F407,"AAAAAD939+I=")</f>
        <v>#VALUE!</v>
      </c>
      <c r="HT16" s="22" t="e">
        <f aca="false">AND('Current Index'!G407,"AAAAAD939+M=")</f>
        <v>#VALUE!</v>
      </c>
      <c r="HU16" s="22" t="e">
        <f aca="false">AND('Current Index'!H407,"AAAAAD939+Q=")</f>
        <v>#VALUE!</v>
      </c>
      <c r="HV16" s="22" t="e">
        <f aca="false">AND('Current Index'!I407,"AAAAAD939+U=")</f>
        <v>#VALUE!</v>
      </c>
      <c r="HW16" s="22" t="n">
        <f aca="false">IF('Current Index'!408:408,"AAAAAD939+Y=",0)</f>
        <v>0</v>
      </c>
      <c r="HX16" s="22" t="e">
        <f aca="false">AND('Current Index'!A408,"AAAAAD939+c=")</f>
        <v>#VALUE!</v>
      </c>
      <c r="HY16" s="22" t="e">
        <f aca="false">AND('current index'!#ref!,"AAAAAD939+g=")</f>
        <v>#VALUE!</v>
      </c>
      <c r="HZ16" s="22" t="e">
        <f aca="false">AND('Current Index'!B408,"AAAAAD939+k=")</f>
        <v>#VALUE!</v>
      </c>
      <c r="IA16" s="22" t="e">
        <f aca="false">AND('Current Index'!C408,"AAAAAD939+o=")</f>
        <v>#VALUE!</v>
      </c>
      <c r="IB16" s="22" t="e">
        <f aca="false">AND('Current Index'!D408,"AAAAAD939+s=")</f>
        <v>#VALUE!</v>
      </c>
      <c r="IC16" s="22" t="e">
        <f aca="false">AND('Current Index'!E408,"AAAAAD939+w=")</f>
        <v>#VALUE!</v>
      </c>
      <c r="ID16" s="22" t="e">
        <f aca="false">AND('Current Index'!F408,"AAAAAD939+0=")</f>
        <v>#VALUE!</v>
      </c>
      <c r="IE16" s="22" t="e">
        <f aca="false">AND('Current Index'!G408,"AAAAAD939+4=")</f>
        <v>#VALUE!</v>
      </c>
      <c r="IF16" s="22" t="e">
        <f aca="false">AND('Current Index'!H408,"AAAAAD939+8=")</f>
        <v>#VALUE!</v>
      </c>
      <c r="IG16" s="22" t="e">
        <f aca="false">AND('Current Index'!I408,"AAAAAD939/A=")</f>
        <v>#VALUE!</v>
      </c>
      <c r="IH16" s="22" t="n">
        <f aca="false">IF('Current Index'!409:409,"AAAAAD939/E=",0)</f>
        <v>0</v>
      </c>
      <c r="II16" s="22" t="e">
        <f aca="false">AND('Current Index'!A409,"AAAAAD939/I=")</f>
        <v>#VALUE!</v>
      </c>
      <c r="IJ16" s="22" t="e">
        <f aca="false">AND('current index'!#ref!,"AAAAAD939/M=")</f>
        <v>#VALUE!</v>
      </c>
      <c r="IK16" s="22" t="e">
        <f aca="false">AND('Current Index'!B409,"AAAAAD939/Q=")</f>
        <v>#VALUE!</v>
      </c>
      <c r="IL16" s="22" t="e">
        <f aca="false">AND('Current Index'!C409,"AAAAAD939/U=")</f>
        <v>#VALUE!</v>
      </c>
      <c r="IM16" s="22" t="e">
        <f aca="false">AND('Current Index'!D409,"AAAAAD939/Y=")</f>
        <v>#VALUE!</v>
      </c>
      <c r="IN16" s="22" t="e">
        <f aca="false">AND('Current Index'!E409,"AAAAAD939/c=")</f>
        <v>#VALUE!</v>
      </c>
      <c r="IO16" s="22" t="e">
        <f aca="false">AND('Current Index'!F409,"AAAAAD939/g=")</f>
        <v>#VALUE!</v>
      </c>
      <c r="IP16" s="22" t="e">
        <f aca="false">AND('Current Index'!G409,"AAAAAD939/k=")</f>
        <v>#VALUE!</v>
      </c>
      <c r="IQ16" s="22" t="e">
        <f aca="false">AND('Current Index'!H409,"AAAAAD939/o=")</f>
        <v>#VALUE!</v>
      </c>
      <c r="IR16" s="22" t="e">
        <f aca="false">AND('Current Index'!I409,"AAAAAD939/s=")</f>
        <v>#VALUE!</v>
      </c>
      <c r="IS16" s="22" t="n">
        <f aca="false">IF('Current Index'!410:410,"AAAAAD939/w=",0)</f>
        <v>0</v>
      </c>
      <c r="IT16" s="22" t="e">
        <f aca="false">AND('Current Index'!A410,"AAAAAD939/0=")</f>
        <v>#VALUE!</v>
      </c>
      <c r="IU16" s="22" t="e">
        <f aca="false">AND('current index'!#ref!,"AAAAAD939/4=")</f>
        <v>#VALUE!</v>
      </c>
      <c r="IV16" s="22" t="e">
        <f aca="false">AND('Current Index'!B410,"AAAAAD939/8=")</f>
        <v>#VALUE!</v>
      </c>
    </row>
    <row r="17" customFormat="false" ht="12.75" hidden="false" customHeight="false" outlineLevel="0" collapsed="false">
      <c r="A17" s="22" t="e">
        <f aca="false">AND('Current Index'!C410,"AAAAAFi3OQA=")</f>
        <v>#VALUE!</v>
      </c>
      <c r="B17" s="22" t="e">
        <f aca="false">AND('Current Index'!D410,"AAAAAFi3OQE=")</f>
        <v>#VALUE!</v>
      </c>
      <c r="C17" s="22" t="e">
        <f aca="false">AND('Current Index'!E410,"AAAAAFi3OQI=")</f>
        <v>#VALUE!</v>
      </c>
      <c r="D17" s="22" t="e">
        <f aca="false">AND('Current Index'!F410,"AAAAAFi3OQM=")</f>
        <v>#VALUE!</v>
      </c>
      <c r="E17" s="22" t="e">
        <f aca="false">AND('Current Index'!G410,"AAAAAFi3OQQ=")</f>
        <v>#VALUE!</v>
      </c>
      <c r="F17" s="22" t="e">
        <f aca="false">AND('Current Index'!H410,"AAAAAFi3OQU=")</f>
        <v>#VALUE!</v>
      </c>
      <c r="G17" s="22" t="e">
        <f aca="false">AND('Current Index'!I410,"AAAAAFi3OQY=")</f>
        <v>#VALUE!</v>
      </c>
      <c r="H17" s="22" t="e">
        <f aca="false">IF('Current Index'!411:411,"AAAAAFi3OQc=",0)</f>
        <v>#VALUE!</v>
      </c>
      <c r="I17" s="22" t="e">
        <f aca="false">AND('Current Index'!A411,"AAAAAFi3OQg=")</f>
        <v>#VALUE!</v>
      </c>
      <c r="J17" s="22" t="e">
        <f aca="false">AND('current index'!#ref!,"AAAAAFi3OQk=")</f>
        <v>#VALUE!</v>
      </c>
      <c r="K17" s="22" t="e">
        <f aca="false">AND('Current Index'!B411,"AAAAAFi3OQo=")</f>
        <v>#VALUE!</v>
      </c>
      <c r="L17" s="22" t="e">
        <f aca="false">AND('Current Index'!C411,"AAAAAFi3OQs=")</f>
        <v>#VALUE!</v>
      </c>
      <c r="M17" s="22" t="e">
        <f aca="false">AND('Current Index'!D411,"AAAAAFi3OQw=")</f>
        <v>#VALUE!</v>
      </c>
      <c r="N17" s="22" t="e">
        <f aca="false">AND('Current Index'!E411,"AAAAAFi3OQ0=")</f>
        <v>#VALUE!</v>
      </c>
      <c r="O17" s="22" t="e">
        <f aca="false">AND('Current Index'!F411,"AAAAAFi3OQ4=")</f>
        <v>#VALUE!</v>
      </c>
      <c r="P17" s="22" t="e">
        <f aca="false">AND('Current Index'!G411,"AAAAAFi3OQ8=")</f>
        <v>#VALUE!</v>
      </c>
      <c r="Q17" s="22" t="e">
        <f aca="false">AND('Current Index'!H411,"AAAAAFi3ORA=")</f>
        <v>#VALUE!</v>
      </c>
      <c r="R17" s="22" t="e">
        <f aca="false">AND('Current Index'!I411,"AAAAAFi3ORE=")</f>
        <v>#VALUE!</v>
      </c>
      <c r="S17" s="22" t="n">
        <f aca="false">IF('Current Index'!412:412,"AAAAAFi3ORI=",0)</f>
        <v>0</v>
      </c>
      <c r="T17" s="22" t="e">
        <f aca="false">AND('Current Index'!A412,"AAAAAFi3ORM=")</f>
        <v>#VALUE!</v>
      </c>
      <c r="U17" s="22" t="e">
        <f aca="false">AND('current index'!#ref!,"AAAAAFi3ORQ=")</f>
        <v>#VALUE!</v>
      </c>
      <c r="V17" s="22" t="e">
        <f aca="false">AND('Current Index'!B412,"AAAAAFi3ORU=")</f>
        <v>#VALUE!</v>
      </c>
      <c r="W17" s="22" t="e">
        <f aca="false">AND('Current Index'!C412,"AAAAAFi3ORY=")</f>
        <v>#VALUE!</v>
      </c>
      <c r="X17" s="22" t="e">
        <f aca="false">AND('Current Index'!D412,"AAAAAFi3ORc=")</f>
        <v>#VALUE!</v>
      </c>
      <c r="Y17" s="22" t="e">
        <f aca="false">AND('Current Index'!E412,"AAAAAFi3ORg=")</f>
        <v>#VALUE!</v>
      </c>
      <c r="Z17" s="22" t="e">
        <f aca="false">AND('Current Index'!F412,"AAAAAFi3ORk=")</f>
        <v>#VALUE!</v>
      </c>
      <c r="AA17" s="22" t="e">
        <f aca="false">AND('Current Index'!G412,"AAAAAFi3ORo=")</f>
        <v>#VALUE!</v>
      </c>
      <c r="AB17" s="22" t="e">
        <f aca="false">AND('Current Index'!H412,"AAAAAFi3ORs=")</f>
        <v>#VALUE!</v>
      </c>
      <c r="AC17" s="22" t="e">
        <f aca="false">AND('Current Index'!I412,"AAAAAFi3ORw=")</f>
        <v>#VALUE!</v>
      </c>
      <c r="AD17" s="22" t="n">
        <f aca="false">IF('Current Index'!414:414,"AAAAAFi3OR0=",0)</f>
        <v>0</v>
      </c>
      <c r="AE17" s="22" t="e">
        <f aca="false">AND('Current Index'!A414,"AAAAAFi3OR4=")</f>
        <v>#VALUE!</v>
      </c>
      <c r="AF17" s="22" t="e">
        <f aca="false">AND('current index'!#ref!,"AAAAAFi3OR8=")</f>
        <v>#VALUE!</v>
      </c>
      <c r="AG17" s="22" t="e">
        <f aca="false">AND('Current Index'!B414,"AAAAAFi3OSA=")</f>
        <v>#VALUE!</v>
      </c>
      <c r="AH17" s="22" t="e">
        <f aca="false">AND('Current Index'!C414,"AAAAAFi3OSE=")</f>
        <v>#VALUE!</v>
      </c>
      <c r="AI17" s="22" t="e">
        <f aca="false">AND('Current Index'!D414,"AAAAAFi3OSI=")</f>
        <v>#VALUE!</v>
      </c>
      <c r="AJ17" s="22" t="e">
        <f aca="false">AND('Current Index'!E414,"AAAAAFi3OSM=")</f>
        <v>#VALUE!</v>
      </c>
      <c r="AK17" s="22" t="e">
        <f aca="false">AND('Current Index'!F414,"AAAAAFi3OSQ=")</f>
        <v>#VALUE!</v>
      </c>
      <c r="AL17" s="22" t="e">
        <f aca="false">AND('Current Index'!G414,"AAAAAFi3OSU=")</f>
        <v>#VALUE!</v>
      </c>
      <c r="AM17" s="22" t="e">
        <f aca="false">AND('Current Index'!H414,"AAAAAFi3OSY=")</f>
        <v>#VALUE!</v>
      </c>
      <c r="AN17" s="22" t="e">
        <f aca="false">AND('Current Index'!I414,"AAAAAFi3OSc=")</f>
        <v>#VALUE!</v>
      </c>
      <c r="AO17" s="22" t="n">
        <f aca="false">IF('Current Index'!415:415,"AAAAAFi3OSg=",0)</f>
        <v>0</v>
      </c>
      <c r="AP17" s="22" t="e">
        <f aca="false">AND('Current Index'!A415,"AAAAAFi3OSk=")</f>
        <v>#VALUE!</v>
      </c>
      <c r="AQ17" s="22" t="e">
        <f aca="false">AND('current index'!#ref!,"AAAAAFi3OSo=")</f>
        <v>#VALUE!</v>
      </c>
      <c r="AR17" s="22" t="e">
        <f aca="false">AND('Current Index'!B415,"AAAAAFi3OSs=")</f>
        <v>#VALUE!</v>
      </c>
      <c r="AS17" s="22" t="e">
        <f aca="false">AND('Current Index'!C415,"AAAAAFi3OSw=")</f>
        <v>#VALUE!</v>
      </c>
      <c r="AT17" s="22" t="e">
        <f aca="false">AND('Current Index'!D415,"AAAAAFi3OS0=")</f>
        <v>#VALUE!</v>
      </c>
      <c r="AU17" s="22" t="e">
        <f aca="false">AND('Current Index'!E415,"AAAAAFi3OS4=")</f>
        <v>#VALUE!</v>
      </c>
      <c r="AV17" s="22" t="e">
        <f aca="false">AND('Current Index'!F415,"AAAAAFi3OS8=")</f>
        <v>#VALUE!</v>
      </c>
      <c r="AW17" s="22" t="e">
        <f aca="false">AND('Current Index'!G415,"AAAAAFi3OTA=")</f>
        <v>#VALUE!</v>
      </c>
      <c r="AX17" s="22" t="e">
        <f aca="false">AND('Current Index'!H415,"AAAAAFi3OTE=")</f>
        <v>#VALUE!</v>
      </c>
      <c r="AY17" s="22" t="e">
        <f aca="false">AND('Current Index'!I415,"AAAAAFi3OTI=")</f>
        <v>#VALUE!</v>
      </c>
      <c r="AZ17" s="22" t="e">
        <f aca="false">IF('current index'!#ref!,"AAAAAFi3OTM=",0)</f>
        <v>#VALUE!</v>
      </c>
      <c r="BA17" s="22" t="e">
        <f aca="false">AND('current index'!#ref!,"AAAAAFi3OTQ=")</f>
        <v>#VALUE!</v>
      </c>
      <c r="BB17" s="22" t="e">
        <f aca="false">AND('current index'!#ref!,"AAAAAFi3OTU=")</f>
        <v>#VALUE!</v>
      </c>
      <c r="BC17" s="22" t="e">
        <f aca="false">AND('current index'!#ref!,"AAAAAFi3OTY=")</f>
        <v>#VALUE!</v>
      </c>
      <c r="BD17" s="22" t="e">
        <f aca="false">AND('current index'!#ref!,"AAAAAFi3OTc=")</f>
        <v>#VALUE!</v>
      </c>
      <c r="BE17" s="22" t="e">
        <f aca="false">AND('current index'!#ref!,"AAAAAFi3OTg=")</f>
        <v>#VALUE!</v>
      </c>
      <c r="BF17" s="22" t="e">
        <f aca="false">AND('current index'!#ref!,"AAAAAFi3OTk=")</f>
        <v>#VALUE!</v>
      </c>
      <c r="BG17" s="22" t="e">
        <f aca="false">AND('current index'!#ref!,"AAAAAFi3OTo=")</f>
        <v>#VALUE!</v>
      </c>
      <c r="BH17" s="22" t="e">
        <f aca="false">AND('current index'!#ref!,"AAAAAFi3OTs=")</f>
        <v>#VALUE!</v>
      </c>
      <c r="BI17" s="22" t="e">
        <f aca="false">AND('current index'!#ref!,"AAAAAFi3OTw=")</f>
        <v>#VALUE!</v>
      </c>
      <c r="BJ17" s="22" t="e">
        <f aca="false">AND('current index'!#ref!,"AAAAAFi3OT0=")</f>
        <v>#VALUE!</v>
      </c>
      <c r="BK17" s="22" t="n">
        <f aca="false">IF('Current Index'!416:416,"AAAAAFi3OT4=",0)</f>
        <v>0</v>
      </c>
      <c r="BL17" s="22" t="e">
        <f aca="false">AND('Current Index'!A416,"AAAAAFi3OT8=")</f>
        <v>#VALUE!</v>
      </c>
      <c r="BM17" s="22" t="e">
        <f aca="false">AND('current index'!#ref!,"AAAAAFi3OUA=")</f>
        <v>#VALUE!</v>
      </c>
      <c r="BN17" s="22" t="e">
        <f aca="false">AND('Current Index'!B416,"AAAAAFi3OUE=")</f>
        <v>#VALUE!</v>
      </c>
      <c r="BO17" s="22" t="e">
        <f aca="false">AND('Current Index'!C416,"AAAAAFi3OUI=")</f>
        <v>#VALUE!</v>
      </c>
      <c r="BP17" s="22" t="e">
        <f aca="false">AND('Current Index'!D416,"AAAAAFi3OUM=")</f>
        <v>#VALUE!</v>
      </c>
      <c r="BQ17" s="22" t="e">
        <f aca="false">AND('Current Index'!E416,"AAAAAFi3OUQ=")</f>
        <v>#VALUE!</v>
      </c>
      <c r="BR17" s="22" t="e">
        <f aca="false">AND('Current Index'!F416,"AAAAAFi3OUU=")</f>
        <v>#VALUE!</v>
      </c>
      <c r="BS17" s="22" t="e">
        <f aca="false">AND('Current Index'!G416,"AAAAAFi3OUY=")</f>
        <v>#VALUE!</v>
      </c>
      <c r="BT17" s="22" t="e">
        <f aca="false">AND('Current Index'!H416,"AAAAAFi3OUc=")</f>
        <v>#VALUE!</v>
      </c>
      <c r="BU17" s="22" t="e">
        <f aca="false">AND('Current Index'!I416,"AAAAAFi3OUg=")</f>
        <v>#VALUE!</v>
      </c>
      <c r="BV17" s="22" t="n">
        <f aca="false">IF('Current Index'!417:417,"AAAAAFi3OUk=",0)</f>
        <v>0</v>
      </c>
      <c r="BW17" s="22" t="e">
        <f aca="false">AND('Current Index'!A417,"AAAAAFi3OUo=")</f>
        <v>#VALUE!</v>
      </c>
      <c r="BX17" s="22" t="e">
        <f aca="false">AND('current index'!#ref!,"AAAAAFi3OUs=")</f>
        <v>#VALUE!</v>
      </c>
      <c r="BY17" s="22" t="e">
        <f aca="false">AND('Current Index'!B417,"AAAAAFi3OUw=")</f>
        <v>#VALUE!</v>
      </c>
      <c r="BZ17" s="22" t="e">
        <f aca="false">AND('Current Index'!C417,"AAAAAFi3OU0=")</f>
        <v>#VALUE!</v>
      </c>
      <c r="CA17" s="22" t="e">
        <f aca="false">AND('Current Index'!D417,"AAAAAFi3OU4=")</f>
        <v>#VALUE!</v>
      </c>
      <c r="CB17" s="22" t="e">
        <f aca="false">AND('Current Index'!E417,"AAAAAFi3OU8=")</f>
        <v>#VALUE!</v>
      </c>
      <c r="CC17" s="22" t="e">
        <f aca="false">AND('Current Index'!F417,"AAAAAFi3OVA=")</f>
        <v>#VALUE!</v>
      </c>
      <c r="CD17" s="22" t="e">
        <f aca="false">AND('Current Index'!G417,"AAAAAFi3OVE=")</f>
        <v>#VALUE!</v>
      </c>
      <c r="CE17" s="22" t="e">
        <f aca="false">AND('Current Index'!H417,"AAAAAFi3OVI=")</f>
        <v>#VALUE!</v>
      </c>
      <c r="CF17" s="22" t="e">
        <f aca="false">AND('Current Index'!I417,"AAAAAFi3OVM=")</f>
        <v>#VALUE!</v>
      </c>
      <c r="CG17" s="22" t="n">
        <f aca="false">IF('Current Index'!418:418,"AAAAAFi3OVQ=",0)</f>
        <v>0</v>
      </c>
      <c r="CH17" s="22" t="e">
        <f aca="false">AND('Current Index'!A418,"AAAAAFi3OVU=")</f>
        <v>#VALUE!</v>
      </c>
      <c r="CI17" s="22" t="e">
        <f aca="false">AND('current index'!#ref!,"AAAAAFi3OVY=")</f>
        <v>#VALUE!</v>
      </c>
      <c r="CJ17" s="22" t="e">
        <f aca="false">AND('Current Index'!B418,"AAAAAFi3OVc=")</f>
        <v>#VALUE!</v>
      </c>
      <c r="CK17" s="22" t="e">
        <f aca="false">AND('Current Index'!C418,"AAAAAFi3OVg=")</f>
        <v>#VALUE!</v>
      </c>
      <c r="CL17" s="22" t="e">
        <f aca="false">AND('Current Index'!D418,"AAAAAFi3OVk=")</f>
        <v>#VALUE!</v>
      </c>
      <c r="CM17" s="22" t="e">
        <f aca="false">AND('Current Index'!E418,"AAAAAFi3OVo=")</f>
        <v>#VALUE!</v>
      </c>
      <c r="CN17" s="22" t="e">
        <f aca="false">AND('Current Index'!F418,"AAAAAFi3OVs=")</f>
        <v>#VALUE!</v>
      </c>
      <c r="CO17" s="22" t="e">
        <f aca="false">AND('Current Index'!G418,"AAAAAFi3OVw=")</f>
        <v>#VALUE!</v>
      </c>
      <c r="CP17" s="22" t="e">
        <f aca="false">AND('Current Index'!H418,"AAAAAFi3OV0=")</f>
        <v>#VALUE!</v>
      </c>
      <c r="CQ17" s="22" t="e">
        <f aca="false">AND('Current Index'!I418,"AAAAAFi3OV4=")</f>
        <v>#VALUE!</v>
      </c>
      <c r="CR17" s="22" t="n">
        <f aca="false">IF('Current Index'!419:419,"AAAAAFi3OV8=",0)</f>
        <v>0</v>
      </c>
      <c r="CS17" s="22" t="e">
        <f aca="false">AND('Current Index'!A419,"AAAAAFi3OWA=")</f>
        <v>#VALUE!</v>
      </c>
      <c r="CT17" s="22" t="e">
        <f aca="false">AND('current index'!#ref!,"AAAAAFi3OWE=")</f>
        <v>#VALUE!</v>
      </c>
      <c r="CU17" s="22" t="e">
        <f aca="false">AND('Current Index'!B419,"AAAAAFi3OWI=")</f>
        <v>#VALUE!</v>
      </c>
      <c r="CV17" s="22" t="e">
        <f aca="false">AND('Current Index'!C419,"AAAAAFi3OWM=")</f>
        <v>#VALUE!</v>
      </c>
      <c r="CW17" s="22" t="e">
        <f aca="false">AND('Current Index'!D419,"AAAAAFi3OWQ=")</f>
        <v>#VALUE!</v>
      </c>
      <c r="CX17" s="22" t="e">
        <f aca="false">AND('Current Index'!E419,"AAAAAFi3OWU=")</f>
        <v>#VALUE!</v>
      </c>
      <c r="CY17" s="22" t="e">
        <f aca="false">AND('Current Index'!F419,"AAAAAFi3OWY=")</f>
        <v>#VALUE!</v>
      </c>
      <c r="CZ17" s="22" t="e">
        <f aca="false">AND('Current Index'!G419,"AAAAAFi3OWc=")</f>
        <v>#VALUE!</v>
      </c>
      <c r="DA17" s="22" t="e">
        <f aca="false">AND('Current Index'!H419,"AAAAAFi3OWg=")</f>
        <v>#VALUE!</v>
      </c>
      <c r="DB17" s="22" t="e">
        <f aca="false">AND('Current Index'!I419,"AAAAAFi3OWk=")</f>
        <v>#VALUE!</v>
      </c>
      <c r="DC17" s="22" t="n">
        <f aca="false">IF('Current Index'!420:420,"AAAAAFi3OWo=",0)</f>
        <v>0</v>
      </c>
      <c r="DD17" s="22" t="e">
        <f aca="false">AND('Current Index'!A420,"AAAAAFi3OWs=")</f>
        <v>#VALUE!</v>
      </c>
      <c r="DE17" s="22" t="e">
        <f aca="false">AND('current index'!#ref!,"AAAAAFi3OWw=")</f>
        <v>#VALUE!</v>
      </c>
      <c r="DF17" s="22" t="e">
        <f aca="false">AND('Current Index'!B420,"AAAAAFi3OW0=")</f>
        <v>#VALUE!</v>
      </c>
      <c r="DG17" s="22" t="e">
        <f aca="false">AND('Current Index'!C420,"AAAAAFi3OW4=")</f>
        <v>#VALUE!</v>
      </c>
      <c r="DH17" s="22" t="e">
        <f aca="false">AND('Current Index'!D420,"AAAAAFi3OW8=")</f>
        <v>#VALUE!</v>
      </c>
      <c r="DI17" s="22" t="e">
        <f aca="false">AND('Current Index'!E420,"AAAAAFi3OXA=")</f>
        <v>#VALUE!</v>
      </c>
      <c r="DJ17" s="22" t="e">
        <f aca="false">AND('Current Index'!F420,"AAAAAFi3OXE=")</f>
        <v>#VALUE!</v>
      </c>
      <c r="DK17" s="22" t="e">
        <f aca="false">AND('Current Index'!G420,"AAAAAFi3OXI=")</f>
        <v>#VALUE!</v>
      </c>
      <c r="DL17" s="22" t="e">
        <f aca="false">AND('Current Index'!H420,"AAAAAFi3OXM=")</f>
        <v>#VALUE!</v>
      </c>
      <c r="DM17" s="22" t="e">
        <f aca="false">AND('Current Index'!I420,"AAAAAFi3OXQ=")</f>
        <v>#VALUE!</v>
      </c>
      <c r="DN17" s="22" t="n">
        <f aca="false">IF('Current Index'!421:421,"AAAAAFi3OXU=",0)</f>
        <v>0</v>
      </c>
      <c r="DO17" s="22" t="e">
        <f aca="false">AND('Current Index'!A421,"AAAAAFi3OXY=")</f>
        <v>#VALUE!</v>
      </c>
      <c r="DP17" s="22" t="e">
        <f aca="false">AND('current index'!#ref!,"AAAAAFi3OXc=")</f>
        <v>#VALUE!</v>
      </c>
      <c r="DQ17" s="22" t="e">
        <f aca="false">AND('Current Index'!B421,"AAAAAFi3OXg=")</f>
        <v>#VALUE!</v>
      </c>
      <c r="DR17" s="22" t="e">
        <f aca="false">AND('Current Index'!C421,"AAAAAFi3OXk=")</f>
        <v>#VALUE!</v>
      </c>
      <c r="DS17" s="22" t="e">
        <f aca="false">AND('Current Index'!D421,"AAAAAFi3OXo=")</f>
        <v>#VALUE!</v>
      </c>
      <c r="DT17" s="22" t="e">
        <f aca="false">AND('Current Index'!E421,"AAAAAFi3OXs=")</f>
        <v>#VALUE!</v>
      </c>
      <c r="DU17" s="22" t="e">
        <f aca="false">AND('Current Index'!F421,"AAAAAFi3OXw=")</f>
        <v>#VALUE!</v>
      </c>
      <c r="DV17" s="22" t="e">
        <f aca="false">AND('Current Index'!G421,"AAAAAFi3OX0=")</f>
        <v>#VALUE!</v>
      </c>
      <c r="DW17" s="22" t="e">
        <f aca="false">AND('Current Index'!H421,"AAAAAFi3OX4=")</f>
        <v>#VALUE!</v>
      </c>
      <c r="DX17" s="22" t="e">
        <f aca="false">AND('Current Index'!I421,"AAAAAFi3OX8=")</f>
        <v>#VALUE!</v>
      </c>
      <c r="DY17" s="22" t="n">
        <f aca="false">IF('Current Index'!422:422,"AAAAAFi3OYA=",0)</f>
        <v>0</v>
      </c>
      <c r="DZ17" s="22" t="e">
        <f aca="false">AND('Current Index'!A422,"AAAAAFi3OYE=")</f>
        <v>#VALUE!</v>
      </c>
      <c r="EA17" s="22" t="e">
        <f aca="false">AND('current index'!#ref!,"AAAAAFi3OYI=")</f>
        <v>#VALUE!</v>
      </c>
      <c r="EB17" s="22" t="e">
        <f aca="false">AND('Current Index'!B422,"AAAAAFi3OYM=")</f>
        <v>#VALUE!</v>
      </c>
      <c r="EC17" s="22" t="e">
        <f aca="false">AND('Current Index'!C422,"AAAAAFi3OYQ=")</f>
        <v>#VALUE!</v>
      </c>
      <c r="ED17" s="22" t="e">
        <f aca="false">AND('Current Index'!D422,"AAAAAFi3OYU=")</f>
        <v>#VALUE!</v>
      </c>
      <c r="EE17" s="22" t="e">
        <f aca="false">AND('Current Index'!E422,"AAAAAFi3OYY=")</f>
        <v>#VALUE!</v>
      </c>
      <c r="EF17" s="22" t="e">
        <f aca="false">AND('Current Index'!F422,"AAAAAFi3OYc=")</f>
        <v>#VALUE!</v>
      </c>
      <c r="EG17" s="22" t="e">
        <f aca="false">AND('Current Index'!G422,"AAAAAFi3OYg=")</f>
        <v>#VALUE!</v>
      </c>
      <c r="EH17" s="22" t="e">
        <f aca="false">AND('Current Index'!H422,"AAAAAFi3OYk=")</f>
        <v>#VALUE!</v>
      </c>
      <c r="EI17" s="22" t="e">
        <f aca="false">AND('Current Index'!I422,"AAAAAFi3OYo=")</f>
        <v>#VALUE!</v>
      </c>
      <c r="EJ17" s="22" t="n">
        <f aca="false">IF('Current Index'!423:423,"AAAAAFi3OYs=",0)</f>
        <v>0</v>
      </c>
      <c r="EK17" s="22" t="e">
        <f aca="false">AND('Current Index'!A423,"AAAAAFi3OYw=")</f>
        <v>#VALUE!</v>
      </c>
      <c r="EL17" s="22" t="e">
        <f aca="false">AND('current index'!#ref!,"AAAAAFi3OY0=")</f>
        <v>#VALUE!</v>
      </c>
      <c r="EM17" s="22" t="e">
        <f aca="false">AND('Current Index'!B423,"AAAAAFi3OY4=")</f>
        <v>#VALUE!</v>
      </c>
      <c r="EN17" s="22" t="e">
        <f aca="false">AND('Current Index'!C423,"AAAAAFi3OY8=")</f>
        <v>#VALUE!</v>
      </c>
      <c r="EO17" s="22" t="e">
        <f aca="false">AND('Current Index'!D423,"AAAAAFi3OZA=")</f>
        <v>#VALUE!</v>
      </c>
      <c r="EP17" s="22" t="e">
        <f aca="false">AND('Current Index'!E423,"AAAAAFi3OZE=")</f>
        <v>#VALUE!</v>
      </c>
      <c r="EQ17" s="22" t="e">
        <f aca="false">AND('Current Index'!F423,"AAAAAFi3OZI=")</f>
        <v>#VALUE!</v>
      </c>
      <c r="ER17" s="22" t="e">
        <f aca="false">AND('Current Index'!G423,"AAAAAFi3OZM=")</f>
        <v>#VALUE!</v>
      </c>
      <c r="ES17" s="22" t="e">
        <f aca="false">AND('Current Index'!H423,"AAAAAFi3OZQ=")</f>
        <v>#VALUE!</v>
      </c>
      <c r="ET17" s="22" t="e">
        <f aca="false">AND('Current Index'!I423,"AAAAAFi3OZU=")</f>
        <v>#VALUE!</v>
      </c>
      <c r="EU17" s="22" t="e">
        <f aca="false">IF('current index'!#ref!,"AAAAAFi3OZY=",0)</f>
        <v>#VALUE!</v>
      </c>
      <c r="EV17" s="22" t="e">
        <f aca="false">AND('current index'!#ref!,"AAAAAFi3OZc=")</f>
        <v>#VALUE!</v>
      </c>
      <c r="EW17" s="22" t="e">
        <f aca="false">AND('current index'!#ref!,"AAAAAFi3OZg=")</f>
        <v>#VALUE!</v>
      </c>
      <c r="EX17" s="22" t="e">
        <f aca="false">AND('current index'!#ref!,"AAAAAFi3OZk=")</f>
        <v>#VALUE!</v>
      </c>
      <c r="EY17" s="22" t="e">
        <f aca="false">AND('current index'!#ref!,"AAAAAFi3OZo=")</f>
        <v>#VALUE!</v>
      </c>
      <c r="EZ17" s="22" t="e">
        <f aca="false">AND('current index'!#ref!,"AAAAAFi3OZs=")</f>
        <v>#VALUE!</v>
      </c>
      <c r="FA17" s="22" t="e">
        <f aca="false">AND('current index'!#ref!,"AAAAAFi3OZw=")</f>
        <v>#VALUE!</v>
      </c>
      <c r="FB17" s="22" t="e">
        <f aca="false">AND('current index'!#ref!,"AAAAAFi3OZ0=")</f>
        <v>#VALUE!</v>
      </c>
      <c r="FC17" s="22" t="e">
        <f aca="false">AND('current index'!#ref!,"AAAAAFi3OZ4=")</f>
        <v>#VALUE!</v>
      </c>
      <c r="FD17" s="22" t="e">
        <f aca="false">AND('current index'!#ref!,"AAAAAFi3OZ8=")</f>
        <v>#VALUE!</v>
      </c>
      <c r="FE17" s="22" t="e">
        <f aca="false">AND('current index'!#ref!,"AAAAAFi3OaA=")</f>
        <v>#VALUE!</v>
      </c>
      <c r="FF17" s="22" t="n">
        <f aca="false">IF('Current Index'!424:424,"AAAAAFi3OaE=",0)</f>
        <v>0</v>
      </c>
      <c r="FG17" s="22" t="e">
        <f aca="false">AND('Current Index'!A424,"AAAAAFi3OaI=")</f>
        <v>#VALUE!</v>
      </c>
      <c r="FH17" s="22" t="e">
        <f aca="false">AND('current index'!#ref!,"AAAAAFi3OaM=")</f>
        <v>#VALUE!</v>
      </c>
      <c r="FI17" s="22" t="e">
        <f aca="false">AND('Current Index'!B424,"AAAAAFi3OaQ=")</f>
        <v>#VALUE!</v>
      </c>
      <c r="FJ17" s="22" t="e">
        <f aca="false">AND('Current Index'!C424,"AAAAAFi3OaU=")</f>
        <v>#VALUE!</v>
      </c>
      <c r="FK17" s="22" t="e">
        <f aca="false">AND('Current Index'!D424,"AAAAAFi3OaY=")</f>
        <v>#VALUE!</v>
      </c>
      <c r="FL17" s="22" t="e">
        <f aca="false">AND('Current Index'!E424,"AAAAAFi3Oac=")</f>
        <v>#VALUE!</v>
      </c>
      <c r="FM17" s="22" t="e">
        <f aca="false">AND('Current Index'!F424,"AAAAAFi3Oag=")</f>
        <v>#VALUE!</v>
      </c>
      <c r="FN17" s="22" t="e">
        <f aca="false">AND('Current Index'!G424,"AAAAAFi3Oak=")</f>
        <v>#VALUE!</v>
      </c>
      <c r="FO17" s="22" t="e">
        <f aca="false">AND('Current Index'!H424,"AAAAAFi3Oao=")</f>
        <v>#VALUE!</v>
      </c>
      <c r="FP17" s="22" t="e">
        <f aca="false">AND('Current Index'!I424,"AAAAAFi3Oas=")</f>
        <v>#VALUE!</v>
      </c>
      <c r="FQ17" s="22" t="n">
        <f aca="false">IF('Current Index'!435:435,"AAAAAFi3Oaw=",0)</f>
        <v>0</v>
      </c>
      <c r="FR17" s="22" t="e">
        <f aca="false">AND('Current Index'!A435,"AAAAAFi3Oa0=")</f>
        <v>#VALUE!</v>
      </c>
      <c r="FS17" s="22" t="e">
        <f aca="false">AND('current index'!#ref!,"AAAAAFi3Oa4=")</f>
        <v>#VALUE!</v>
      </c>
      <c r="FT17" s="22" t="e">
        <f aca="false">AND('Current Index'!B435,"AAAAAFi3Oa8=")</f>
        <v>#VALUE!</v>
      </c>
      <c r="FU17" s="22" t="e">
        <f aca="false">AND('Current Index'!C435,"AAAAAFi3ObA=")</f>
        <v>#VALUE!</v>
      </c>
      <c r="FV17" s="22" t="e">
        <f aca="false">AND('Current Index'!D435,"AAAAAFi3ObE=")</f>
        <v>#VALUE!</v>
      </c>
      <c r="FW17" s="22" t="e">
        <f aca="false">AND('Current Index'!E435,"AAAAAFi3ObI=")</f>
        <v>#VALUE!</v>
      </c>
      <c r="FX17" s="22" t="e">
        <f aca="false">AND('Current Index'!F435,"AAAAAFi3ObM=")</f>
        <v>#VALUE!</v>
      </c>
      <c r="FY17" s="22" t="e">
        <f aca="false">AND('Current Index'!G435,"AAAAAFi3ObQ=")</f>
        <v>#VALUE!</v>
      </c>
      <c r="FZ17" s="22" t="e">
        <f aca="false">AND('Current Index'!H435,"AAAAAFi3ObU=")</f>
        <v>#VALUE!</v>
      </c>
      <c r="GA17" s="22" t="e">
        <f aca="false">AND('Current Index'!I435,"AAAAAFi3ObY=")</f>
        <v>#VALUE!</v>
      </c>
      <c r="GB17" s="22" t="n">
        <f aca="false">IF('Current Index'!436:436,"AAAAAFi3Obc=",0)</f>
        <v>0</v>
      </c>
      <c r="GC17" s="22" t="e">
        <f aca="false">AND('Current Index'!A436,"AAAAAFi3Obg=")</f>
        <v>#VALUE!</v>
      </c>
      <c r="GD17" s="22" t="e">
        <f aca="false">AND('current index'!#ref!,"AAAAAFi3Obk=")</f>
        <v>#VALUE!</v>
      </c>
      <c r="GE17" s="22" t="e">
        <f aca="false">AND('Current Index'!B436,"AAAAAFi3Obo=")</f>
        <v>#VALUE!</v>
      </c>
      <c r="GF17" s="22" t="e">
        <f aca="false">AND('Current Index'!C436,"AAAAAFi3Obs=")</f>
        <v>#VALUE!</v>
      </c>
      <c r="GG17" s="22" t="e">
        <f aca="false">AND('Current Index'!D436,"AAAAAFi3Obw=")</f>
        <v>#VALUE!</v>
      </c>
      <c r="GH17" s="22" t="e">
        <f aca="false">AND('Current Index'!E436,"AAAAAFi3Ob0=")</f>
        <v>#VALUE!</v>
      </c>
      <c r="GI17" s="22" t="e">
        <f aca="false">AND('Current Index'!F436,"AAAAAFi3Ob4=")</f>
        <v>#VALUE!</v>
      </c>
      <c r="GJ17" s="22" t="e">
        <f aca="false">AND('Current Index'!G436,"AAAAAFi3Ob8=")</f>
        <v>#VALUE!</v>
      </c>
      <c r="GK17" s="22" t="e">
        <f aca="false">AND('Current Index'!H436,"AAAAAFi3OcA=")</f>
        <v>#VALUE!</v>
      </c>
      <c r="GL17" s="22" t="e">
        <f aca="false">AND('Current Index'!I436,"AAAAAFi3OcE=")</f>
        <v>#VALUE!</v>
      </c>
      <c r="GM17" s="22" t="n">
        <f aca="false">IF('Current Index'!437:437,"AAAAAFi3OcI=",0)</f>
        <v>0</v>
      </c>
      <c r="GN17" s="22" t="e">
        <f aca="false">AND('Current Index'!A437,"AAAAAFi3OcM=")</f>
        <v>#VALUE!</v>
      </c>
      <c r="GO17" s="22" t="e">
        <f aca="false">AND('current index'!#ref!,"AAAAAFi3OcQ=")</f>
        <v>#VALUE!</v>
      </c>
      <c r="GP17" s="22" t="e">
        <f aca="false">AND('Current Index'!B437,"AAAAAFi3OcU=")</f>
        <v>#VALUE!</v>
      </c>
      <c r="GQ17" s="22" t="e">
        <f aca="false">AND('Current Index'!C437,"AAAAAFi3OcY=")</f>
        <v>#VALUE!</v>
      </c>
      <c r="GR17" s="22" t="e">
        <f aca="false">AND('Current Index'!D437,"AAAAAFi3Occ=")</f>
        <v>#VALUE!</v>
      </c>
      <c r="GS17" s="22" t="e">
        <f aca="false">AND('Current Index'!E437,"AAAAAFi3Ocg=")</f>
        <v>#VALUE!</v>
      </c>
      <c r="GT17" s="22" t="e">
        <f aca="false">AND('Current Index'!F437,"AAAAAFi3Ock=")</f>
        <v>#VALUE!</v>
      </c>
      <c r="GU17" s="22" t="e">
        <f aca="false">AND('Current Index'!G437,"AAAAAFi3Oco=")</f>
        <v>#VALUE!</v>
      </c>
      <c r="GV17" s="22" t="e">
        <f aca="false">AND('Current Index'!H437,"AAAAAFi3Ocs=")</f>
        <v>#VALUE!</v>
      </c>
      <c r="GW17" s="22" t="e">
        <f aca="false">AND('Current Index'!I437,"AAAAAFi3Ocw=")</f>
        <v>#VALUE!</v>
      </c>
      <c r="GX17" s="22" t="n">
        <f aca="false">IF('Current Index'!438:438,"AAAAAFi3Oc0=",0)</f>
        <v>0</v>
      </c>
      <c r="GY17" s="22" t="e">
        <f aca="false">AND('Current Index'!A438,"AAAAAFi3Oc4=")</f>
        <v>#VALUE!</v>
      </c>
      <c r="GZ17" s="22" t="e">
        <f aca="false">AND('current index'!#ref!,"AAAAAFi3Oc8=")</f>
        <v>#VALUE!</v>
      </c>
      <c r="HA17" s="22" t="e">
        <f aca="false">AND('Current Index'!B438,"AAAAAFi3OdA=")</f>
        <v>#VALUE!</v>
      </c>
      <c r="HB17" s="22" t="e">
        <f aca="false">AND('Current Index'!C438,"AAAAAFi3OdE=")</f>
        <v>#VALUE!</v>
      </c>
      <c r="HC17" s="22" t="e">
        <f aca="false">AND('Current Index'!D438,"AAAAAFi3OdI=")</f>
        <v>#VALUE!</v>
      </c>
      <c r="HD17" s="22" t="e">
        <f aca="false">AND('Current Index'!E438,"AAAAAFi3OdM=")</f>
        <v>#VALUE!</v>
      </c>
      <c r="HE17" s="22" t="e">
        <f aca="false">AND('Current Index'!F438,"AAAAAFi3OdQ=")</f>
        <v>#VALUE!</v>
      </c>
      <c r="HF17" s="22" t="e">
        <f aca="false">AND('Current Index'!G438,"AAAAAFi3OdU=")</f>
        <v>#VALUE!</v>
      </c>
      <c r="HG17" s="22" t="e">
        <f aca="false">AND('Current Index'!H438,"AAAAAFi3OdY=")</f>
        <v>#VALUE!</v>
      </c>
      <c r="HH17" s="22" t="e">
        <f aca="false">AND('Current Index'!I438,"AAAAAFi3Odc=")</f>
        <v>#VALUE!</v>
      </c>
      <c r="HI17" s="22" t="n">
        <f aca="false">IF('Current Index'!439:439,"AAAAAFi3Odg=",0)</f>
        <v>0</v>
      </c>
      <c r="HJ17" s="22" t="e">
        <f aca="false">AND('Current Index'!A439,"AAAAAFi3Odk=")</f>
        <v>#VALUE!</v>
      </c>
      <c r="HK17" s="22" t="e">
        <f aca="false">AND('current index'!#ref!,"AAAAAFi3Odo=")</f>
        <v>#VALUE!</v>
      </c>
      <c r="HL17" s="22" t="e">
        <f aca="false">AND('Current Index'!B439,"AAAAAFi3Ods=")</f>
        <v>#VALUE!</v>
      </c>
      <c r="HM17" s="22" t="e">
        <f aca="false">AND('Current Index'!C439,"AAAAAFi3Odw=")</f>
        <v>#VALUE!</v>
      </c>
      <c r="HN17" s="22" t="e">
        <f aca="false">AND('Current Index'!D439,"AAAAAFi3Od0=")</f>
        <v>#VALUE!</v>
      </c>
      <c r="HO17" s="22" t="e">
        <f aca="false">AND('Current Index'!E439,"AAAAAFi3Od4=")</f>
        <v>#VALUE!</v>
      </c>
      <c r="HP17" s="22" t="e">
        <f aca="false">AND('Current Index'!F439,"AAAAAFi3Od8=")</f>
        <v>#VALUE!</v>
      </c>
      <c r="HQ17" s="22" t="e">
        <f aca="false">AND('Current Index'!G439,"AAAAAFi3OeA=")</f>
        <v>#VALUE!</v>
      </c>
      <c r="HR17" s="22" t="e">
        <f aca="false">AND('Current Index'!H439,"AAAAAFi3OeE=")</f>
        <v>#VALUE!</v>
      </c>
      <c r="HS17" s="22" t="e">
        <f aca="false">AND('Current Index'!I439,"AAAAAFi3OeI=")</f>
        <v>#VALUE!</v>
      </c>
      <c r="HT17" s="22" t="n">
        <f aca="false">IF('Current Index'!440:440,"AAAAAFi3OeM=",0)</f>
        <v>0</v>
      </c>
      <c r="HU17" s="22" t="e">
        <f aca="false">AND('Current Index'!A440,"AAAAAFi3OeQ=")</f>
        <v>#VALUE!</v>
      </c>
      <c r="HV17" s="22" t="e">
        <f aca="false">AND('current index'!#ref!,"AAAAAFi3OeU=")</f>
        <v>#VALUE!</v>
      </c>
      <c r="HW17" s="22" t="e">
        <f aca="false">AND('Current Index'!B440,"AAAAAFi3OeY=")</f>
        <v>#VALUE!</v>
      </c>
      <c r="HX17" s="22" t="e">
        <f aca="false">AND('Current Index'!C440,"AAAAAFi3Oec=")</f>
        <v>#VALUE!</v>
      </c>
      <c r="HY17" s="22" t="e">
        <f aca="false">AND('Current Index'!D440,"AAAAAFi3Oeg=")</f>
        <v>#VALUE!</v>
      </c>
      <c r="HZ17" s="22" t="e">
        <f aca="false">AND('Current Index'!E440,"AAAAAFi3Oek=")</f>
        <v>#VALUE!</v>
      </c>
      <c r="IA17" s="22" t="e">
        <f aca="false">AND('Current Index'!F440,"AAAAAFi3Oeo=")</f>
        <v>#VALUE!</v>
      </c>
      <c r="IB17" s="22" t="e">
        <f aca="false">AND('Current Index'!G440,"AAAAAFi3Oes=")</f>
        <v>#VALUE!</v>
      </c>
      <c r="IC17" s="22" t="e">
        <f aca="false">AND('Current Index'!H440,"AAAAAFi3Oew=")</f>
        <v>#VALUE!</v>
      </c>
      <c r="ID17" s="22" t="e">
        <f aca="false">AND('Current Index'!I440,"AAAAAFi3Oe0=")</f>
        <v>#VALUE!</v>
      </c>
      <c r="IE17" s="22" t="n">
        <f aca="false">IF('Current Index'!441:441,"AAAAAFi3Oe4=",0)</f>
        <v>0</v>
      </c>
      <c r="IF17" s="22" t="e">
        <f aca="false">AND('Current Index'!A441,"AAAAAFi3Oe8=")</f>
        <v>#VALUE!</v>
      </c>
      <c r="IG17" s="22" t="e">
        <f aca="false">AND('current index'!#ref!,"AAAAAFi3OfA=")</f>
        <v>#VALUE!</v>
      </c>
      <c r="IH17" s="22" t="e">
        <f aca="false">AND('Current Index'!B441,"AAAAAFi3OfE=")</f>
        <v>#VALUE!</v>
      </c>
      <c r="II17" s="22" t="e">
        <f aca="false">AND('Current Index'!C441,"AAAAAFi3OfI=")</f>
        <v>#VALUE!</v>
      </c>
      <c r="IJ17" s="22" t="e">
        <f aca="false">AND('Current Index'!D441,"AAAAAFi3OfM=")</f>
        <v>#VALUE!</v>
      </c>
      <c r="IK17" s="22" t="e">
        <f aca="false">AND('Current Index'!E441,"AAAAAFi3OfQ=")</f>
        <v>#VALUE!</v>
      </c>
      <c r="IL17" s="22" t="e">
        <f aca="false">AND('Current Index'!F441,"AAAAAFi3OfU=")</f>
        <v>#VALUE!</v>
      </c>
      <c r="IM17" s="22" t="e">
        <f aca="false">AND('Current Index'!G441,"AAAAAFi3OfY=")</f>
        <v>#VALUE!</v>
      </c>
      <c r="IN17" s="22" t="e">
        <f aca="false">AND('Current Index'!H441,"AAAAAFi3Ofc=")</f>
        <v>#VALUE!</v>
      </c>
      <c r="IO17" s="22" t="e">
        <f aca="false">AND('Current Index'!I441,"AAAAAFi3Ofg=")</f>
        <v>#VALUE!</v>
      </c>
      <c r="IP17" s="22" t="n">
        <f aca="false">IF('Current Index'!442:442,"AAAAAFi3Ofk=",0)</f>
        <v>0</v>
      </c>
      <c r="IQ17" s="22" t="e">
        <f aca="false">AND('Current Index'!A442,"AAAAAFi3Ofo=")</f>
        <v>#VALUE!</v>
      </c>
      <c r="IR17" s="22" t="e">
        <f aca="false">AND('current index'!#ref!,"AAAAAFi3Ofs=")</f>
        <v>#VALUE!</v>
      </c>
      <c r="IS17" s="22" t="e">
        <f aca="false">AND('Current Index'!B442,"AAAAAFi3Ofw=")</f>
        <v>#VALUE!</v>
      </c>
      <c r="IT17" s="22" t="e">
        <f aca="false">AND('Current Index'!C442,"AAAAAFi3Of0=")</f>
        <v>#VALUE!</v>
      </c>
      <c r="IU17" s="22" t="e">
        <f aca="false">AND('Current Index'!D442,"AAAAAFi3Of4=")</f>
        <v>#VALUE!</v>
      </c>
      <c r="IV17" s="22" t="e">
        <f aca="false">AND('Current Index'!E442,"AAAAAFi3Of8=")</f>
        <v>#VALUE!</v>
      </c>
    </row>
    <row r="18" customFormat="false" ht="12.75" hidden="false" customHeight="false" outlineLevel="0" collapsed="false">
      <c r="A18" s="22" t="e">
        <f aca="false">AND('Current Index'!F442,"AAAAAHf37wA=")</f>
        <v>#VALUE!</v>
      </c>
      <c r="B18" s="22" t="e">
        <f aca="false">AND('Current Index'!G442,"AAAAAHf37wE=")</f>
        <v>#VALUE!</v>
      </c>
      <c r="C18" s="22" t="e">
        <f aca="false">AND('Current Index'!H442,"AAAAAHf37wI=")</f>
        <v>#VALUE!</v>
      </c>
      <c r="D18" s="22" t="e">
        <f aca="false">AND('Current Index'!I442,"AAAAAHf37wM=")</f>
        <v>#VALUE!</v>
      </c>
      <c r="E18" s="22" t="e">
        <f aca="false">IF('Current Index'!443:443,"AAAAAHf37wQ=",0)</f>
        <v>#VALUE!</v>
      </c>
      <c r="F18" s="22" t="e">
        <f aca="false">AND('Current Index'!A443,"AAAAAHf37wU=")</f>
        <v>#VALUE!</v>
      </c>
      <c r="G18" s="22" t="e">
        <f aca="false">AND('current index'!#ref!,"AAAAAHf37wY=")</f>
        <v>#VALUE!</v>
      </c>
      <c r="H18" s="22" t="e">
        <f aca="false">AND('Current Index'!B443,"AAAAAHf37wc=")</f>
        <v>#VALUE!</v>
      </c>
      <c r="I18" s="22" t="e">
        <f aca="false">AND('Current Index'!C443,"AAAAAHf37wg=")</f>
        <v>#VALUE!</v>
      </c>
      <c r="J18" s="22" t="e">
        <f aca="false">AND('Current Index'!D443,"AAAAAHf37wk=")</f>
        <v>#VALUE!</v>
      </c>
      <c r="K18" s="22" t="e">
        <f aca="false">AND('Current Index'!E443,"AAAAAHf37wo=")</f>
        <v>#VALUE!</v>
      </c>
      <c r="L18" s="22" t="e">
        <f aca="false">AND('Current Index'!F443,"AAAAAHf37ws=")</f>
        <v>#VALUE!</v>
      </c>
      <c r="M18" s="22" t="e">
        <f aca="false">AND('Current Index'!G443,"AAAAAHf37ww=")</f>
        <v>#VALUE!</v>
      </c>
      <c r="N18" s="22" t="e">
        <f aca="false">AND('Current Index'!H443,"AAAAAHf37w0=")</f>
        <v>#VALUE!</v>
      </c>
      <c r="O18" s="22" t="e">
        <f aca="false">AND('Current Index'!I443,"AAAAAHf37w4=")</f>
        <v>#VALUE!</v>
      </c>
      <c r="P18" s="22" t="n">
        <f aca="false">IF('Current Index'!444:444,"AAAAAHf37w8=",0)</f>
        <v>0</v>
      </c>
      <c r="Q18" s="22" t="e">
        <f aca="false">AND('Current Index'!A444,"AAAAAHf37xA=")</f>
        <v>#VALUE!</v>
      </c>
      <c r="R18" s="22" t="e">
        <f aca="false">AND('current index'!#ref!,"AAAAAHf37xE=")</f>
        <v>#VALUE!</v>
      </c>
      <c r="S18" s="22" t="e">
        <f aca="false">AND('Current Index'!B444,"AAAAAHf37xI=")</f>
        <v>#VALUE!</v>
      </c>
      <c r="T18" s="22" t="e">
        <f aca="false">AND('Current Index'!C444,"AAAAAHf37xM=")</f>
        <v>#VALUE!</v>
      </c>
      <c r="U18" s="22" t="e">
        <f aca="false">AND('Current Index'!D444,"AAAAAHf37xQ=")</f>
        <v>#VALUE!</v>
      </c>
      <c r="V18" s="22" t="e">
        <f aca="false">AND('Current Index'!E444,"AAAAAHf37xU=")</f>
        <v>#VALUE!</v>
      </c>
      <c r="W18" s="22" t="e">
        <f aca="false">AND('Current Index'!F444,"AAAAAHf37xY=")</f>
        <v>#VALUE!</v>
      </c>
      <c r="X18" s="22" t="e">
        <f aca="false">AND('Current Index'!G444,"AAAAAHf37xc=")</f>
        <v>#VALUE!</v>
      </c>
      <c r="Y18" s="22" t="e">
        <f aca="false">AND('Current Index'!H444,"AAAAAHf37xg=")</f>
        <v>#VALUE!</v>
      </c>
      <c r="Z18" s="22" t="e">
        <f aca="false">AND('Current Index'!I444,"AAAAAHf37xk=")</f>
        <v>#VALUE!</v>
      </c>
      <c r="AA18" s="22" t="n">
        <f aca="false">IF('Current Index'!445:445,"AAAAAHf37xo=",0)</f>
        <v>0</v>
      </c>
      <c r="AB18" s="22" t="e">
        <f aca="false">AND('Current Index'!A445,"AAAAAHf37xs=")</f>
        <v>#VALUE!</v>
      </c>
      <c r="AC18" s="22" t="e">
        <f aca="false">AND('current index'!#ref!,"AAAAAHf37xw=")</f>
        <v>#VALUE!</v>
      </c>
      <c r="AD18" s="22" t="e">
        <f aca="false">AND('Current Index'!B445,"AAAAAHf37x0=")</f>
        <v>#VALUE!</v>
      </c>
      <c r="AE18" s="22" t="e">
        <f aca="false">AND('Current Index'!C445,"AAAAAHf37x4=")</f>
        <v>#VALUE!</v>
      </c>
      <c r="AF18" s="22" t="e">
        <f aca="false">AND('Current Index'!D445,"AAAAAHf37x8=")</f>
        <v>#VALUE!</v>
      </c>
      <c r="AG18" s="22" t="e">
        <f aca="false">AND('Current Index'!E445,"AAAAAHf37yA=")</f>
        <v>#VALUE!</v>
      </c>
      <c r="AH18" s="22" t="e">
        <f aca="false">AND('Current Index'!F445,"AAAAAHf37yE=")</f>
        <v>#VALUE!</v>
      </c>
      <c r="AI18" s="22" t="e">
        <f aca="false">AND('Current Index'!G445,"AAAAAHf37yI=")</f>
        <v>#VALUE!</v>
      </c>
      <c r="AJ18" s="22" t="e">
        <f aca="false">AND('Current Index'!H445,"AAAAAHf37yM=")</f>
        <v>#VALUE!</v>
      </c>
      <c r="AK18" s="22" t="e">
        <f aca="false">AND('Current Index'!I445,"AAAAAHf37yQ=")</f>
        <v>#VALUE!</v>
      </c>
      <c r="AL18" s="22" t="n">
        <f aca="false">IF('Current Index'!446:446,"AAAAAHf37yU=",0)</f>
        <v>0</v>
      </c>
      <c r="AM18" s="22" t="e">
        <f aca="false">AND('Current Index'!A446,"AAAAAHf37yY=")</f>
        <v>#VALUE!</v>
      </c>
      <c r="AN18" s="22" t="e">
        <f aca="false">AND('current index'!#ref!,"AAAAAHf37yc=")</f>
        <v>#VALUE!</v>
      </c>
      <c r="AO18" s="22" t="e">
        <f aca="false">AND('Current Index'!B446,"AAAAAHf37yg=")</f>
        <v>#VALUE!</v>
      </c>
      <c r="AP18" s="22" t="e">
        <f aca="false">AND('Current Index'!C446,"AAAAAHf37yk=")</f>
        <v>#VALUE!</v>
      </c>
      <c r="AQ18" s="22" t="e">
        <f aca="false">AND('Current Index'!D446,"AAAAAHf37yo=")</f>
        <v>#VALUE!</v>
      </c>
      <c r="AR18" s="22" t="e">
        <f aca="false">AND('Current Index'!E446,"AAAAAHf37ys=")</f>
        <v>#VALUE!</v>
      </c>
      <c r="AS18" s="22" t="e">
        <f aca="false">AND('Current Index'!F446,"AAAAAHf37yw=")</f>
        <v>#VALUE!</v>
      </c>
      <c r="AT18" s="22" t="e">
        <f aca="false">AND('Current Index'!G446,"AAAAAHf37y0=")</f>
        <v>#VALUE!</v>
      </c>
      <c r="AU18" s="22" t="e">
        <f aca="false">AND('Current Index'!H446,"AAAAAHf37y4=")</f>
        <v>#VALUE!</v>
      </c>
      <c r="AV18" s="22" t="e">
        <f aca="false">AND('Current Index'!I446,"AAAAAHf37y8=")</f>
        <v>#VALUE!</v>
      </c>
      <c r="AW18" s="22" t="n">
        <f aca="false">IF('Current Index'!447:447,"AAAAAHf37zA=",0)</f>
        <v>0</v>
      </c>
      <c r="AX18" s="22" t="e">
        <f aca="false">AND('Current Index'!A447,"AAAAAHf37zE=")</f>
        <v>#VALUE!</v>
      </c>
      <c r="AY18" s="22" t="e">
        <f aca="false">AND('current index'!#ref!,"AAAAAHf37zI=")</f>
        <v>#VALUE!</v>
      </c>
      <c r="AZ18" s="22" t="e">
        <f aca="false">AND('Current Index'!B447,"AAAAAHf37zM=")</f>
        <v>#VALUE!</v>
      </c>
      <c r="BA18" s="22" t="e">
        <f aca="false">AND('Current Index'!C447,"AAAAAHf37zQ=")</f>
        <v>#VALUE!</v>
      </c>
      <c r="BB18" s="22" t="e">
        <f aca="false">AND('Current Index'!D447,"AAAAAHf37zU=")</f>
        <v>#VALUE!</v>
      </c>
      <c r="BC18" s="22" t="e">
        <f aca="false">AND('Current Index'!E447,"AAAAAHf37zY=")</f>
        <v>#VALUE!</v>
      </c>
      <c r="BD18" s="22" t="e">
        <f aca="false">AND('Current Index'!F447,"AAAAAHf37zc=")</f>
        <v>#VALUE!</v>
      </c>
      <c r="BE18" s="22" t="e">
        <f aca="false">AND('Current Index'!G447,"AAAAAHf37zg=")</f>
        <v>#VALUE!</v>
      </c>
      <c r="BF18" s="22" t="e">
        <f aca="false">AND('Current Index'!H447,"AAAAAHf37zk=")</f>
        <v>#VALUE!</v>
      </c>
      <c r="BG18" s="22" t="e">
        <f aca="false">AND('Current Index'!I447,"AAAAAHf37zo=")</f>
        <v>#VALUE!</v>
      </c>
      <c r="BH18" s="22" t="n">
        <f aca="false">IF('Current Index'!448:448,"AAAAAHf37zs=",0)</f>
        <v>0</v>
      </c>
      <c r="BI18" s="22" t="e">
        <f aca="false">AND('Current Index'!A448,"AAAAAHf37zw=")</f>
        <v>#VALUE!</v>
      </c>
      <c r="BJ18" s="22" t="e">
        <f aca="false">AND('current index'!#ref!,"AAAAAHf37z0=")</f>
        <v>#VALUE!</v>
      </c>
      <c r="BK18" s="22" t="e">
        <f aca="false">AND('Current Index'!B448,"AAAAAHf37z4=")</f>
        <v>#VALUE!</v>
      </c>
      <c r="BL18" s="22" t="e">
        <f aca="false">AND('Current Index'!C448,"AAAAAHf37z8=")</f>
        <v>#VALUE!</v>
      </c>
      <c r="BM18" s="22" t="e">
        <f aca="false">AND('Current Index'!D448,"AAAAAHf370A=")</f>
        <v>#VALUE!</v>
      </c>
      <c r="BN18" s="22" t="e">
        <f aca="false">AND('Current Index'!E448,"AAAAAHf370E=")</f>
        <v>#VALUE!</v>
      </c>
      <c r="BO18" s="22" t="e">
        <f aca="false">AND('Current Index'!F448,"AAAAAHf370I=")</f>
        <v>#VALUE!</v>
      </c>
      <c r="BP18" s="22" t="e">
        <f aca="false">AND('Current Index'!G448,"AAAAAHf370M=")</f>
        <v>#VALUE!</v>
      </c>
      <c r="BQ18" s="22" t="e">
        <f aca="false">AND('Current Index'!H448,"AAAAAHf370Q=")</f>
        <v>#VALUE!</v>
      </c>
      <c r="BR18" s="22" t="e">
        <f aca="false">AND('Current Index'!I448,"AAAAAHf370U=")</f>
        <v>#VALUE!</v>
      </c>
      <c r="BS18" s="22" t="n">
        <f aca="false">IF('Current Index'!449:449,"AAAAAHf370Y=",0)</f>
        <v>0</v>
      </c>
      <c r="BT18" s="22" t="e">
        <f aca="false">AND('Current Index'!A449,"AAAAAHf370c=")</f>
        <v>#VALUE!</v>
      </c>
      <c r="BU18" s="22" t="e">
        <f aca="false">AND('current index'!#ref!,"AAAAAHf370g=")</f>
        <v>#VALUE!</v>
      </c>
      <c r="BV18" s="22" t="e">
        <f aca="false">AND('Current Index'!B449,"AAAAAHf370k=")</f>
        <v>#VALUE!</v>
      </c>
      <c r="BW18" s="22" t="e">
        <f aca="false">AND('Current Index'!C449,"AAAAAHf370o=")</f>
        <v>#VALUE!</v>
      </c>
      <c r="BX18" s="22" t="e">
        <f aca="false">AND('Current Index'!D449,"AAAAAHf370s=")</f>
        <v>#VALUE!</v>
      </c>
      <c r="BY18" s="22" t="e">
        <f aca="false">AND('Current Index'!E449,"AAAAAHf370w=")</f>
        <v>#VALUE!</v>
      </c>
      <c r="BZ18" s="22" t="e">
        <f aca="false">AND('Current Index'!F449,"AAAAAHf3700=")</f>
        <v>#VALUE!</v>
      </c>
      <c r="CA18" s="22" t="e">
        <f aca="false">AND('Current Index'!G449,"AAAAAHf3704=")</f>
        <v>#VALUE!</v>
      </c>
      <c r="CB18" s="22" t="e">
        <f aca="false">AND('Current Index'!H449,"AAAAAHf3708=")</f>
        <v>#VALUE!</v>
      </c>
      <c r="CC18" s="22" t="e">
        <f aca="false">AND('Current Index'!I449,"AAAAAHf371A=")</f>
        <v>#VALUE!</v>
      </c>
      <c r="CD18" s="22" t="n">
        <f aca="false">IF('Current Index'!450:450,"AAAAAHf371E=",0)</f>
        <v>0</v>
      </c>
      <c r="CE18" s="22" t="e">
        <f aca="false">AND('Current Index'!A450,"AAAAAHf371I=")</f>
        <v>#VALUE!</v>
      </c>
      <c r="CF18" s="22" t="e">
        <f aca="false">AND('current index'!#ref!,"AAAAAHf371M=")</f>
        <v>#VALUE!</v>
      </c>
      <c r="CG18" s="22" t="e">
        <f aca="false">AND('Current Index'!B450,"AAAAAHf371Q=")</f>
        <v>#VALUE!</v>
      </c>
      <c r="CH18" s="22" t="e">
        <f aca="false">AND('Current Index'!C450,"AAAAAHf371U=")</f>
        <v>#VALUE!</v>
      </c>
      <c r="CI18" s="22" t="e">
        <f aca="false">AND('Current Index'!D450,"AAAAAHf371Y=")</f>
        <v>#VALUE!</v>
      </c>
      <c r="CJ18" s="22" t="e">
        <f aca="false">AND('Current Index'!E450,"AAAAAHf371c=")</f>
        <v>#VALUE!</v>
      </c>
      <c r="CK18" s="22" t="e">
        <f aca="false">AND('Current Index'!F450,"AAAAAHf371g=")</f>
        <v>#VALUE!</v>
      </c>
      <c r="CL18" s="22" t="e">
        <f aca="false">AND('Current Index'!G450,"AAAAAHf371k=")</f>
        <v>#VALUE!</v>
      </c>
      <c r="CM18" s="22" t="e">
        <f aca="false">AND('Current Index'!H450,"AAAAAHf371o=")</f>
        <v>#VALUE!</v>
      </c>
      <c r="CN18" s="22" t="e">
        <f aca="false">AND('Current Index'!I450,"AAAAAHf371s=")</f>
        <v>#VALUE!</v>
      </c>
      <c r="CO18" s="22" t="n">
        <f aca="false">IF('Current Index'!451:451,"AAAAAHf371w=",0)</f>
        <v>0</v>
      </c>
      <c r="CP18" s="22" t="e">
        <f aca="false">AND('Current Index'!A451,"AAAAAHf3710=")</f>
        <v>#VALUE!</v>
      </c>
      <c r="CQ18" s="22" t="e">
        <f aca="false">AND('current index'!#ref!,"AAAAAHf3714=")</f>
        <v>#VALUE!</v>
      </c>
      <c r="CR18" s="22" t="e">
        <f aca="false">AND('Current Index'!B451,"AAAAAHf3718=")</f>
        <v>#VALUE!</v>
      </c>
      <c r="CS18" s="22" t="e">
        <f aca="false">AND('Current Index'!C451,"AAAAAHf372A=")</f>
        <v>#VALUE!</v>
      </c>
      <c r="CT18" s="22" t="e">
        <f aca="false">AND('Current Index'!D451,"AAAAAHf372E=")</f>
        <v>#VALUE!</v>
      </c>
      <c r="CU18" s="22" t="e">
        <f aca="false">AND('Current Index'!E451,"AAAAAHf372I=")</f>
        <v>#VALUE!</v>
      </c>
      <c r="CV18" s="22" t="e">
        <f aca="false">AND('Current Index'!F451,"AAAAAHf372M=")</f>
        <v>#VALUE!</v>
      </c>
      <c r="CW18" s="22" t="e">
        <f aca="false">AND('Current Index'!G451,"AAAAAHf372Q=")</f>
        <v>#VALUE!</v>
      </c>
      <c r="CX18" s="22" t="e">
        <f aca="false">AND('Current Index'!H451,"AAAAAHf372U=")</f>
        <v>#VALUE!</v>
      </c>
      <c r="CY18" s="22" t="e">
        <f aca="false">AND('Current Index'!I451,"AAAAAHf372Y=")</f>
        <v>#VALUE!</v>
      </c>
      <c r="CZ18" s="22" t="n">
        <f aca="false">IF('Current Index'!453:453,"AAAAAHf372c=",0)</f>
        <v>0</v>
      </c>
      <c r="DA18" s="22" t="e">
        <f aca="false">AND('Current Index'!A453,"AAAAAHf372g=")</f>
        <v>#VALUE!</v>
      </c>
      <c r="DB18" s="22" t="e">
        <f aca="false">AND('current index'!#ref!,"AAAAAHf372k=")</f>
        <v>#VALUE!</v>
      </c>
      <c r="DC18" s="22" t="e">
        <f aca="false">AND('Current Index'!B453,"AAAAAHf372o=")</f>
        <v>#VALUE!</v>
      </c>
      <c r="DD18" s="22" t="e">
        <f aca="false">AND('Current Index'!C453,"AAAAAHf372s=")</f>
        <v>#VALUE!</v>
      </c>
      <c r="DE18" s="22" t="e">
        <f aca="false">AND('Current Index'!D453,"AAAAAHf372w=")</f>
        <v>#VALUE!</v>
      </c>
      <c r="DF18" s="22" t="e">
        <f aca="false">AND('Current Index'!E453,"AAAAAHf3720=")</f>
        <v>#VALUE!</v>
      </c>
      <c r="DG18" s="22" t="e">
        <f aca="false">AND('Current Index'!F453,"AAAAAHf3724=")</f>
        <v>#VALUE!</v>
      </c>
      <c r="DH18" s="22" t="e">
        <f aca="false">AND('Current Index'!G453,"AAAAAHf3728=")</f>
        <v>#VALUE!</v>
      </c>
      <c r="DI18" s="22" t="e">
        <f aca="false">AND('Current Index'!H453,"AAAAAHf373A=")</f>
        <v>#VALUE!</v>
      </c>
      <c r="DJ18" s="22" t="e">
        <f aca="false">AND('Current Index'!I453,"AAAAAHf373E=")</f>
        <v>#VALUE!</v>
      </c>
      <c r="DK18" s="22" t="n">
        <f aca="false">IF('Current Index'!454:454,"AAAAAHf373I=",0)</f>
        <v>0</v>
      </c>
      <c r="DL18" s="22" t="e">
        <f aca="false">AND('Current Index'!A454,"AAAAAHf373M=")</f>
        <v>#VALUE!</v>
      </c>
      <c r="DM18" s="22" t="e">
        <f aca="false">AND('current index'!#ref!,"AAAAAHf373Q=")</f>
        <v>#VALUE!</v>
      </c>
      <c r="DN18" s="22" t="e">
        <f aca="false">AND('Current Index'!B454,"AAAAAHf373U=")</f>
        <v>#VALUE!</v>
      </c>
      <c r="DO18" s="22" t="e">
        <f aca="false">AND('Current Index'!C454,"AAAAAHf373Y=")</f>
        <v>#VALUE!</v>
      </c>
      <c r="DP18" s="22" t="e">
        <f aca="false">AND('Current Index'!D454,"AAAAAHf373c=")</f>
        <v>#VALUE!</v>
      </c>
      <c r="DQ18" s="22" t="e">
        <f aca="false">AND('Current Index'!E454,"AAAAAHf373g=")</f>
        <v>#VALUE!</v>
      </c>
      <c r="DR18" s="22" t="e">
        <f aca="false">AND('Current Index'!F454,"AAAAAHf373k=")</f>
        <v>#VALUE!</v>
      </c>
      <c r="DS18" s="22" t="e">
        <f aca="false">AND('Current Index'!G454,"AAAAAHf373o=")</f>
        <v>#VALUE!</v>
      </c>
      <c r="DT18" s="22" t="e">
        <f aca="false">AND('Current Index'!H454,"AAAAAHf373s=")</f>
        <v>#VALUE!</v>
      </c>
      <c r="DU18" s="22" t="e">
        <f aca="false">AND('Current Index'!I454,"AAAAAHf373w=")</f>
        <v>#VALUE!</v>
      </c>
      <c r="DV18" s="22" t="e">
        <f aca="false">IF(#REF!,"AAAAAHf3730=",0)</f>
        <v>#REF!</v>
      </c>
      <c r="DW18" s="22" t="e">
        <f aca="false">AND(#REF!,"AAAAAHf3734=")</f>
        <v>#VALUE!</v>
      </c>
      <c r="DX18" s="22" t="e">
        <f aca="false">AND('current index'!#ref!,"AAAAAHf3738=")</f>
        <v>#VALUE!</v>
      </c>
      <c r="DY18" s="22" t="e">
        <f aca="false">AND(#REF!,"AAAAAHf374A=")</f>
        <v>#VALUE!</v>
      </c>
      <c r="DZ18" s="22" t="e">
        <f aca="false">AND(#REF!,"AAAAAHf374E=")</f>
        <v>#VALUE!</v>
      </c>
      <c r="EA18" s="22" t="e">
        <f aca="false">AND(#REF!,"AAAAAHf374I=")</f>
        <v>#VALUE!</v>
      </c>
      <c r="EB18" s="22" t="e">
        <f aca="false">AND(#REF!,"AAAAAHf374M=")</f>
        <v>#VALUE!</v>
      </c>
      <c r="EC18" s="22" t="e">
        <f aca="false">AND(#REF!,"AAAAAHf374Q=")</f>
        <v>#VALUE!</v>
      </c>
      <c r="ED18" s="22" t="e">
        <f aca="false">AND(#REF!,"AAAAAHf374U=")</f>
        <v>#VALUE!</v>
      </c>
      <c r="EE18" s="22" t="e">
        <f aca="false">AND(#REF!,"AAAAAHf374Y=")</f>
        <v>#VALUE!</v>
      </c>
      <c r="EF18" s="22" t="e">
        <f aca="false">AND(#REF!,"AAAAAHf374c=")</f>
        <v>#VALUE!</v>
      </c>
      <c r="EG18" s="22" t="n">
        <f aca="false">IF('Current Index'!455:455,"AAAAAHf374g=",0)</f>
        <v>0</v>
      </c>
      <c r="EH18" s="22" t="e">
        <f aca="false">AND('Current Index'!A455,"AAAAAHf374k=")</f>
        <v>#VALUE!</v>
      </c>
      <c r="EI18" s="22" t="e">
        <f aca="false">AND('current index'!#ref!,"AAAAAHf374o=")</f>
        <v>#VALUE!</v>
      </c>
      <c r="EJ18" s="22" t="e">
        <f aca="false">AND('Current Index'!B455,"AAAAAHf374s=")</f>
        <v>#VALUE!</v>
      </c>
      <c r="EK18" s="22" t="e">
        <f aca="false">AND('Current Index'!C455,"AAAAAHf374w=")</f>
        <v>#VALUE!</v>
      </c>
      <c r="EL18" s="22" t="e">
        <f aca="false">AND('Current Index'!D455,"AAAAAHf3740=")</f>
        <v>#VALUE!</v>
      </c>
      <c r="EM18" s="22" t="e">
        <f aca="false">AND('Current Index'!E455,"AAAAAHf3744=")</f>
        <v>#VALUE!</v>
      </c>
      <c r="EN18" s="22" t="e">
        <f aca="false">AND('Current Index'!F455,"AAAAAHf3748=")</f>
        <v>#VALUE!</v>
      </c>
      <c r="EO18" s="22" t="e">
        <f aca="false">AND('Current Index'!G455,"AAAAAHf375A=")</f>
        <v>#VALUE!</v>
      </c>
      <c r="EP18" s="22" t="e">
        <f aca="false">AND('Current Index'!H455,"AAAAAHf375E=")</f>
        <v>#VALUE!</v>
      </c>
      <c r="EQ18" s="22" t="e">
        <f aca="false">AND('Current Index'!I455,"AAAAAHf375I=")</f>
        <v>#VALUE!</v>
      </c>
      <c r="ER18" s="22" t="n">
        <f aca="false">IF('Current Index'!456:456,"AAAAAHf375M=",0)</f>
        <v>0</v>
      </c>
      <c r="ES18" s="22" t="e">
        <f aca="false">AND('Current Index'!A456,"AAAAAHf375Q=")</f>
        <v>#VALUE!</v>
      </c>
      <c r="ET18" s="22" t="e">
        <f aca="false">AND('current index'!#ref!,"AAAAAHf375U=")</f>
        <v>#VALUE!</v>
      </c>
      <c r="EU18" s="22" t="e">
        <f aca="false">AND('Current Index'!B456,"AAAAAHf375Y=")</f>
        <v>#VALUE!</v>
      </c>
      <c r="EV18" s="22" t="e">
        <f aca="false">AND('Current Index'!C456,"AAAAAHf375c=")</f>
        <v>#VALUE!</v>
      </c>
      <c r="EW18" s="22" t="e">
        <f aca="false">AND('Current Index'!D456,"AAAAAHf375g=")</f>
        <v>#VALUE!</v>
      </c>
      <c r="EX18" s="22" t="e">
        <f aca="false">AND('Current Index'!E456,"AAAAAHf375k=")</f>
        <v>#VALUE!</v>
      </c>
      <c r="EY18" s="22" t="e">
        <f aca="false">AND('Current Index'!F456,"AAAAAHf375o=")</f>
        <v>#VALUE!</v>
      </c>
      <c r="EZ18" s="22" t="e">
        <f aca="false">AND('Current Index'!G456,"AAAAAHf375s=")</f>
        <v>#VALUE!</v>
      </c>
      <c r="FA18" s="22" t="e">
        <f aca="false">AND('Current Index'!H456,"AAAAAHf375w=")</f>
        <v>#VALUE!</v>
      </c>
      <c r="FB18" s="22" t="e">
        <f aca="false">AND('Current Index'!I456,"AAAAAHf3750=")</f>
        <v>#VALUE!</v>
      </c>
      <c r="FC18" s="22" t="n">
        <f aca="false">IF('Current Index'!457:457,"AAAAAHf3754=",0)</f>
        <v>0</v>
      </c>
      <c r="FD18" s="22" t="e">
        <f aca="false">AND('Current Index'!A457,"AAAAAHf3758=")</f>
        <v>#VALUE!</v>
      </c>
      <c r="FE18" s="22" t="e">
        <f aca="false">AND('current index'!#ref!,"AAAAAHf376A=")</f>
        <v>#VALUE!</v>
      </c>
      <c r="FF18" s="22" t="e">
        <f aca="false">AND('Current Index'!B457,"AAAAAHf376E=")</f>
        <v>#VALUE!</v>
      </c>
      <c r="FG18" s="22" t="e">
        <f aca="false">AND('Current Index'!C457,"AAAAAHf376I=")</f>
        <v>#VALUE!</v>
      </c>
      <c r="FH18" s="22" t="e">
        <f aca="false">AND('Current Index'!D457,"AAAAAHf376M=")</f>
        <v>#VALUE!</v>
      </c>
      <c r="FI18" s="22" t="e">
        <f aca="false">AND('Current Index'!E457,"AAAAAHf376Q=")</f>
        <v>#VALUE!</v>
      </c>
      <c r="FJ18" s="22" t="e">
        <f aca="false">AND('Current Index'!F457,"AAAAAHf376U=")</f>
        <v>#VALUE!</v>
      </c>
      <c r="FK18" s="22" t="e">
        <f aca="false">AND('Current Index'!G457,"AAAAAHf376Y=")</f>
        <v>#VALUE!</v>
      </c>
      <c r="FL18" s="22" t="e">
        <f aca="false">AND('Current Index'!H457,"AAAAAHf376c=")</f>
        <v>#VALUE!</v>
      </c>
      <c r="FM18" s="22" t="e">
        <f aca="false">AND('Current Index'!I457,"AAAAAHf376g=")</f>
        <v>#VALUE!</v>
      </c>
      <c r="FN18" s="22" t="n">
        <f aca="false">IF('Current Index'!458:458,"AAAAAHf376k=",0)</f>
        <v>0</v>
      </c>
      <c r="FO18" s="22" t="e">
        <f aca="false">AND('Current Index'!A458,"AAAAAHf376o=")</f>
        <v>#VALUE!</v>
      </c>
      <c r="FP18" s="22" t="e">
        <f aca="false">AND('current index'!#ref!,"AAAAAHf376s=")</f>
        <v>#VALUE!</v>
      </c>
      <c r="FQ18" s="22" t="e">
        <f aca="false">AND('Current Index'!B458,"AAAAAHf376w=")</f>
        <v>#VALUE!</v>
      </c>
      <c r="FR18" s="22" t="e">
        <f aca="false">AND('Current Index'!C458,"AAAAAHf3760=")</f>
        <v>#VALUE!</v>
      </c>
      <c r="FS18" s="22" t="e">
        <f aca="false">AND('Current Index'!D458,"AAAAAHf3764=")</f>
        <v>#VALUE!</v>
      </c>
      <c r="FT18" s="22" t="e">
        <f aca="false">AND('Current Index'!E458,"AAAAAHf3768=")</f>
        <v>#VALUE!</v>
      </c>
      <c r="FU18" s="22" t="e">
        <f aca="false">AND('Current Index'!F458,"AAAAAHf377A=")</f>
        <v>#VALUE!</v>
      </c>
      <c r="FV18" s="22" t="e">
        <f aca="false">AND('Current Index'!G458,"AAAAAHf377E=")</f>
        <v>#VALUE!</v>
      </c>
      <c r="FW18" s="22" t="e">
        <f aca="false">AND('Current Index'!H458,"AAAAAHf377I=")</f>
        <v>#VALUE!</v>
      </c>
      <c r="FX18" s="22" t="e">
        <f aca="false">AND('Current Index'!I458,"AAAAAHf377M=")</f>
        <v>#VALUE!</v>
      </c>
      <c r="FY18" s="22" t="n">
        <f aca="false">IF('Current Index'!459:459,"AAAAAHf377Q=",0)</f>
        <v>0</v>
      </c>
      <c r="FZ18" s="22" t="e">
        <f aca="false">AND('Current Index'!A459,"AAAAAHf377U=")</f>
        <v>#VALUE!</v>
      </c>
      <c r="GA18" s="22" t="e">
        <f aca="false">AND('current index'!#ref!,"AAAAAHf377Y=")</f>
        <v>#VALUE!</v>
      </c>
      <c r="GB18" s="22" t="e">
        <f aca="false">AND('Current Index'!B459,"AAAAAHf377c=")</f>
        <v>#VALUE!</v>
      </c>
      <c r="GC18" s="22" t="e">
        <f aca="false">AND('Current Index'!C459,"AAAAAHf377g=")</f>
        <v>#VALUE!</v>
      </c>
      <c r="GD18" s="22" t="e">
        <f aca="false">AND('Current Index'!D459,"AAAAAHf377k=")</f>
        <v>#VALUE!</v>
      </c>
      <c r="GE18" s="22" t="e">
        <f aca="false">AND('Current Index'!E459,"AAAAAHf377o=")</f>
        <v>#VALUE!</v>
      </c>
      <c r="GF18" s="22" t="e">
        <f aca="false">AND('Current Index'!F459,"AAAAAHf377s=")</f>
        <v>#VALUE!</v>
      </c>
      <c r="GG18" s="22" t="e">
        <f aca="false">AND('Current Index'!G459,"AAAAAHf377w=")</f>
        <v>#VALUE!</v>
      </c>
      <c r="GH18" s="22" t="e">
        <f aca="false">AND('Current Index'!H459,"AAAAAHf3770=")</f>
        <v>#VALUE!</v>
      </c>
      <c r="GI18" s="22" t="e">
        <f aca="false">AND('Current Index'!I459,"AAAAAHf3774=")</f>
        <v>#VALUE!</v>
      </c>
      <c r="GJ18" s="22" t="n">
        <f aca="false">IF('Current Index'!460:460,"AAAAAHf3778=",0)</f>
        <v>0</v>
      </c>
      <c r="GK18" s="22" t="e">
        <f aca="false">AND('Current Index'!A460,"AAAAAHf378A=")</f>
        <v>#VALUE!</v>
      </c>
      <c r="GL18" s="22" t="e">
        <f aca="false">AND('current index'!#ref!,"AAAAAHf378E=")</f>
        <v>#VALUE!</v>
      </c>
      <c r="GM18" s="22" t="e">
        <f aca="false">AND('Current Index'!B460,"AAAAAHf378I=")</f>
        <v>#VALUE!</v>
      </c>
      <c r="GN18" s="22" t="e">
        <f aca="false">AND('Current Index'!C460,"AAAAAHf378M=")</f>
        <v>#VALUE!</v>
      </c>
      <c r="GO18" s="22" t="e">
        <f aca="false">AND('Current Index'!D460,"AAAAAHf378Q=")</f>
        <v>#VALUE!</v>
      </c>
      <c r="GP18" s="22" t="e">
        <f aca="false">AND('Current Index'!E460,"AAAAAHf378U=")</f>
        <v>#VALUE!</v>
      </c>
      <c r="GQ18" s="22" t="e">
        <f aca="false">AND('Current Index'!F460,"AAAAAHf378Y=")</f>
        <v>#VALUE!</v>
      </c>
      <c r="GR18" s="22" t="e">
        <f aca="false">AND('Current Index'!G460,"AAAAAHf378c=")</f>
        <v>#VALUE!</v>
      </c>
      <c r="GS18" s="22" t="e">
        <f aca="false">AND('Current Index'!H460,"AAAAAHf378g=")</f>
        <v>#VALUE!</v>
      </c>
      <c r="GT18" s="22" t="e">
        <f aca="false">AND('Current Index'!I460,"AAAAAHf378k=")</f>
        <v>#VALUE!</v>
      </c>
      <c r="GU18" s="22" t="n">
        <f aca="false">IF('Current Index'!461:461,"AAAAAHf378o=",0)</f>
        <v>0</v>
      </c>
      <c r="GV18" s="22" t="e">
        <f aca="false">AND('Current Index'!A461,"AAAAAHf378s=")</f>
        <v>#VALUE!</v>
      </c>
      <c r="GW18" s="22" t="e">
        <f aca="false">AND('current index'!#ref!,"AAAAAHf378w=")</f>
        <v>#VALUE!</v>
      </c>
      <c r="GX18" s="22" t="e">
        <f aca="false">AND('Current Index'!B461,"AAAAAHf3780=")</f>
        <v>#VALUE!</v>
      </c>
      <c r="GY18" s="22" t="e">
        <f aca="false">AND('Current Index'!C461,"AAAAAHf3784=")</f>
        <v>#VALUE!</v>
      </c>
      <c r="GZ18" s="22" t="e">
        <f aca="false">AND('Current Index'!D461,"AAAAAHf3788=")</f>
        <v>#VALUE!</v>
      </c>
      <c r="HA18" s="22" t="e">
        <f aca="false">AND('Current Index'!E461,"AAAAAHf379A=")</f>
        <v>#VALUE!</v>
      </c>
      <c r="HB18" s="22" t="e">
        <f aca="false">AND('Current Index'!F461,"AAAAAHf379E=")</f>
        <v>#VALUE!</v>
      </c>
      <c r="HC18" s="22" t="e">
        <f aca="false">AND('Current Index'!G461,"AAAAAHf379I=")</f>
        <v>#VALUE!</v>
      </c>
      <c r="HD18" s="22" t="e">
        <f aca="false">AND('Current Index'!H461,"AAAAAHf379M=")</f>
        <v>#VALUE!</v>
      </c>
      <c r="HE18" s="22" t="e">
        <f aca="false">AND('Current Index'!I461,"AAAAAHf379Q=")</f>
        <v>#VALUE!</v>
      </c>
      <c r="HF18" s="22" t="n">
        <f aca="false">IF('Current Index'!462:462,"AAAAAHf379U=",0)</f>
        <v>0</v>
      </c>
      <c r="HG18" s="22" t="e">
        <f aca="false">AND('Current Index'!A462,"AAAAAHf379Y=")</f>
        <v>#VALUE!</v>
      </c>
      <c r="HH18" s="22" t="e">
        <f aca="false">AND('current index'!#ref!,"AAAAAHf379c=")</f>
        <v>#VALUE!</v>
      </c>
      <c r="HI18" s="22" t="e">
        <f aca="false">AND('Current Index'!B462,"AAAAAHf379g=")</f>
        <v>#VALUE!</v>
      </c>
      <c r="HJ18" s="22" t="e">
        <f aca="false">AND('Current Index'!C462,"AAAAAHf379k=")</f>
        <v>#VALUE!</v>
      </c>
      <c r="HK18" s="22" t="e">
        <f aca="false">AND('Current Index'!D462,"AAAAAHf379o=")</f>
        <v>#VALUE!</v>
      </c>
      <c r="HL18" s="22" t="e">
        <f aca="false">AND('Current Index'!E462,"AAAAAHf379s=")</f>
        <v>#VALUE!</v>
      </c>
      <c r="HM18" s="22" t="e">
        <f aca="false">AND('Current Index'!F462,"AAAAAHf379w=")</f>
        <v>#VALUE!</v>
      </c>
      <c r="HN18" s="22" t="e">
        <f aca="false">AND('Current Index'!G462,"AAAAAHf3790=")</f>
        <v>#VALUE!</v>
      </c>
      <c r="HO18" s="22" t="e">
        <f aca="false">AND('Current Index'!H462,"AAAAAHf3794=")</f>
        <v>#VALUE!</v>
      </c>
      <c r="HP18" s="22" t="e">
        <f aca="false">AND('Current Index'!I462,"AAAAAHf3798=")</f>
        <v>#VALUE!</v>
      </c>
      <c r="HQ18" s="22" t="n">
        <f aca="false">IF('Current Index'!463:463,"AAAAAHf37+A=",0)</f>
        <v>0</v>
      </c>
      <c r="HR18" s="22" t="e">
        <f aca="false">AND('Current Index'!A463,"AAAAAHf37+E=")</f>
        <v>#VALUE!</v>
      </c>
      <c r="HS18" s="22" t="e">
        <f aca="false">AND('current index'!#ref!,"AAAAAHf37+I=")</f>
        <v>#VALUE!</v>
      </c>
      <c r="HT18" s="22" t="e">
        <f aca="false">AND('Current Index'!B463,"AAAAAHf37+M=")</f>
        <v>#VALUE!</v>
      </c>
      <c r="HU18" s="22" t="e">
        <f aca="false">AND('Current Index'!C463,"AAAAAHf37+Q=")</f>
        <v>#VALUE!</v>
      </c>
      <c r="HV18" s="22" t="e">
        <f aca="false">AND('Current Index'!D463,"AAAAAHf37+U=")</f>
        <v>#VALUE!</v>
      </c>
      <c r="HW18" s="22" t="e">
        <f aca="false">AND('Current Index'!E463,"AAAAAHf37+Y=")</f>
        <v>#VALUE!</v>
      </c>
      <c r="HX18" s="22" t="e">
        <f aca="false">AND('Current Index'!F463,"AAAAAHf37+c=")</f>
        <v>#VALUE!</v>
      </c>
      <c r="HY18" s="22" t="e">
        <f aca="false">AND('Current Index'!G463,"AAAAAHf37+g=")</f>
        <v>#VALUE!</v>
      </c>
      <c r="HZ18" s="22" t="e">
        <f aca="false">AND('Current Index'!H463,"AAAAAHf37+k=")</f>
        <v>#VALUE!</v>
      </c>
      <c r="IA18" s="22" t="e">
        <f aca="false">AND('Current Index'!I463,"AAAAAHf37+o=")</f>
        <v>#VALUE!</v>
      </c>
      <c r="IB18" s="22" t="n">
        <f aca="false">IF('Current Index'!464:464,"AAAAAHf37+s=",0)</f>
        <v>0</v>
      </c>
      <c r="IC18" s="22" t="e">
        <f aca="false">AND('Current Index'!A464,"AAAAAHf37+w=")</f>
        <v>#VALUE!</v>
      </c>
      <c r="ID18" s="22" t="e">
        <f aca="false">AND('current index'!#ref!,"AAAAAHf37+0=")</f>
        <v>#VALUE!</v>
      </c>
      <c r="IE18" s="22" t="e">
        <f aca="false">AND('Current Index'!B464,"AAAAAHf37+4=")</f>
        <v>#VALUE!</v>
      </c>
      <c r="IF18" s="22" t="e">
        <f aca="false">AND('Current Index'!C464,"AAAAAHf37+8=")</f>
        <v>#VALUE!</v>
      </c>
      <c r="IG18" s="22" t="e">
        <f aca="false">AND('Current Index'!D464,"AAAAAHf37/A=")</f>
        <v>#VALUE!</v>
      </c>
      <c r="IH18" s="22" t="e">
        <f aca="false">AND('Current Index'!E464,"AAAAAHf37/E=")</f>
        <v>#VALUE!</v>
      </c>
      <c r="II18" s="22" t="e">
        <f aca="false">AND('Current Index'!F464,"AAAAAHf37/I=")</f>
        <v>#VALUE!</v>
      </c>
      <c r="IJ18" s="22" t="e">
        <f aca="false">AND('Current Index'!G464,"AAAAAHf37/M=")</f>
        <v>#VALUE!</v>
      </c>
      <c r="IK18" s="22" t="e">
        <f aca="false">AND('Current Index'!H464,"AAAAAHf37/Q=")</f>
        <v>#VALUE!</v>
      </c>
      <c r="IL18" s="22" t="e">
        <f aca="false">AND('Current Index'!I464,"AAAAAHf37/U=")</f>
        <v>#VALUE!</v>
      </c>
      <c r="IM18" s="22" t="n">
        <f aca="false">IF('Current Index'!465:465,"AAAAAHf37/Y=",0)</f>
        <v>0</v>
      </c>
      <c r="IN18" s="22" t="e">
        <f aca="false">AND('Current Index'!A465,"AAAAAHf37/c=")</f>
        <v>#VALUE!</v>
      </c>
      <c r="IO18" s="22" t="e">
        <f aca="false">AND('current index'!#ref!,"AAAAAHf37/g=")</f>
        <v>#VALUE!</v>
      </c>
      <c r="IP18" s="22" t="e">
        <f aca="false">AND('Current Index'!B465,"AAAAAHf37/k=")</f>
        <v>#VALUE!</v>
      </c>
      <c r="IQ18" s="22" t="e">
        <f aca="false">AND('Current Index'!C465,"AAAAAHf37/o=")</f>
        <v>#VALUE!</v>
      </c>
      <c r="IR18" s="22" t="e">
        <f aca="false">AND('Current Index'!D465,"AAAAAHf37/s=")</f>
        <v>#VALUE!</v>
      </c>
      <c r="IS18" s="22" t="e">
        <f aca="false">AND('Current Index'!E465,"AAAAAHf37/w=")</f>
        <v>#VALUE!</v>
      </c>
      <c r="IT18" s="22" t="e">
        <f aca="false">AND('Current Index'!F465,"AAAAAHf37/0=")</f>
        <v>#VALUE!</v>
      </c>
      <c r="IU18" s="22" t="e">
        <f aca="false">AND('Current Index'!G465,"AAAAAHf37/4=")</f>
        <v>#VALUE!</v>
      </c>
      <c r="IV18" s="22" t="e">
        <f aca="false">AND('Current Index'!H465,"AAAAAHf37/8=")</f>
        <v>#VALUE!</v>
      </c>
    </row>
    <row r="19" customFormat="false" ht="12.75" hidden="false" customHeight="false" outlineLevel="0" collapsed="false">
      <c r="A19" s="22" t="e">
        <f aca="false">AND('Current Index'!I465,"AAAAAHvxdQA=")</f>
        <v>#VALUE!</v>
      </c>
      <c r="B19" s="22" t="e">
        <f aca="false">IF('Current Index'!466:466,"AAAAAHvxdQE=",0)</f>
        <v>#VALUE!</v>
      </c>
      <c r="C19" s="22" t="e">
        <f aca="false">AND('Current Index'!A466,"AAAAAHvxdQI=")</f>
        <v>#VALUE!</v>
      </c>
      <c r="D19" s="22" t="e">
        <f aca="false">AND('current index'!#ref!,"AAAAAHvxdQM=")</f>
        <v>#VALUE!</v>
      </c>
      <c r="E19" s="22" t="e">
        <f aca="false">AND('Current Index'!B466,"AAAAAHvxdQQ=")</f>
        <v>#VALUE!</v>
      </c>
      <c r="F19" s="22" t="e">
        <f aca="false">AND('Current Index'!C466,"AAAAAHvxdQU=")</f>
        <v>#VALUE!</v>
      </c>
      <c r="G19" s="22" t="e">
        <f aca="false">AND('Current Index'!D466,"AAAAAHvxdQY=")</f>
        <v>#VALUE!</v>
      </c>
      <c r="H19" s="22" t="e">
        <f aca="false">AND('Current Index'!E466,"AAAAAHvxdQc=")</f>
        <v>#VALUE!</v>
      </c>
      <c r="I19" s="22" t="e">
        <f aca="false">AND('Current Index'!F466,"AAAAAHvxdQg=")</f>
        <v>#VALUE!</v>
      </c>
      <c r="J19" s="22" t="e">
        <f aca="false">AND('Current Index'!G466,"AAAAAHvxdQk=")</f>
        <v>#VALUE!</v>
      </c>
      <c r="K19" s="22" t="e">
        <f aca="false">AND('Current Index'!H466,"AAAAAHvxdQo=")</f>
        <v>#VALUE!</v>
      </c>
      <c r="L19" s="22" t="e">
        <f aca="false">AND('Current Index'!I466,"AAAAAHvxdQs=")</f>
        <v>#VALUE!</v>
      </c>
      <c r="M19" s="22" t="n">
        <f aca="false">IF('Current Index'!467:467,"AAAAAHvxdQw=",0)</f>
        <v>0</v>
      </c>
      <c r="N19" s="22" t="e">
        <f aca="false">AND('Current Index'!A467,"AAAAAHvxdQ0=")</f>
        <v>#VALUE!</v>
      </c>
      <c r="O19" s="22" t="e">
        <f aca="false">AND('current index'!#ref!,"AAAAAHvxdQ4=")</f>
        <v>#VALUE!</v>
      </c>
      <c r="P19" s="22" t="e">
        <f aca="false">AND('Current Index'!B467,"AAAAAHvxdQ8=")</f>
        <v>#VALUE!</v>
      </c>
      <c r="Q19" s="22" t="e">
        <f aca="false">AND('Current Index'!C467,"AAAAAHvxdRA=")</f>
        <v>#VALUE!</v>
      </c>
      <c r="R19" s="22" t="e">
        <f aca="false">AND('Current Index'!D467,"AAAAAHvxdRE=")</f>
        <v>#VALUE!</v>
      </c>
      <c r="S19" s="22" t="e">
        <f aca="false">AND('Current Index'!E467,"AAAAAHvxdRI=")</f>
        <v>#VALUE!</v>
      </c>
      <c r="T19" s="22" t="e">
        <f aca="false">AND('Current Index'!F467,"AAAAAHvxdRM=")</f>
        <v>#VALUE!</v>
      </c>
      <c r="U19" s="22" t="e">
        <f aca="false">AND('Current Index'!G467,"AAAAAHvxdRQ=")</f>
        <v>#VALUE!</v>
      </c>
      <c r="V19" s="22" t="e">
        <f aca="false">AND('Current Index'!H467,"AAAAAHvxdRU=")</f>
        <v>#VALUE!</v>
      </c>
      <c r="W19" s="22" t="e">
        <f aca="false">AND('Current Index'!I467,"AAAAAHvxdRY=")</f>
        <v>#VALUE!</v>
      </c>
      <c r="X19" s="22" t="e">
        <f aca="false">IF('current index'!#ref!,"AAAAAHvxdRc=",0)</f>
        <v>#VALUE!</v>
      </c>
      <c r="Y19" s="22" t="e">
        <f aca="false">AND('current index'!#ref!,"AAAAAHvxdRg=")</f>
        <v>#VALUE!</v>
      </c>
      <c r="Z19" s="22" t="e">
        <f aca="false">AND('current index'!#ref!,"AAAAAHvxdRk=")</f>
        <v>#VALUE!</v>
      </c>
      <c r="AA19" s="22" t="e">
        <f aca="false">AND('current index'!#ref!,"AAAAAHvxdRo=")</f>
        <v>#VALUE!</v>
      </c>
      <c r="AB19" s="22" t="e">
        <f aca="false">AND('current index'!#ref!,"AAAAAHvxdRs=")</f>
        <v>#VALUE!</v>
      </c>
      <c r="AC19" s="22" t="e">
        <f aca="false">AND('current index'!#ref!,"AAAAAHvxdRw=")</f>
        <v>#VALUE!</v>
      </c>
      <c r="AD19" s="22" t="e">
        <f aca="false">AND('current index'!#ref!,"AAAAAHvxdR0=")</f>
        <v>#VALUE!</v>
      </c>
      <c r="AE19" s="22" t="e">
        <f aca="false">AND('current index'!#ref!,"AAAAAHvxdR4=")</f>
        <v>#VALUE!</v>
      </c>
      <c r="AF19" s="22" t="e">
        <f aca="false">AND('current index'!#ref!,"AAAAAHvxdR8=")</f>
        <v>#VALUE!</v>
      </c>
      <c r="AG19" s="22" t="e">
        <f aca="false">AND('current index'!#ref!,"AAAAAHvxdSA=")</f>
        <v>#VALUE!</v>
      </c>
      <c r="AH19" s="22" t="e">
        <f aca="false">AND('current index'!#ref!,"AAAAAHvxdSE=")</f>
        <v>#VALUE!</v>
      </c>
      <c r="AI19" s="22" t="e">
        <f aca="false">IF('current index'!#ref!,"AAAAAHvxdSI=",0)</f>
        <v>#VALUE!</v>
      </c>
      <c r="AJ19" s="22" t="e">
        <f aca="false">AND('current index'!#ref!,"AAAAAHvxdSM=")</f>
        <v>#VALUE!</v>
      </c>
      <c r="AK19" s="22" t="e">
        <f aca="false">AND('current index'!#ref!,"AAAAAHvxdSQ=")</f>
        <v>#VALUE!</v>
      </c>
      <c r="AL19" s="22" t="e">
        <f aca="false">AND('current index'!#ref!,"AAAAAHvxdSU=")</f>
        <v>#VALUE!</v>
      </c>
      <c r="AM19" s="22" t="e">
        <f aca="false">AND('current index'!#ref!,"AAAAAHvxdSY=")</f>
        <v>#VALUE!</v>
      </c>
      <c r="AN19" s="22" t="e">
        <f aca="false">AND('current index'!#ref!,"AAAAAHvxdSc=")</f>
        <v>#VALUE!</v>
      </c>
      <c r="AO19" s="22" t="e">
        <f aca="false">AND('current index'!#ref!,"AAAAAHvxdSg=")</f>
        <v>#VALUE!</v>
      </c>
      <c r="AP19" s="22" t="e">
        <f aca="false">AND('current index'!#ref!,"AAAAAHvxdSk=")</f>
        <v>#VALUE!</v>
      </c>
      <c r="AQ19" s="22" t="e">
        <f aca="false">AND('current index'!#ref!,"AAAAAHvxdSo=")</f>
        <v>#VALUE!</v>
      </c>
      <c r="AR19" s="22" t="e">
        <f aca="false">AND('current index'!#ref!,"AAAAAHvxdSs=")</f>
        <v>#VALUE!</v>
      </c>
      <c r="AS19" s="22" t="e">
        <f aca="false">AND('current index'!#ref!,"AAAAAHvxdSw=")</f>
        <v>#VALUE!</v>
      </c>
      <c r="AT19" s="22" t="n">
        <f aca="false">IF('Current Index'!468:468,"AAAAAHvxdS0=",0)</f>
        <v>0</v>
      </c>
      <c r="AU19" s="22" t="e">
        <f aca="false">AND('Current Index'!A468,"AAAAAHvxdS4=")</f>
        <v>#VALUE!</v>
      </c>
      <c r="AV19" s="22" t="e">
        <f aca="false">AND('current index'!#ref!,"AAAAAHvxdS8=")</f>
        <v>#VALUE!</v>
      </c>
      <c r="AW19" s="22" t="e">
        <f aca="false">AND('Current Index'!B468,"AAAAAHvxdTA=")</f>
        <v>#VALUE!</v>
      </c>
      <c r="AX19" s="22" t="e">
        <f aca="false">AND('Current Index'!C468,"AAAAAHvxdTE=")</f>
        <v>#VALUE!</v>
      </c>
      <c r="AY19" s="22" t="e">
        <f aca="false">AND('Current Index'!D468,"AAAAAHvxdTI=")</f>
        <v>#VALUE!</v>
      </c>
      <c r="AZ19" s="22" t="e">
        <f aca="false">AND('Current Index'!E468,"AAAAAHvxdTM=")</f>
        <v>#VALUE!</v>
      </c>
      <c r="BA19" s="22" t="e">
        <f aca="false">AND('Current Index'!F468,"AAAAAHvxdTQ=")</f>
        <v>#VALUE!</v>
      </c>
      <c r="BB19" s="22" t="e">
        <f aca="false">AND('Current Index'!G468,"AAAAAHvxdTU=")</f>
        <v>#VALUE!</v>
      </c>
      <c r="BC19" s="22" t="e">
        <f aca="false">AND('Current Index'!H468,"AAAAAHvxdTY=")</f>
        <v>#VALUE!</v>
      </c>
      <c r="BD19" s="22" t="e">
        <f aca="false">AND('Current Index'!I468,"AAAAAHvxdTc=")</f>
        <v>#VALUE!</v>
      </c>
      <c r="BE19" s="22" t="n">
        <f aca="false">IF('Current Index'!469:469,"AAAAAHvxdTg=",0)</f>
        <v>0</v>
      </c>
      <c r="BF19" s="22" t="e">
        <f aca="false">AND('Current Index'!A469,"AAAAAHvxdTk=")</f>
        <v>#VALUE!</v>
      </c>
      <c r="BG19" s="22" t="e">
        <f aca="false">AND('current index'!#ref!,"AAAAAHvxdTo=")</f>
        <v>#VALUE!</v>
      </c>
      <c r="BH19" s="22" t="e">
        <f aca="false">AND('Current Index'!B469,"AAAAAHvxdTs=")</f>
        <v>#VALUE!</v>
      </c>
      <c r="BI19" s="22" t="e">
        <f aca="false">AND('Current Index'!C469,"AAAAAHvxdTw=")</f>
        <v>#VALUE!</v>
      </c>
      <c r="BJ19" s="22" t="e">
        <f aca="false">AND('Current Index'!D469,"AAAAAHvxdT0=")</f>
        <v>#VALUE!</v>
      </c>
      <c r="BK19" s="22" t="e">
        <f aca="false">AND('Current Index'!E469,"AAAAAHvxdT4=")</f>
        <v>#VALUE!</v>
      </c>
      <c r="BL19" s="22" t="e">
        <f aca="false">AND('Current Index'!F469,"AAAAAHvxdT8=")</f>
        <v>#VALUE!</v>
      </c>
      <c r="BM19" s="22" t="e">
        <f aca="false">AND('Current Index'!G469,"AAAAAHvxdUA=")</f>
        <v>#VALUE!</v>
      </c>
      <c r="BN19" s="22" t="e">
        <f aca="false">AND('Current Index'!H469,"AAAAAHvxdUE=")</f>
        <v>#VALUE!</v>
      </c>
      <c r="BO19" s="22" t="e">
        <f aca="false">AND('Current Index'!I469,"AAAAAHvxdUI=")</f>
        <v>#VALUE!</v>
      </c>
      <c r="BP19" s="22" t="n">
        <f aca="false">IF('Current Index'!470:470,"AAAAAHvxdUM=",0)</f>
        <v>0</v>
      </c>
      <c r="BQ19" s="22" t="e">
        <f aca="false">AND('Current Index'!A470,"AAAAAHvxdUQ=")</f>
        <v>#VALUE!</v>
      </c>
      <c r="BR19" s="22" t="e">
        <f aca="false">AND('current index'!#ref!,"AAAAAHvxdUU=")</f>
        <v>#VALUE!</v>
      </c>
      <c r="BS19" s="22" t="e">
        <f aca="false">AND('Current Index'!B470,"AAAAAHvxdUY=")</f>
        <v>#VALUE!</v>
      </c>
      <c r="BT19" s="22" t="e">
        <f aca="false">AND('Current Index'!C470,"AAAAAHvxdUc=")</f>
        <v>#VALUE!</v>
      </c>
      <c r="BU19" s="22" t="e">
        <f aca="false">AND('Current Index'!D470,"AAAAAHvxdUg=")</f>
        <v>#VALUE!</v>
      </c>
      <c r="BV19" s="22" t="e">
        <f aca="false">AND('Current Index'!E470,"AAAAAHvxdUk=")</f>
        <v>#VALUE!</v>
      </c>
      <c r="BW19" s="22" t="e">
        <f aca="false">AND('Current Index'!F470,"AAAAAHvxdUo=")</f>
        <v>#VALUE!</v>
      </c>
      <c r="BX19" s="22" t="e">
        <f aca="false">AND('Current Index'!G470,"AAAAAHvxdUs=")</f>
        <v>#VALUE!</v>
      </c>
      <c r="BY19" s="22" t="e">
        <f aca="false">AND('Current Index'!H470,"AAAAAHvxdUw=")</f>
        <v>#VALUE!</v>
      </c>
      <c r="BZ19" s="22" t="e">
        <f aca="false">AND('Current Index'!I470,"AAAAAHvxdU0=")</f>
        <v>#VALUE!</v>
      </c>
      <c r="CA19" s="22" t="n">
        <f aca="false">IF('Current Index'!471:471,"AAAAAHvxdU4=",0)</f>
        <v>0</v>
      </c>
      <c r="CB19" s="22" t="e">
        <f aca="false">AND('Current Index'!A471,"AAAAAHvxdU8=")</f>
        <v>#VALUE!</v>
      </c>
      <c r="CC19" s="22" t="e">
        <f aca="false">AND('current index'!#ref!,"AAAAAHvxdVA=")</f>
        <v>#VALUE!</v>
      </c>
      <c r="CD19" s="22" t="e">
        <f aca="false">AND('Current Index'!B471,"AAAAAHvxdVE=")</f>
        <v>#VALUE!</v>
      </c>
      <c r="CE19" s="22" t="e">
        <f aca="false">AND('Current Index'!C471,"AAAAAHvxdVI=")</f>
        <v>#VALUE!</v>
      </c>
      <c r="CF19" s="22" t="e">
        <f aca="false">AND('Current Index'!D471,"AAAAAHvxdVM=")</f>
        <v>#VALUE!</v>
      </c>
      <c r="CG19" s="22" t="e">
        <f aca="false">AND('Current Index'!E471,"AAAAAHvxdVQ=")</f>
        <v>#VALUE!</v>
      </c>
      <c r="CH19" s="22" t="e">
        <f aca="false">AND('Current Index'!F471,"AAAAAHvxdVU=")</f>
        <v>#VALUE!</v>
      </c>
      <c r="CI19" s="22" t="e">
        <f aca="false">AND('Current Index'!G471,"AAAAAHvxdVY=")</f>
        <v>#VALUE!</v>
      </c>
      <c r="CJ19" s="22" t="e">
        <f aca="false">AND('Current Index'!H471,"AAAAAHvxdVc=")</f>
        <v>#VALUE!</v>
      </c>
      <c r="CK19" s="22" t="e">
        <f aca="false">AND('Current Index'!I471,"AAAAAHvxdVg=")</f>
        <v>#VALUE!</v>
      </c>
      <c r="CL19" s="22" t="n">
        <f aca="false">IF('Current Index'!472:472,"AAAAAHvxdVk=",0)</f>
        <v>0</v>
      </c>
      <c r="CM19" s="22" t="e">
        <f aca="false">AND('Current Index'!A472,"AAAAAHvxdVo=")</f>
        <v>#VALUE!</v>
      </c>
      <c r="CN19" s="22" t="e">
        <f aca="false">AND('current index'!#ref!,"AAAAAHvxdVs=")</f>
        <v>#VALUE!</v>
      </c>
      <c r="CO19" s="22" t="e">
        <f aca="false">AND('Current Index'!B472,"AAAAAHvxdVw=")</f>
        <v>#VALUE!</v>
      </c>
      <c r="CP19" s="22" t="e">
        <f aca="false">AND('Current Index'!C472,"AAAAAHvxdV0=")</f>
        <v>#VALUE!</v>
      </c>
      <c r="CQ19" s="22" t="e">
        <f aca="false">AND('Current Index'!D472,"AAAAAHvxdV4=")</f>
        <v>#VALUE!</v>
      </c>
      <c r="CR19" s="22" t="e">
        <f aca="false">AND('Current Index'!E472,"AAAAAHvxdV8=")</f>
        <v>#VALUE!</v>
      </c>
      <c r="CS19" s="22" t="e">
        <f aca="false">AND('Current Index'!F472,"AAAAAHvxdWA=")</f>
        <v>#VALUE!</v>
      </c>
      <c r="CT19" s="22" t="e">
        <f aca="false">AND('Current Index'!G472,"AAAAAHvxdWE=")</f>
        <v>#VALUE!</v>
      </c>
      <c r="CU19" s="22" t="e">
        <f aca="false">AND('Current Index'!H472,"AAAAAHvxdWI=")</f>
        <v>#VALUE!</v>
      </c>
      <c r="CV19" s="22" t="e">
        <f aca="false">AND('Current Index'!I472,"AAAAAHvxdWM=")</f>
        <v>#VALUE!</v>
      </c>
      <c r="CW19" s="22" t="n">
        <f aca="false">IF('Current Index'!473:473,"AAAAAHvxdWQ=",0)</f>
        <v>0</v>
      </c>
      <c r="CX19" s="22" t="e">
        <f aca="false">AND('Current Index'!A473,"AAAAAHvxdWU=")</f>
        <v>#VALUE!</v>
      </c>
      <c r="CY19" s="22" t="e">
        <f aca="false">AND('current index'!#ref!,"AAAAAHvxdWY=")</f>
        <v>#VALUE!</v>
      </c>
      <c r="CZ19" s="22" t="e">
        <f aca="false">AND('Current Index'!B473,"AAAAAHvxdWc=")</f>
        <v>#VALUE!</v>
      </c>
      <c r="DA19" s="22" t="e">
        <f aca="false">AND('Current Index'!C473,"AAAAAHvxdWg=")</f>
        <v>#VALUE!</v>
      </c>
      <c r="DB19" s="22" t="e">
        <f aca="false">AND('Current Index'!D473,"AAAAAHvxdWk=")</f>
        <v>#VALUE!</v>
      </c>
      <c r="DC19" s="22" t="e">
        <f aca="false">AND('Current Index'!E473,"AAAAAHvxdWo=")</f>
        <v>#VALUE!</v>
      </c>
      <c r="DD19" s="22" t="e">
        <f aca="false">AND('Current Index'!F473,"AAAAAHvxdWs=")</f>
        <v>#VALUE!</v>
      </c>
      <c r="DE19" s="22" t="e">
        <f aca="false">AND('Current Index'!G473,"AAAAAHvxdWw=")</f>
        <v>#VALUE!</v>
      </c>
      <c r="DF19" s="22" t="e">
        <f aca="false">AND('Current Index'!H473,"AAAAAHvxdW0=")</f>
        <v>#VALUE!</v>
      </c>
      <c r="DG19" s="22" t="e">
        <f aca="false">AND('Current Index'!I473,"AAAAAHvxdW4=")</f>
        <v>#VALUE!</v>
      </c>
      <c r="DH19" s="22" t="n">
        <f aca="false">IF('Current Index'!475:475,"AAAAAHvxdW8=",0)</f>
        <v>0</v>
      </c>
      <c r="DI19" s="22" t="e">
        <f aca="false">AND('Current Index'!A475,"AAAAAHvxdXA=")</f>
        <v>#VALUE!</v>
      </c>
      <c r="DJ19" s="22" t="e">
        <f aca="false">AND('current index'!#ref!,"AAAAAHvxdXE=")</f>
        <v>#VALUE!</v>
      </c>
      <c r="DK19" s="22" t="e">
        <f aca="false">AND('Current Index'!B475,"AAAAAHvxdXI=")</f>
        <v>#VALUE!</v>
      </c>
      <c r="DL19" s="22" t="e">
        <f aca="false">AND('Current Index'!C475,"AAAAAHvxdXM=")</f>
        <v>#VALUE!</v>
      </c>
      <c r="DM19" s="22" t="e">
        <f aca="false">AND('Current Index'!D475,"AAAAAHvxdXQ=")</f>
        <v>#VALUE!</v>
      </c>
      <c r="DN19" s="22" t="e">
        <f aca="false">AND('Current Index'!E475,"AAAAAHvxdXU=")</f>
        <v>#VALUE!</v>
      </c>
      <c r="DO19" s="22" t="e">
        <f aca="false">AND('Current Index'!F475,"AAAAAHvxdXY=")</f>
        <v>#VALUE!</v>
      </c>
      <c r="DP19" s="22" t="e">
        <f aca="false">AND('Current Index'!G475,"AAAAAHvxdXc=")</f>
        <v>#VALUE!</v>
      </c>
      <c r="DQ19" s="22" t="e">
        <f aca="false">AND('Current Index'!H475,"AAAAAHvxdXg=")</f>
        <v>#VALUE!</v>
      </c>
      <c r="DR19" s="22" t="e">
        <f aca="false">AND('Current Index'!I475,"AAAAAHvxdXk=")</f>
        <v>#VALUE!</v>
      </c>
      <c r="DS19" s="22" t="n">
        <f aca="false">IF('Current Index'!476:476,"AAAAAHvxdXo=",0)</f>
        <v>0</v>
      </c>
      <c r="DT19" s="22" t="e">
        <f aca="false">AND('Current Index'!A476,"AAAAAHvxdXs=")</f>
        <v>#VALUE!</v>
      </c>
      <c r="DU19" s="22" t="e">
        <f aca="false">AND('current index'!#ref!,"AAAAAHvxdXw=")</f>
        <v>#VALUE!</v>
      </c>
      <c r="DV19" s="22" t="e">
        <f aca="false">AND('Current Index'!B476,"AAAAAHvxdX0=")</f>
        <v>#VALUE!</v>
      </c>
      <c r="DW19" s="22" t="e">
        <f aca="false">AND('Current Index'!C476,"AAAAAHvxdX4=")</f>
        <v>#VALUE!</v>
      </c>
      <c r="DX19" s="22" t="e">
        <f aca="false">AND('Current Index'!D476,"AAAAAHvxdX8=")</f>
        <v>#VALUE!</v>
      </c>
      <c r="DY19" s="22" t="e">
        <f aca="false">AND('Current Index'!E476,"AAAAAHvxdYA=")</f>
        <v>#VALUE!</v>
      </c>
      <c r="DZ19" s="22" t="e">
        <f aca="false">AND('Current Index'!F476,"AAAAAHvxdYE=")</f>
        <v>#VALUE!</v>
      </c>
      <c r="EA19" s="22" t="e">
        <f aca="false">AND('Current Index'!G476,"AAAAAHvxdYI=")</f>
        <v>#VALUE!</v>
      </c>
      <c r="EB19" s="22" t="e">
        <f aca="false">AND('Current Index'!H476,"AAAAAHvxdYM=")</f>
        <v>#VALUE!</v>
      </c>
      <c r="EC19" s="22" t="e">
        <f aca="false">AND('Current Index'!I476,"AAAAAHvxdYQ=")</f>
        <v>#VALUE!</v>
      </c>
      <c r="ED19" s="22" t="n">
        <f aca="false">IF('Current Index'!477:477,"AAAAAHvxdYU=",0)</f>
        <v>0</v>
      </c>
      <c r="EE19" s="22" t="e">
        <f aca="false">AND('Current Index'!A477,"AAAAAHvxdYY=")</f>
        <v>#VALUE!</v>
      </c>
      <c r="EF19" s="22" t="e">
        <f aca="false">AND('current index'!#ref!,"AAAAAHvxdYc=")</f>
        <v>#VALUE!</v>
      </c>
      <c r="EG19" s="22" t="e">
        <f aca="false">AND('Current Index'!B477,"AAAAAHvxdYg=")</f>
        <v>#VALUE!</v>
      </c>
      <c r="EH19" s="22" t="e">
        <f aca="false">AND('Current Index'!C477,"AAAAAHvxdYk=")</f>
        <v>#VALUE!</v>
      </c>
      <c r="EI19" s="22" t="e">
        <f aca="false">AND('Current Index'!D477,"AAAAAHvxdYo=")</f>
        <v>#VALUE!</v>
      </c>
      <c r="EJ19" s="22" t="e">
        <f aca="false">AND('Current Index'!E477,"AAAAAHvxdYs=")</f>
        <v>#VALUE!</v>
      </c>
      <c r="EK19" s="22" t="e">
        <f aca="false">AND('Current Index'!F477,"AAAAAHvxdYw=")</f>
        <v>#VALUE!</v>
      </c>
      <c r="EL19" s="22" t="e">
        <f aca="false">AND('Current Index'!G477,"AAAAAHvxdY0=")</f>
        <v>#VALUE!</v>
      </c>
      <c r="EM19" s="22" t="e">
        <f aca="false">AND('Current Index'!H477,"AAAAAHvxdY4=")</f>
        <v>#VALUE!</v>
      </c>
      <c r="EN19" s="22" t="e">
        <f aca="false">AND('Current Index'!I477,"AAAAAHvxdY8=")</f>
        <v>#VALUE!</v>
      </c>
      <c r="EO19" s="22" t="e">
        <f aca="false">IF('current index'!#ref!,"AAAAAHvxdZA=",0)</f>
        <v>#VALUE!</v>
      </c>
      <c r="EP19" s="22" t="e">
        <f aca="false">AND('current index'!#ref!,"AAAAAHvxdZE=")</f>
        <v>#VALUE!</v>
      </c>
      <c r="EQ19" s="22" t="e">
        <f aca="false">AND('current index'!#ref!,"AAAAAHvxdZI=")</f>
        <v>#VALUE!</v>
      </c>
      <c r="ER19" s="22" t="e">
        <f aca="false">AND('current index'!#ref!,"AAAAAHvxdZM=")</f>
        <v>#VALUE!</v>
      </c>
      <c r="ES19" s="22" t="e">
        <f aca="false">AND('current index'!#ref!,"AAAAAHvxdZQ=")</f>
        <v>#VALUE!</v>
      </c>
      <c r="ET19" s="22" t="e">
        <f aca="false">AND('current index'!#ref!,"AAAAAHvxdZU=")</f>
        <v>#VALUE!</v>
      </c>
      <c r="EU19" s="22" t="e">
        <f aca="false">AND('current index'!#ref!,"AAAAAHvxdZY=")</f>
        <v>#VALUE!</v>
      </c>
      <c r="EV19" s="22" t="e">
        <f aca="false">AND('current index'!#ref!,"AAAAAHvxdZc=")</f>
        <v>#VALUE!</v>
      </c>
      <c r="EW19" s="22" t="e">
        <f aca="false">AND('current index'!#ref!,"AAAAAHvxdZg=")</f>
        <v>#VALUE!</v>
      </c>
      <c r="EX19" s="22" t="e">
        <f aca="false">AND('current index'!#ref!,"AAAAAHvxdZk=")</f>
        <v>#VALUE!</v>
      </c>
      <c r="EY19" s="22" t="e">
        <f aca="false">AND('current index'!#ref!,"AAAAAHvxdZo=")</f>
        <v>#VALUE!</v>
      </c>
      <c r="EZ19" s="22" t="n">
        <f aca="false">IF('Current Index'!478:478,"AAAAAHvxdZs=",0)</f>
        <v>0</v>
      </c>
      <c r="FA19" s="22" t="e">
        <f aca="false">AND('Current Index'!A478,"AAAAAHvxdZw=")</f>
        <v>#VALUE!</v>
      </c>
      <c r="FB19" s="22" t="e">
        <f aca="false">AND('current index'!#ref!,"AAAAAHvxdZ0=")</f>
        <v>#VALUE!</v>
      </c>
      <c r="FC19" s="22" t="e">
        <f aca="false">AND('Current Index'!B478,"AAAAAHvxdZ4=")</f>
        <v>#VALUE!</v>
      </c>
      <c r="FD19" s="22" t="e">
        <f aca="false">AND('Current Index'!C478,"AAAAAHvxdZ8=")</f>
        <v>#VALUE!</v>
      </c>
      <c r="FE19" s="22" t="e">
        <f aca="false">AND('Current Index'!D478,"AAAAAHvxdaA=")</f>
        <v>#VALUE!</v>
      </c>
      <c r="FF19" s="22" t="e">
        <f aca="false">AND('Current Index'!E478,"AAAAAHvxdaE=")</f>
        <v>#VALUE!</v>
      </c>
      <c r="FG19" s="22" t="e">
        <f aca="false">AND('Current Index'!F478,"AAAAAHvxdaI=")</f>
        <v>#VALUE!</v>
      </c>
      <c r="FH19" s="22" t="e">
        <f aca="false">AND('Current Index'!G478,"AAAAAHvxdaM=")</f>
        <v>#VALUE!</v>
      </c>
      <c r="FI19" s="22" t="e">
        <f aca="false">AND('Current Index'!H478,"AAAAAHvxdaQ=")</f>
        <v>#VALUE!</v>
      </c>
      <c r="FJ19" s="22" t="e">
        <f aca="false">AND('Current Index'!I478,"AAAAAHvxdaU=")</f>
        <v>#VALUE!</v>
      </c>
      <c r="FK19" s="22" t="n">
        <f aca="false">IF('Current Index'!479:479,"AAAAAHvxdaY=",0)</f>
        <v>0</v>
      </c>
      <c r="FL19" s="22" t="e">
        <f aca="false">AND('Current Index'!A479,"AAAAAHvxdac=")</f>
        <v>#VALUE!</v>
      </c>
      <c r="FM19" s="22" t="e">
        <f aca="false">AND('current index'!#ref!,"AAAAAHvxdag=")</f>
        <v>#VALUE!</v>
      </c>
      <c r="FN19" s="22" t="e">
        <f aca="false">AND('Current Index'!B479,"AAAAAHvxdak=")</f>
        <v>#VALUE!</v>
      </c>
      <c r="FO19" s="22" t="e">
        <f aca="false">AND('Current Index'!C479,"AAAAAHvxdao=")</f>
        <v>#VALUE!</v>
      </c>
      <c r="FP19" s="22" t="e">
        <f aca="false">AND('Current Index'!D479,"AAAAAHvxdas=")</f>
        <v>#VALUE!</v>
      </c>
      <c r="FQ19" s="22" t="e">
        <f aca="false">AND('Current Index'!E479,"AAAAAHvxdaw=")</f>
        <v>#VALUE!</v>
      </c>
      <c r="FR19" s="22" t="e">
        <f aca="false">AND('Current Index'!F479,"AAAAAHvxda0=")</f>
        <v>#VALUE!</v>
      </c>
      <c r="FS19" s="22" t="e">
        <f aca="false">AND('Current Index'!G479,"AAAAAHvxda4=")</f>
        <v>#VALUE!</v>
      </c>
      <c r="FT19" s="22" t="e">
        <f aca="false">AND('Current Index'!H479,"AAAAAHvxda8=")</f>
        <v>#VALUE!</v>
      </c>
      <c r="FU19" s="22" t="e">
        <f aca="false">AND('Current Index'!I479,"AAAAAHvxdbA=")</f>
        <v>#VALUE!</v>
      </c>
      <c r="FV19" s="22" t="n">
        <f aca="false">IF('Current Index'!480:480,"AAAAAHvxdbE=",0)</f>
        <v>0</v>
      </c>
      <c r="FW19" s="22" t="e">
        <f aca="false">AND('Current Index'!A480,"AAAAAHvxdbI=")</f>
        <v>#VALUE!</v>
      </c>
      <c r="FX19" s="22" t="e">
        <f aca="false">AND('current index'!#ref!,"AAAAAHvxdbM=")</f>
        <v>#VALUE!</v>
      </c>
      <c r="FY19" s="22" t="e">
        <f aca="false">AND('Current Index'!B480,"AAAAAHvxdbQ=")</f>
        <v>#VALUE!</v>
      </c>
      <c r="FZ19" s="22" t="e">
        <f aca="false">AND('Current Index'!C480,"AAAAAHvxdbU=")</f>
        <v>#VALUE!</v>
      </c>
      <c r="GA19" s="22" t="e">
        <f aca="false">AND('Current Index'!D480,"AAAAAHvxdbY=")</f>
        <v>#VALUE!</v>
      </c>
      <c r="GB19" s="22" t="e">
        <f aca="false">AND('Current Index'!E480,"AAAAAHvxdbc=")</f>
        <v>#VALUE!</v>
      </c>
      <c r="GC19" s="22" t="e">
        <f aca="false">AND('Current Index'!F480,"AAAAAHvxdbg=")</f>
        <v>#VALUE!</v>
      </c>
      <c r="GD19" s="22" t="e">
        <f aca="false">AND('Current Index'!G480,"AAAAAHvxdbk=")</f>
        <v>#VALUE!</v>
      </c>
      <c r="GE19" s="22" t="e">
        <f aca="false">AND('Current Index'!H480,"AAAAAHvxdbo=")</f>
        <v>#VALUE!</v>
      </c>
      <c r="GF19" s="22" t="e">
        <f aca="false">AND('Current Index'!I480,"AAAAAHvxdbs=")</f>
        <v>#VALUE!</v>
      </c>
      <c r="GG19" s="22" t="n">
        <f aca="false">IF('Current Index'!481:481,"AAAAAHvxdbw=",0)</f>
        <v>0</v>
      </c>
      <c r="GH19" s="22" t="e">
        <f aca="false">AND('Current Index'!A481,"AAAAAHvxdb0=")</f>
        <v>#VALUE!</v>
      </c>
      <c r="GI19" s="22" t="e">
        <f aca="false">AND('current index'!#ref!,"AAAAAHvxdb4=")</f>
        <v>#VALUE!</v>
      </c>
      <c r="GJ19" s="22" t="e">
        <f aca="false">AND('Current Index'!B481,"AAAAAHvxdb8=")</f>
        <v>#VALUE!</v>
      </c>
      <c r="GK19" s="22" t="e">
        <f aca="false">AND('Current Index'!C481,"AAAAAHvxdcA=")</f>
        <v>#VALUE!</v>
      </c>
      <c r="GL19" s="22" t="e">
        <f aca="false">AND('Current Index'!D481,"AAAAAHvxdcE=")</f>
        <v>#VALUE!</v>
      </c>
      <c r="GM19" s="22" t="e">
        <f aca="false">AND('Current Index'!E481,"AAAAAHvxdcI=")</f>
        <v>#VALUE!</v>
      </c>
      <c r="GN19" s="22" t="e">
        <f aca="false">AND('Current Index'!F481,"AAAAAHvxdcM=")</f>
        <v>#VALUE!</v>
      </c>
      <c r="GO19" s="22" t="e">
        <f aca="false">AND('Current Index'!G481,"AAAAAHvxdcQ=")</f>
        <v>#VALUE!</v>
      </c>
      <c r="GP19" s="22" t="e">
        <f aca="false">AND('Current Index'!H481,"AAAAAHvxdcU=")</f>
        <v>#VALUE!</v>
      </c>
      <c r="GQ19" s="22" t="e">
        <f aca="false">AND('Current Index'!I481,"AAAAAHvxdcY=")</f>
        <v>#VALUE!</v>
      </c>
      <c r="GR19" s="22" t="n">
        <f aca="false">IF('Current Index'!482:482,"AAAAAHvxdcc=",0)</f>
        <v>0</v>
      </c>
      <c r="GS19" s="22" t="e">
        <f aca="false">AND('Current Index'!A482,"AAAAAHvxdcg=")</f>
        <v>#VALUE!</v>
      </c>
      <c r="GT19" s="22" t="e">
        <f aca="false">AND('current index'!#ref!,"AAAAAHvxdck=")</f>
        <v>#VALUE!</v>
      </c>
      <c r="GU19" s="22" t="e">
        <f aca="false">AND('Current Index'!B482,"AAAAAHvxdco=")</f>
        <v>#VALUE!</v>
      </c>
      <c r="GV19" s="22" t="e">
        <f aca="false">AND('Current Index'!C482,"AAAAAHvxdcs=")</f>
        <v>#VALUE!</v>
      </c>
      <c r="GW19" s="22" t="e">
        <f aca="false">AND('Current Index'!D482,"AAAAAHvxdcw=")</f>
        <v>#VALUE!</v>
      </c>
      <c r="GX19" s="22" t="e">
        <f aca="false">AND('Current Index'!E482,"AAAAAHvxdc0=")</f>
        <v>#VALUE!</v>
      </c>
      <c r="GY19" s="22" t="e">
        <f aca="false">AND('Current Index'!F482,"AAAAAHvxdc4=")</f>
        <v>#VALUE!</v>
      </c>
      <c r="GZ19" s="22" t="e">
        <f aca="false">AND('Current Index'!G482,"AAAAAHvxdc8=")</f>
        <v>#VALUE!</v>
      </c>
      <c r="HA19" s="22" t="e">
        <f aca="false">AND('Current Index'!H482,"AAAAAHvxddA=")</f>
        <v>#VALUE!</v>
      </c>
      <c r="HB19" s="22" t="e">
        <f aca="false">AND('Current Index'!I482,"AAAAAHvxddE=")</f>
        <v>#VALUE!</v>
      </c>
      <c r="HC19" s="22" t="n">
        <f aca="false">IF('Current Index'!483:483,"AAAAAHvxddI=",0)</f>
        <v>0</v>
      </c>
      <c r="HD19" s="22" t="e">
        <f aca="false">AND('Current Index'!A483,"AAAAAHvxddM=")</f>
        <v>#VALUE!</v>
      </c>
      <c r="HE19" s="22" t="e">
        <f aca="false">AND('current index'!#ref!,"AAAAAHvxddQ=")</f>
        <v>#VALUE!</v>
      </c>
      <c r="HF19" s="22" t="e">
        <f aca="false">AND('Current Index'!B483,"AAAAAHvxddU=")</f>
        <v>#VALUE!</v>
      </c>
      <c r="HG19" s="22" t="e">
        <f aca="false">AND('Current Index'!C483,"AAAAAHvxddY=")</f>
        <v>#VALUE!</v>
      </c>
      <c r="HH19" s="22" t="e">
        <f aca="false">AND('Current Index'!D483,"AAAAAHvxddc=")</f>
        <v>#VALUE!</v>
      </c>
      <c r="HI19" s="22" t="e">
        <f aca="false">AND('Current Index'!E483,"AAAAAHvxddg=")</f>
        <v>#VALUE!</v>
      </c>
      <c r="HJ19" s="22" t="e">
        <f aca="false">AND('Current Index'!F483,"AAAAAHvxddk=")</f>
        <v>#VALUE!</v>
      </c>
      <c r="HK19" s="22" t="e">
        <f aca="false">AND('Current Index'!G483,"AAAAAHvxddo=")</f>
        <v>#VALUE!</v>
      </c>
      <c r="HL19" s="22" t="e">
        <f aca="false">AND('Current Index'!H483,"AAAAAHvxdds=")</f>
        <v>#VALUE!</v>
      </c>
      <c r="HM19" s="22" t="e">
        <f aca="false">AND('Current Index'!I483,"AAAAAHvxddw=")</f>
        <v>#VALUE!</v>
      </c>
      <c r="HN19" s="22" t="n">
        <f aca="false">IF('Current Index'!484:484,"AAAAAHvxdd0=",0)</f>
        <v>0</v>
      </c>
      <c r="HO19" s="22" t="e">
        <f aca="false">AND('Current Index'!A484,"AAAAAHvxdd4=")</f>
        <v>#VALUE!</v>
      </c>
      <c r="HP19" s="22" t="e">
        <f aca="false">AND('current index'!#ref!,"AAAAAHvxdd8=")</f>
        <v>#VALUE!</v>
      </c>
      <c r="HQ19" s="22" t="e">
        <f aca="false">AND('Current Index'!B484,"AAAAAHvxdeA=")</f>
        <v>#VALUE!</v>
      </c>
      <c r="HR19" s="22" t="e">
        <f aca="false">AND('Current Index'!C484,"AAAAAHvxdeE=")</f>
        <v>#VALUE!</v>
      </c>
      <c r="HS19" s="22" t="e">
        <f aca="false">AND('Current Index'!D484,"AAAAAHvxdeI=")</f>
        <v>#VALUE!</v>
      </c>
      <c r="HT19" s="22" t="e">
        <f aca="false">AND('Current Index'!E484,"AAAAAHvxdeM=")</f>
        <v>#VALUE!</v>
      </c>
      <c r="HU19" s="22" t="e">
        <f aca="false">AND('Current Index'!F484,"AAAAAHvxdeQ=")</f>
        <v>#VALUE!</v>
      </c>
      <c r="HV19" s="22" t="e">
        <f aca="false">AND('Current Index'!G484,"AAAAAHvxdeU=")</f>
        <v>#VALUE!</v>
      </c>
      <c r="HW19" s="22" t="e">
        <f aca="false">AND('Current Index'!H484,"AAAAAHvxdeY=")</f>
        <v>#VALUE!</v>
      </c>
      <c r="HX19" s="22" t="e">
        <f aca="false">AND('Current Index'!I484,"AAAAAHvxdec=")</f>
        <v>#VALUE!</v>
      </c>
      <c r="HY19" s="22" t="n">
        <f aca="false">IF('Current Index'!485:485,"AAAAAHvxdeg=",0)</f>
        <v>0</v>
      </c>
      <c r="HZ19" s="22" t="e">
        <f aca="false">AND('Current Index'!A485,"AAAAAHvxdek=")</f>
        <v>#VALUE!</v>
      </c>
      <c r="IA19" s="22" t="e">
        <f aca="false">AND('current index'!#ref!,"AAAAAHvxdeo=")</f>
        <v>#VALUE!</v>
      </c>
      <c r="IB19" s="22" t="e">
        <f aca="false">AND('Current Index'!B485,"AAAAAHvxdes=")</f>
        <v>#VALUE!</v>
      </c>
      <c r="IC19" s="22" t="e">
        <f aca="false">AND('Current Index'!C485,"AAAAAHvxdew=")</f>
        <v>#VALUE!</v>
      </c>
      <c r="ID19" s="22" t="e">
        <f aca="false">AND('Current Index'!D485,"AAAAAHvxde0=")</f>
        <v>#VALUE!</v>
      </c>
      <c r="IE19" s="22" t="e">
        <f aca="false">AND('Current Index'!E485,"AAAAAHvxde4=")</f>
        <v>#VALUE!</v>
      </c>
      <c r="IF19" s="22" t="e">
        <f aca="false">AND('Current Index'!F485,"AAAAAHvxde8=")</f>
        <v>#VALUE!</v>
      </c>
      <c r="IG19" s="22" t="e">
        <f aca="false">AND('Current Index'!G485,"AAAAAHvxdfA=")</f>
        <v>#VALUE!</v>
      </c>
      <c r="IH19" s="22" t="e">
        <f aca="false">AND('Current Index'!H485,"AAAAAHvxdfE=")</f>
        <v>#VALUE!</v>
      </c>
      <c r="II19" s="22" t="e">
        <f aca="false">AND('Current Index'!I485,"AAAAAHvxdfI=")</f>
        <v>#VALUE!</v>
      </c>
      <c r="IJ19" s="22" t="n">
        <f aca="false">IF('Current Index'!486:486,"AAAAAHvxdfM=",0)</f>
        <v>0</v>
      </c>
      <c r="IK19" s="22" t="e">
        <f aca="false">AND('Current Index'!A486,"AAAAAHvxdfQ=")</f>
        <v>#VALUE!</v>
      </c>
      <c r="IL19" s="22" t="e">
        <f aca="false">AND('current index'!#ref!,"AAAAAHvxdfU=")</f>
        <v>#VALUE!</v>
      </c>
      <c r="IM19" s="22" t="e">
        <f aca="false">AND('Current Index'!B486,"AAAAAHvxdfY=")</f>
        <v>#VALUE!</v>
      </c>
      <c r="IN19" s="22" t="e">
        <f aca="false">AND('Current Index'!C486,"AAAAAHvxdfc=")</f>
        <v>#VALUE!</v>
      </c>
      <c r="IO19" s="22" t="e">
        <f aca="false">AND('Current Index'!D486,"AAAAAHvxdfg=")</f>
        <v>#VALUE!</v>
      </c>
      <c r="IP19" s="22" t="e">
        <f aca="false">AND('Current Index'!E486,"AAAAAHvxdfk=")</f>
        <v>#VALUE!</v>
      </c>
      <c r="IQ19" s="22" t="e">
        <f aca="false">AND('Current Index'!F486,"AAAAAHvxdfo=")</f>
        <v>#VALUE!</v>
      </c>
      <c r="IR19" s="22" t="e">
        <f aca="false">AND('Current Index'!G486,"AAAAAHvxdfs=")</f>
        <v>#VALUE!</v>
      </c>
      <c r="IS19" s="22" t="e">
        <f aca="false">AND('Current Index'!H486,"AAAAAHvxdfw=")</f>
        <v>#VALUE!</v>
      </c>
      <c r="IT19" s="22" t="e">
        <f aca="false">AND('Current Index'!I486,"AAAAAHvxdf0=")</f>
        <v>#VALUE!</v>
      </c>
      <c r="IU19" s="22" t="n">
        <f aca="false">IF('Current Index'!487:487,"AAAAAHvxdf4=",0)</f>
        <v>0</v>
      </c>
      <c r="IV19" s="22" t="e">
        <f aca="false">AND('Current Index'!A487,"AAAAAHvxdf8=")</f>
        <v>#VALUE!</v>
      </c>
    </row>
    <row r="20" customFormat="false" ht="12.75" hidden="false" customHeight="false" outlineLevel="0" collapsed="false">
      <c r="A20" s="22" t="e">
        <f aca="false">AND('current index'!#ref!,"AAAAAH330wA=")</f>
        <v>#VALUE!</v>
      </c>
      <c r="B20" s="22" t="e">
        <f aca="false">AND('Current Index'!B487,"AAAAAH330wE=")</f>
        <v>#VALUE!</v>
      </c>
      <c r="C20" s="22" t="e">
        <f aca="false">AND('Current Index'!C487,"AAAAAH330wI=")</f>
        <v>#VALUE!</v>
      </c>
      <c r="D20" s="22" t="e">
        <f aca="false">AND('Current Index'!D487,"AAAAAH330wM=")</f>
        <v>#VALUE!</v>
      </c>
      <c r="E20" s="22" t="e">
        <f aca="false">AND('Current Index'!E487,"AAAAAH330wQ=")</f>
        <v>#VALUE!</v>
      </c>
      <c r="F20" s="22" t="e">
        <f aca="false">AND('Current Index'!F487,"AAAAAH330wU=")</f>
        <v>#VALUE!</v>
      </c>
      <c r="G20" s="22" t="e">
        <f aca="false">AND('Current Index'!G487,"AAAAAH330wY=")</f>
        <v>#VALUE!</v>
      </c>
      <c r="H20" s="22" t="e">
        <f aca="false">AND('Current Index'!H487,"AAAAAH330wc=")</f>
        <v>#VALUE!</v>
      </c>
      <c r="I20" s="22" t="e">
        <f aca="false">AND('Current Index'!I487,"AAAAAH330wg=")</f>
        <v>#VALUE!</v>
      </c>
      <c r="J20" s="22" t="n">
        <f aca="false">IF('Current Index'!488:488,"AAAAAH330wk=",0)</f>
        <v>0</v>
      </c>
      <c r="K20" s="22" t="e">
        <f aca="false">AND('Current Index'!A488,"AAAAAH330wo=")</f>
        <v>#VALUE!</v>
      </c>
      <c r="L20" s="22" t="e">
        <f aca="false">AND('current index'!#ref!,"AAAAAH330ws=")</f>
        <v>#VALUE!</v>
      </c>
      <c r="M20" s="22" t="e">
        <f aca="false">AND('Current Index'!B488,"AAAAAH330ww=")</f>
        <v>#VALUE!</v>
      </c>
      <c r="N20" s="22" t="e">
        <f aca="false">AND('Current Index'!C488,"AAAAAH330w0=")</f>
        <v>#VALUE!</v>
      </c>
      <c r="O20" s="22" t="e">
        <f aca="false">AND('Current Index'!D488,"AAAAAH330w4=")</f>
        <v>#VALUE!</v>
      </c>
      <c r="P20" s="22" t="e">
        <f aca="false">AND('Current Index'!E488,"AAAAAH330w8=")</f>
        <v>#VALUE!</v>
      </c>
      <c r="Q20" s="22" t="e">
        <f aca="false">AND('Current Index'!F488,"AAAAAH330xA=")</f>
        <v>#VALUE!</v>
      </c>
      <c r="R20" s="22" t="e">
        <f aca="false">AND('Current Index'!G488,"AAAAAH330xE=")</f>
        <v>#VALUE!</v>
      </c>
      <c r="S20" s="22" t="e">
        <f aca="false">AND('Current Index'!H488,"AAAAAH330xI=")</f>
        <v>#VALUE!</v>
      </c>
      <c r="T20" s="22" t="e">
        <f aca="false">AND('Current Index'!I488,"AAAAAH330xM=")</f>
        <v>#VALUE!</v>
      </c>
      <c r="U20" s="22" t="n">
        <f aca="false">IF('Current Index'!489:489,"AAAAAH330xQ=",0)</f>
        <v>0</v>
      </c>
      <c r="V20" s="22" t="e">
        <f aca="false">AND('Current Index'!A489,"AAAAAH330xU=")</f>
        <v>#VALUE!</v>
      </c>
      <c r="W20" s="22" t="e">
        <f aca="false">AND('current index'!#ref!,"AAAAAH330xY=")</f>
        <v>#VALUE!</v>
      </c>
      <c r="X20" s="22" t="e">
        <f aca="false">AND('Current Index'!B489,"AAAAAH330xc=")</f>
        <v>#VALUE!</v>
      </c>
      <c r="Y20" s="22" t="e">
        <f aca="false">AND('Current Index'!C489,"AAAAAH330xg=")</f>
        <v>#VALUE!</v>
      </c>
      <c r="Z20" s="22" t="e">
        <f aca="false">AND('Current Index'!D489,"AAAAAH330xk=")</f>
        <v>#VALUE!</v>
      </c>
      <c r="AA20" s="22" t="e">
        <f aca="false">AND('Current Index'!E489,"AAAAAH330xo=")</f>
        <v>#VALUE!</v>
      </c>
      <c r="AB20" s="22" t="e">
        <f aca="false">AND('Current Index'!F489,"AAAAAH330xs=")</f>
        <v>#VALUE!</v>
      </c>
      <c r="AC20" s="22" t="e">
        <f aca="false">AND('Current Index'!G489,"AAAAAH330xw=")</f>
        <v>#VALUE!</v>
      </c>
      <c r="AD20" s="22" t="e">
        <f aca="false">AND('Current Index'!H489,"AAAAAH330x0=")</f>
        <v>#VALUE!</v>
      </c>
      <c r="AE20" s="22" t="e">
        <f aca="false">AND('Current Index'!I489,"AAAAAH330x4=")</f>
        <v>#VALUE!</v>
      </c>
      <c r="AF20" s="22" t="n">
        <f aca="false">IF('Current Index'!490:490,"AAAAAH330x8=",0)</f>
        <v>0</v>
      </c>
      <c r="AG20" s="22" t="e">
        <f aca="false">AND('Current Index'!A490,"AAAAAH330yA=")</f>
        <v>#VALUE!</v>
      </c>
      <c r="AH20" s="22" t="e">
        <f aca="false">AND('current index'!#ref!,"AAAAAH330yE=")</f>
        <v>#VALUE!</v>
      </c>
      <c r="AI20" s="22" t="e">
        <f aca="false">AND('Current Index'!B490,"AAAAAH330yI=")</f>
        <v>#VALUE!</v>
      </c>
      <c r="AJ20" s="22" t="e">
        <f aca="false">AND('Current Index'!C490,"AAAAAH330yM=")</f>
        <v>#VALUE!</v>
      </c>
      <c r="AK20" s="22" t="e">
        <f aca="false">AND('Current Index'!D490,"AAAAAH330yQ=")</f>
        <v>#VALUE!</v>
      </c>
      <c r="AL20" s="22" t="e">
        <f aca="false">AND('Current Index'!E490,"AAAAAH330yU=")</f>
        <v>#VALUE!</v>
      </c>
      <c r="AM20" s="22" t="e">
        <f aca="false">AND('Current Index'!F490,"AAAAAH330yY=")</f>
        <v>#VALUE!</v>
      </c>
      <c r="AN20" s="22" t="e">
        <f aca="false">AND('Current Index'!G490,"AAAAAH330yc=")</f>
        <v>#VALUE!</v>
      </c>
      <c r="AO20" s="22" t="e">
        <f aca="false">AND('Current Index'!H490,"AAAAAH330yg=")</f>
        <v>#VALUE!</v>
      </c>
      <c r="AP20" s="22" t="e">
        <f aca="false">AND('Current Index'!I490,"AAAAAH330yk=")</f>
        <v>#VALUE!</v>
      </c>
      <c r="AQ20" s="22" t="n">
        <f aca="false">IF('Current Index'!491:491,"AAAAAH330yo=",0)</f>
        <v>0</v>
      </c>
      <c r="AR20" s="22" t="e">
        <f aca="false">AND('Current Index'!A491,"AAAAAH330ys=")</f>
        <v>#VALUE!</v>
      </c>
      <c r="AS20" s="22" t="e">
        <f aca="false">AND('current index'!#ref!,"AAAAAH330yw=")</f>
        <v>#VALUE!</v>
      </c>
      <c r="AT20" s="22" t="e">
        <f aca="false">AND('Current Index'!B491,"AAAAAH330y0=")</f>
        <v>#VALUE!</v>
      </c>
      <c r="AU20" s="22" t="e">
        <f aca="false">AND('Current Index'!C491,"AAAAAH330y4=")</f>
        <v>#VALUE!</v>
      </c>
      <c r="AV20" s="22" t="e">
        <f aca="false">AND('Current Index'!D491,"AAAAAH330y8=")</f>
        <v>#VALUE!</v>
      </c>
      <c r="AW20" s="22" t="e">
        <f aca="false">AND('Current Index'!E491,"AAAAAH330zA=")</f>
        <v>#VALUE!</v>
      </c>
      <c r="AX20" s="22" t="e">
        <f aca="false">AND('Current Index'!F491,"AAAAAH330zE=")</f>
        <v>#VALUE!</v>
      </c>
      <c r="AY20" s="22" t="e">
        <f aca="false">AND('Current Index'!G491,"AAAAAH330zI=")</f>
        <v>#VALUE!</v>
      </c>
      <c r="AZ20" s="22" t="e">
        <f aca="false">AND('Current Index'!H491,"AAAAAH330zM=")</f>
        <v>#VALUE!</v>
      </c>
      <c r="BA20" s="22" t="e">
        <f aca="false">AND('Current Index'!I491,"AAAAAH330zQ=")</f>
        <v>#VALUE!</v>
      </c>
      <c r="BB20" s="22" t="n">
        <f aca="false">IF('Current Index'!492:492,"AAAAAH330zU=",0)</f>
        <v>0</v>
      </c>
      <c r="BC20" s="22" t="e">
        <f aca="false">AND('Current Index'!A492,"AAAAAH330zY=")</f>
        <v>#VALUE!</v>
      </c>
      <c r="BD20" s="22" t="e">
        <f aca="false">AND('current index'!#ref!,"AAAAAH330zc=")</f>
        <v>#VALUE!</v>
      </c>
      <c r="BE20" s="22" t="e">
        <f aca="false">AND('Current Index'!B492,"AAAAAH330zg=")</f>
        <v>#VALUE!</v>
      </c>
      <c r="BF20" s="22" t="e">
        <f aca="false">AND('Current Index'!C492,"AAAAAH330zk=")</f>
        <v>#VALUE!</v>
      </c>
      <c r="BG20" s="22" t="e">
        <f aca="false">AND('Current Index'!D492,"AAAAAH330zo=")</f>
        <v>#VALUE!</v>
      </c>
      <c r="BH20" s="22" t="e">
        <f aca="false">AND('Current Index'!E492,"AAAAAH330zs=")</f>
        <v>#VALUE!</v>
      </c>
      <c r="BI20" s="22" t="e">
        <f aca="false">AND('Current Index'!F492,"AAAAAH330zw=")</f>
        <v>#VALUE!</v>
      </c>
      <c r="BJ20" s="22" t="e">
        <f aca="false">AND('Current Index'!G492,"AAAAAH330z0=")</f>
        <v>#VALUE!</v>
      </c>
      <c r="BK20" s="22" t="e">
        <f aca="false">AND('Current Index'!H492,"AAAAAH330z4=")</f>
        <v>#VALUE!</v>
      </c>
      <c r="BL20" s="22" t="e">
        <f aca="false">AND('Current Index'!I492,"AAAAAH330z8=")</f>
        <v>#VALUE!</v>
      </c>
      <c r="BM20" s="22" t="n">
        <f aca="false">IF('Current Index'!493:493,"AAAAAH3300A=",0)</f>
        <v>0</v>
      </c>
      <c r="BN20" s="22" t="e">
        <f aca="false">AND('Current Index'!A493,"AAAAAH3300E=")</f>
        <v>#VALUE!</v>
      </c>
      <c r="BO20" s="22" t="e">
        <f aca="false">AND('current index'!#ref!,"AAAAAH3300I=")</f>
        <v>#VALUE!</v>
      </c>
      <c r="BP20" s="22" t="e">
        <f aca="false">AND('Current Index'!B493,"AAAAAH3300M=")</f>
        <v>#VALUE!</v>
      </c>
      <c r="BQ20" s="22" t="e">
        <f aca="false">AND('Current Index'!C493,"AAAAAH3300Q=")</f>
        <v>#VALUE!</v>
      </c>
      <c r="BR20" s="22" t="e">
        <f aca="false">AND('Current Index'!D493,"AAAAAH3300U=")</f>
        <v>#VALUE!</v>
      </c>
      <c r="BS20" s="22" t="e">
        <f aca="false">AND('Current Index'!E493,"AAAAAH3300Y=")</f>
        <v>#VALUE!</v>
      </c>
      <c r="BT20" s="22" t="e">
        <f aca="false">AND('Current Index'!F493,"AAAAAH3300c=")</f>
        <v>#VALUE!</v>
      </c>
      <c r="BU20" s="22" t="e">
        <f aca="false">AND('Current Index'!G493,"AAAAAH3300g=")</f>
        <v>#VALUE!</v>
      </c>
      <c r="BV20" s="22" t="e">
        <f aca="false">AND('Current Index'!H493,"AAAAAH3300k=")</f>
        <v>#VALUE!</v>
      </c>
      <c r="BW20" s="22" t="e">
        <f aca="false">AND('Current Index'!I493,"AAAAAH3300o=")</f>
        <v>#VALUE!</v>
      </c>
      <c r="BX20" s="22" t="n">
        <f aca="false">IF('Current Index'!494:494,"AAAAAH3300s=",0)</f>
        <v>0</v>
      </c>
      <c r="BY20" s="22" t="e">
        <f aca="false">AND('Current Index'!A494,"AAAAAH3300w=")</f>
        <v>#VALUE!</v>
      </c>
      <c r="BZ20" s="22" t="e">
        <f aca="false">AND('current index'!#ref!,"AAAAAH33000=")</f>
        <v>#VALUE!</v>
      </c>
      <c r="CA20" s="22" t="e">
        <f aca="false">AND('Current Index'!B494,"AAAAAH33004=")</f>
        <v>#VALUE!</v>
      </c>
      <c r="CB20" s="22" t="e">
        <f aca="false">AND('Current Index'!C494,"AAAAAH33008=")</f>
        <v>#VALUE!</v>
      </c>
      <c r="CC20" s="22" t="e">
        <f aca="false">AND('Current Index'!D494,"AAAAAH3301A=")</f>
        <v>#VALUE!</v>
      </c>
      <c r="CD20" s="22" t="e">
        <f aca="false">AND('Current Index'!E494,"AAAAAH3301E=")</f>
        <v>#VALUE!</v>
      </c>
      <c r="CE20" s="22" t="e">
        <f aca="false">AND('Current Index'!F494,"AAAAAH3301I=")</f>
        <v>#VALUE!</v>
      </c>
      <c r="CF20" s="22" t="e">
        <f aca="false">AND('Current Index'!G494,"AAAAAH3301M=")</f>
        <v>#VALUE!</v>
      </c>
      <c r="CG20" s="22" t="e">
        <f aca="false">AND('Current Index'!H494,"AAAAAH3301Q=")</f>
        <v>#VALUE!</v>
      </c>
      <c r="CH20" s="22" t="e">
        <f aca="false">AND('Current Index'!I494,"AAAAAH3301U=")</f>
        <v>#VALUE!</v>
      </c>
      <c r="CI20" s="22" t="n">
        <f aca="false">IF('Current Index'!495:495,"AAAAAH3301Y=",0)</f>
        <v>0</v>
      </c>
      <c r="CJ20" s="22" t="e">
        <f aca="false">AND('Current Index'!A495,"AAAAAH3301c=")</f>
        <v>#VALUE!</v>
      </c>
      <c r="CK20" s="22" t="e">
        <f aca="false">AND('current index'!#ref!,"AAAAAH3301g=")</f>
        <v>#VALUE!</v>
      </c>
      <c r="CL20" s="22" t="e">
        <f aca="false">AND('Current Index'!B495,"AAAAAH3301k=")</f>
        <v>#VALUE!</v>
      </c>
      <c r="CM20" s="22" t="e">
        <f aca="false">AND('Current Index'!C495,"AAAAAH3301o=")</f>
        <v>#VALUE!</v>
      </c>
      <c r="CN20" s="22" t="e">
        <f aca="false">AND('Current Index'!D495,"AAAAAH3301s=")</f>
        <v>#VALUE!</v>
      </c>
      <c r="CO20" s="22" t="e">
        <f aca="false">AND('Current Index'!E495,"AAAAAH3301w=")</f>
        <v>#VALUE!</v>
      </c>
      <c r="CP20" s="22" t="e">
        <f aca="false">AND('Current Index'!F495,"AAAAAH33010=")</f>
        <v>#VALUE!</v>
      </c>
      <c r="CQ20" s="22" t="e">
        <f aca="false">AND('Current Index'!G495,"AAAAAH33014=")</f>
        <v>#VALUE!</v>
      </c>
      <c r="CR20" s="22" t="e">
        <f aca="false">AND('Current Index'!H495,"AAAAAH33018=")</f>
        <v>#VALUE!</v>
      </c>
      <c r="CS20" s="22" t="e">
        <f aca="false">AND('Current Index'!I495,"AAAAAH3302A=")</f>
        <v>#VALUE!</v>
      </c>
      <c r="CT20" s="22" t="n">
        <f aca="false">IF('Current Index'!496:496,"AAAAAH3302E=",0)</f>
        <v>0</v>
      </c>
      <c r="CU20" s="22" t="e">
        <f aca="false">AND('Current Index'!A496,"AAAAAH3302I=")</f>
        <v>#VALUE!</v>
      </c>
      <c r="CV20" s="22" t="e">
        <f aca="false">AND('current index'!#ref!,"AAAAAH3302M=")</f>
        <v>#VALUE!</v>
      </c>
      <c r="CW20" s="22" t="e">
        <f aca="false">AND('Current Index'!B496,"AAAAAH3302Q=")</f>
        <v>#VALUE!</v>
      </c>
      <c r="CX20" s="22" t="e">
        <f aca="false">AND('Current Index'!C496,"AAAAAH3302U=")</f>
        <v>#VALUE!</v>
      </c>
      <c r="CY20" s="22" t="e">
        <f aca="false">AND('Current Index'!D496,"AAAAAH3302Y=")</f>
        <v>#VALUE!</v>
      </c>
      <c r="CZ20" s="22" t="e">
        <f aca="false">AND('Current Index'!E496,"AAAAAH3302c=")</f>
        <v>#VALUE!</v>
      </c>
      <c r="DA20" s="22" t="e">
        <f aca="false">AND('Current Index'!F496,"AAAAAH3302g=")</f>
        <v>#VALUE!</v>
      </c>
      <c r="DB20" s="22" t="e">
        <f aca="false">AND('Current Index'!G496,"AAAAAH3302k=")</f>
        <v>#VALUE!</v>
      </c>
      <c r="DC20" s="22" t="e">
        <f aca="false">AND('Current Index'!H496,"AAAAAH3302o=")</f>
        <v>#VALUE!</v>
      </c>
      <c r="DD20" s="22" t="e">
        <f aca="false">AND('Current Index'!I496,"AAAAAH3302s=")</f>
        <v>#VALUE!</v>
      </c>
      <c r="DE20" s="22" t="n">
        <f aca="false">IF('Current Index'!497:497,"AAAAAH3302w=",0)</f>
        <v>0</v>
      </c>
      <c r="DF20" s="22" t="e">
        <f aca="false">AND('Current Index'!A497,"AAAAAH33020=")</f>
        <v>#VALUE!</v>
      </c>
      <c r="DG20" s="22" t="e">
        <f aca="false">AND('current index'!#ref!,"AAAAAH33024=")</f>
        <v>#VALUE!</v>
      </c>
      <c r="DH20" s="22" t="e">
        <f aca="false">AND('Current Index'!B497,"AAAAAH33028=")</f>
        <v>#VALUE!</v>
      </c>
      <c r="DI20" s="22" t="e">
        <f aca="false">AND('Current Index'!C497,"AAAAAH3303A=")</f>
        <v>#VALUE!</v>
      </c>
      <c r="DJ20" s="22" t="e">
        <f aca="false">AND('Current Index'!D497,"AAAAAH3303E=")</f>
        <v>#VALUE!</v>
      </c>
      <c r="DK20" s="22" t="e">
        <f aca="false">AND('Current Index'!E497,"AAAAAH3303I=")</f>
        <v>#VALUE!</v>
      </c>
      <c r="DL20" s="22" t="e">
        <f aca="false">AND('Current Index'!F497,"AAAAAH3303M=")</f>
        <v>#VALUE!</v>
      </c>
      <c r="DM20" s="22" t="e">
        <f aca="false">AND('Current Index'!G497,"AAAAAH3303Q=")</f>
        <v>#VALUE!</v>
      </c>
      <c r="DN20" s="22" t="e">
        <f aca="false">AND('Current Index'!H497,"AAAAAH3303U=")</f>
        <v>#VALUE!</v>
      </c>
      <c r="DO20" s="22" t="e">
        <f aca="false">AND('Current Index'!I497,"AAAAAH3303Y=")</f>
        <v>#VALUE!</v>
      </c>
      <c r="DP20" s="22" t="n">
        <f aca="false">IF('Current Index'!498:498,"AAAAAH3303c=",0)</f>
        <v>0</v>
      </c>
      <c r="DQ20" s="22" t="e">
        <f aca="false">AND('Current Index'!A498,"AAAAAH3303g=")</f>
        <v>#VALUE!</v>
      </c>
      <c r="DR20" s="22" t="e">
        <f aca="false">AND('current index'!#ref!,"AAAAAH3303k=")</f>
        <v>#VALUE!</v>
      </c>
      <c r="DS20" s="22" t="e">
        <f aca="false">AND('Current Index'!B498,"AAAAAH3303o=")</f>
        <v>#VALUE!</v>
      </c>
      <c r="DT20" s="22" t="e">
        <f aca="false">AND('Current Index'!C498,"AAAAAH3303s=")</f>
        <v>#VALUE!</v>
      </c>
      <c r="DU20" s="22" t="e">
        <f aca="false">AND('Current Index'!D498,"AAAAAH3303w=")</f>
        <v>#VALUE!</v>
      </c>
      <c r="DV20" s="22" t="e">
        <f aca="false">AND('Current Index'!E498,"AAAAAH33030=")</f>
        <v>#VALUE!</v>
      </c>
      <c r="DW20" s="22" t="e">
        <f aca="false">AND('Current Index'!F498,"AAAAAH33034=")</f>
        <v>#VALUE!</v>
      </c>
      <c r="DX20" s="22" t="e">
        <f aca="false">AND('Current Index'!G498,"AAAAAH33038=")</f>
        <v>#VALUE!</v>
      </c>
      <c r="DY20" s="22" t="e">
        <f aca="false">AND('Current Index'!H498,"AAAAAH3304A=")</f>
        <v>#VALUE!</v>
      </c>
      <c r="DZ20" s="22" t="e">
        <f aca="false">AND('Current Index'!I498,"AAAAAH3304E=")</f>
        <v>#VALUE!</v>
      </c>
      <c r="EA20" s="22" t="e">
        <f aca="false">IF('current index'!#ref!,"AAAAAH3304I=",0)</f>
        <v>#VALUE!</v>
      </c>
      <c r="EB20" s="22" t="e">
        <f aca="false">AND('current index'!#ref!,"AAAAAH3304M=")</f>
        <v>#VALUE!</v>
      </c>
      <c r="EC20" s="22" t="e">
        <f aca="false">AND('current index'!#ref!,"AAAAAH3304Q=")</f>
        <v>#VALUE!</v>
      </c>
      <c r="ED20" s="22" t="e">
        <f aca="false">AND('current index'!#ref!,"AAAAAH3304U=")</f>
        <v>#VALUE!</v>
      </c>
      <c r="EE20" s="22" t="e">
        <f aca="false">AND('current index'!#ref!,"AAAAAH3304Y=")</f>
        <v>#VALUE!</v>
      </c>
      <c r="EF20" s="22" t="e">
        <f aca="false">AND('current index'!#ref!,"AAAAAH3304c=")</f>
        <v>#VALUE!</v>
      </c>
      <c r="EG20" s="22" t="e">
        <f aca="false">AND('current index'!#ref!,"AAAAAH3304g=")</f>
        <v>#VALUE!</v>
      </c>
      <c r="EH20" s="22" t="e">
        <f aca="false">AND('current index'!#ref!,"AAAAAH3304k=")</f>
        <v>#VALUE!</v>
      </c>
      <c r="EI20" s="22" t="e">
        <f aca="false">AND('current index'!#ref!,"AAAAAH3304o=")</f>
        <v>#VALUE!</v>
      </c>
      <c r="EJ20" s="22" t="e">
        <f aca="false">AND('current index'!#ref!,"AAAAAH3304s=")</f>
        <v>#VALUE!</v>
      </c>
      <c r="EK20" s="22" t="e">
        <f aca="false">AND('current index'!#ref!,"AAAAAH3304w=")</f>
        <v>#VALUE!</v>
      </c>
      <c r="EL20" s="22" t="n">
        <f aca="false">IF('Current Index'!504:504,"AAAAAH33040=",0)</f>
        <v>0</v>
      </c>
      <c r="EM20" s="22" t="e">
        <f aca="false">AND('Current Index'!A504,"AAAAAH33044=")</f>
        <v>#VALUE!</v>
      </c>
      <c r="EN20" s="22" t="e">
        <f aca="false">AND('current index'!#ref!,"AAAAAH33048=")</f>
        <v>#VALUE!</v>
      </c>
      <c r="EO20" s="22" t="e">
        <f aca="false">AND('Current Index'!B504,"AAAAAH3305A=")</f>
        <v>#VALUE!</v>
      </c>
      <c r="EP20" s="22" t="e">
        <f aca="false">AND('Current Index'!C504,"AAAAAH3305E=")</f>
        <v>#VALUE!</v>
      </c>
      <c r="EQ20" s="22" t="e">
        <f aca="false">AND('Current Index'!D504,"AAAAAH3305I=")</f>
        <v>#VALUE!</v>
      </c>
      <c r="ER20" s="22" t="e">
        <f aca="false">AND('Current Index'!E504,"AAAAAH3305M=")</f>
        <v>#VALUE!</v>
      </c>
      <c r="ES20" s="22" t="e">
        <f aca="false">AND('Current Index'!F504,"AAAAAH3305Q=")</f>
        <v>#VALUE!</v>
      </c>
      <c r="ET20" s="22" t="e">
        <f aca="false">AND('Current Index'!G504,"AAAAAH3305U=")</f>
        <v>#VALUE!</v>
      </c>
      <c r="EU20" s="22" t="e">
        <f aca="false">AND('Current Index'!H504,"AAAAAH3305Y=")</f>
        <v>#VALUE!</v>
      </c>
      <c r="EV20" s="22" t="e">
        <f aca="false">AND('Current Index'!I504,"AAAAAH3305c=")</f>
        <v>#VALUE!</v>
      </c>
      <c r="EW20" s="22" t="n">
        <f aca="false">IF('Current Index'!505:505,"AAAAAH3305g=",0)</f>
        <v>0</v>
      </c>
      <c r="EX20" s="22" t="e">
        <f aca="false">AND('Current Index'!A505,"AAAAAH3305k=")</f>
        <v>#VALUE!</v>
      </c>
      <c r="EY20" s="22" t="e">
        <f aca="false">AND('current index'!#ref!,"AAAAAH3305o=")</f>
        <v>#VALUE!</v>
      </c>
      <c r="EZ20" s="22" t="e">
        <f aca="false">AND('Current Index'!B505,"AAAAAH3305s=")</f>
        <v>#VALUE!</v>
      </c>
      <c r="FA20" s="22" t="e">
        <f aca="false">AND('Current Index'!C505,"AAAAAH3305w=")</f>
        <v>#VALUE!</v>
      </c>
      <c r="FB20" s="22" t="e">
        <f aca="false">AND('Current Index'!D505,"AAAAAH33050=")</f>
        <v>#VALUE!</v>
      </c>
      <c r="FC20" s="22" t="e">
        <f aca="false">AND('Current Index'!E505,"AAAAAH33054=")</f>
        <v>#VALUE!</v>
      </c>
      <c r="FD20" s="22" t="e">
        <f aca="false">AND('Current Index'!F505,"AAAAAH33058=")</f>
        <v>#VALUE!</v>
      </c>
      <c r="FE20" s="22" t="e">
        <f aca="false">AND('Current Index'!G505,"AAAAAH3306A=")</f>
        <v>#VALUE!</v>
      </c>
      <c r="FF20" s="22" t="e">
        <f aca="false">AND('Current Index'!H505,"AAAAAH3306E=")</f>
        <v>#VALUE!</v>
      </c>
      <c r="FG20" s="22" t="e">
        <f aca="false">AND('Current Index'!I505,"AAAAAH3306I=")</f>
        <v>#VALUE!</v>
      </c>
      <c r="FH20" s="22" t="n">
        <f aca="false">IF('Current Index'!506:506,"AAAAAH3306M=",0)</f>
        <v>0</v>
      </c>
      <c r="FI20" s="22" t="e">
        <f aca="false">AND('Current Index'!A506,"AAAAAH3306Q=")</f>
        <v>#VALUE!</v>
      </c>
      <c r="FJ20" s="22" t="e">
        <f aca="false">AND('current index'!#ref!,"AAAAAH3306U=")</f>
        <v>#VALUE!</v>
      </c>
      <c r="FK20" s="22" t="e">
        <f aca="false">AND('Current Index'!B506,"AAAAAH3306Y=")</f>
        <v>#VALUE!</v>
      </c>
      <c r="FL20" s="22" t="e">
        <f aca="false">AND('Current Index'!C506,"AAAAAH3306c=")</f>
        <v>#VALUE!</v>
      </c>
      <c r="FM20" s="22" t="e">
        <f aca="false">AND('Current Index'!D506,"AAAAAH3306g=")</f>
        <v>#VALUE!</v>
      </c>
      <c r="FN20" s="22" t="e">
        <f aca="false">AND('Current Index'!E506,"AAAAAH3306k=")</f>
        <v>#VALUE!</v>
      </c>
      <c r="FO20" s="22" t="e">
        <f aca="false">AND('Current Index'!F506,"AAAAAH3306o=")</f>
        <v>#VALUE!</v>
      </c>
      <c r="FP20" s="22" t="e">
        <f aca="false">AND('Current Index'!G506,"AAAAAH3306s=")</f>
        <v>#VALUE!</v>
      </c>
      <c r="FQ20" s="22" t="e">
        <f aca="false">AND('Current Index'!H506,"AAAAAH3306w=")</f>
        <v>#VALUE!</v>
      </c>
      <c r="FR20" s="22" t="e">
        <f aca="false">AND('Current Index'!I506,"AAAAAH33060=")</f>
        <v>#VALUE!</v>
      </c>
      <c r="FS20" s="22" t="e">
        <f aca="false">IF(#REF!,"AAAAAH33064=",0)</f>
        <v>#REF!</v>
      </c>
      <c r="FT20" s="22" t="e">
        <f aca="false">AND(#REF!,"AAAAAH33068=")</f>
        <v>#VALUE!</v>
      </c>
      <c r="FU20" s="22" t="e">
        <f aca="false">AND('current index'!#ref!,"AAAAAH3307A=")</f>
        <v>#VALUE!</v>
      </c>
      <c r="FV20" s="22" t="e">
        <f aca="false">AND(#REF!,"AAAAAH3307E=")</f>
        <v>#VALUE!</v>
      </c>
      <c r="FW20" s="22" t="e">
        <f aca="false">AND(#REF!,"AAAAAH3307I=")</f>
        <v>#VALUE!</v>
      </c>
      <c r="FX20" s="22" t="e">
        <f aca="false">AND(#REF!,"AAAAAH3307M=")</f>
        <v>#VALUE!</v>
      </c>
      <c r="FY20" s="22" t="e">
        <f aca="false">AND(#REF!,"AAAAAH3307Q=")</f>
        <v>#VALUE!</v>
      </c>
      <c r="FZ20" s="22" t="e">
        <f aca="false">AND(#REF!,"AAAAAH3307U=")</f>
        <v>#VALUE!</v>
      </c>
      <c r="GA20" s="22" t="e">
        <f aca="false">AND(#REF!,"AAAAAH3307Y=")</f>
        <v>#VALUE!</v>
      </c>
      <c r="GB20" s="22" t="e">
        <f aca="false">AND(#REF!,"AAAAAH3307c=")</f>
        <v>#VALUE!</v>
      </c>
      <c r="GC20" s="22" t="e">
        <f aca="false">AND(#REF!,"AAAAAH3307g=")</f>
        <v>#VALUE!</v>
      </c>
      <c r="GD20" s="22" t="n">
        <f aca="false">IF('Current Index'!507:507,"AAAAAH3307k=",0)</f>
        <v>0</v>
      </c>
      <c r="GE20" s="22" t="e">
        <f aca="false">AND('Current Index'!A507,"AAAAAH3307o=")</f>
        <v>#VALUE!</v>
      </c>
      <c r="GF20" s="22" t="e">
        <f aca="false">AND('current index'!#ref!,"AAAAAH3307s=")</f>
        <v>#VALUE!</v>
      </c>
      <c r="GG20" s="22" t="e">
        <f aca="false">AND('Current Index'!B507,"AAAAAH3307w=")</f>
        <v>#VALUE!</v>
      </c>
      <c r="GH20" s="22" t="e">
        <f aca="false">AND('Current Index'!C507,"AAAAAH33070=")</f>
        <v>#VALUE!</v>
      </c>
      <c r="GI20" s="22" t="e">
        <f aca="false">AND('Current Index'!D507,"AAAAAH33074=")</f>
        <v>#VALUE!</v>
      </c>
      <c r="GJ20" s="22" t="e">
        <f aca="false">AND('Current Index'!E507,"AAAAAH33078=")</f>
        <v>#VALUE!</v>
      </c>
      <c r="GK20" s="22" t="e">
        <f aca="false">AND('Current Index'!F507,"AAAAAH3308A=")</f>
        <v>#VALUE!</v>
      </c>
      <c r="GL20" s="22" t="e">
        <f aca="false">AND('Current Index'!G507,"AAAAAH3308E=")</f>
        <v>#VALUE!</v>
      </c>
      <c r="GM20" s="22" t="e">
        <f aca="false">AND('Current Index'!H507,"AAAAAH3308I=")</f>
        <v>#VALUE!</v>
      </c>
      <c r="GN20" s="22" t="e">
        <f aca="false">AND('Current Index'!I507,"AAAAAH3308M=")</f>
        <v>#VALUE!</v>
      </c>
      <c r="GO20" s="22" t="e">
        <f aca="false">IF('current index'!#ref!,"AAAAAH3308Q=",0)</f>
        <v>#VALUE!</v>
      </c>
      <c r="GP20" s="22" t="e">
        <f aca="false">AND('current index'!#ref!,"AAAAAH3308U=")</f>
        <v>#VALUE!</v>
      </c>
      <c r="GQ20" s="22" t="e">
        <f aca="false">AND('current index'!#ref!,"AAAAAH3308Y=")</f>
        <v>#VALUE!</v>
      </c>
      <c r="GR20" s="22" t="e">
        <f aca="false">AND('current index'!#ref!,"AAAAAH3308c=")</f>
        <v>#VALUE!</v>
      </c>
      <c r="GS20" s="22" t="e">
        <f aca="false">AND('current index'!#ref!,"AAAAAH3308g=")</f>
        <v>#VALUE!</v>
      </c>
      <c r="GT20" s="22" t="e">
        <f aca="false">AND('current index'!#ref!,"AAAAAH3308k=")</f>
        <v>#VALUE!</v>
      </c>
      <c r="GU20" s="22" t="e">
        <f aca="false">AND('current index'!#ref!,"AAAAAH3308o=")</f>
        <v>#VALUE!</v>
      </c>
      <c r="GV20" s="22" t="e">
        <f aca="false">AND('current index'!#ref!,"AAAAAH3308s=")</f>
        <v>#VALUE!</v>
      </c>
      <c r="GW20" s="22" t="e">
        <f aca="false">AND('current index'!#ref!,"AAAAAH3308w=")</f>
        <v>#VALUE!</v>
      </c>
      <c r="GX20" s="22" t="e">
        <f aca="false">AND('current index'!#ref!,"AAAAAH33080=")</f>
        <v>#VALUE!</v>
      </c>
      <c r="GY20" s="22" t="e">
        <f aca="false">AND('current index'!#ref!,"AAAAAH33084=")</f>
        <v>#VALUE!</v>
      </c>
      <c r="GZ20" s="22" t="n">
        <f aca="false">IF('Current Index'!511:511,"AAAAAH33088=",0)</f>
        <v>0</v>
      </c>
      <c r="HA20" s="22" t="e">
        <f aca="false">AND('Current Index'!A511,"AAAAAH3309A=")</f>
        <v>#VALUE!</v>
      </c>
      <c r="HB20" s="22" t="e">
        <f aca="false">AND('current index'!#ref!,"AAAAAH3309E=")</f>
        <v>#VALUE!</v>
      </c>
      <c r="HC20" s="22" t="e">
        <f aca="false">AND('Current Index'!B511,"AAAAAH3309I=")</f>
        <v>#VALUE!</v>
      </c>
      <c r="HD20" s="22" t="e">
        <f aca="false">AND('Current Index'!C511,"AAAAAH3309M=")</f>
        <v>#VALUE!</v>
      </c>
      <c r="HE20" s="22" t="e">
        <f aca="false">AND('Current Index'!D511,"AAAAAH3309Q=")</f>
        <v>#VALUE!</v>
      </c>
      <c r="HF20" s="22" t="e">
        <f aca="false">AND('Current Index'!E511,"AAAAAH3309U=")</f>
        <v>#VALUE!</v>
      </c>
      <c r="HG20" s="22" t="e">
        <f aca="false">AND('Current Index'!F511,"AAAAAH3309Y=")</f>
        <v>#VALUE!</v>
      </c>
      <c r="HH20" s="22" t="e">
        <f aca="false">AND('Current Index'!G511,"AAAAAH3309c=")</f>
        <v>#VALUE!</v>
      </c>
      <c r="HI20" s="22" t="e">
        <f aca="false">AND('Current Index'!H511,"AAAAAH3309g=")</f>
        <v>#VALUE!</v>
      </c>
      <c r="HJ20" s="22" t="e">
        <f aca="false">AND('Current Index'!I511,"AAAAAH3309k=")</f>
        <v>#VALUE!</v>
      </c>
      <c r="HK20" s="22" t="n">
        <f aca="false">IF('Current Index'!512:512,"AAAAAH3309o=",0)</f>
        <v>0</v>
      </c>
      <c r="HL20" s="22" t="e">
        <f aca="false">AND('Current Index'!A512,"AAAAAH3309s=")</f>
        <v>#VALUE!</v>
      </c>
      <c r="HM20" s="22" t="e">
        <f aca="false">AND('current index'!#ref!,"AAAAAH3309w=")</f>
        <v>#VALUE!</v>
      </c>
      <c r="HN20" s="22" t="e">
        <f aca="false">AND('Current Index'!B512,"AAAAAH33090=")</f>
        <v>#VALUE!</v>
      </c>
      <c r="HO20" s="22" t="e">
        <f aca="false">AND('Current Index'!C512,"AAAAAH33094=")</f>
        <v>#VALUE!</v>
      </c>
      <c r="HP20" s="22" t="e">
        <f aca="false">AND('Current Index'!D512,"AAAAAH33098=")</f>
        <v>#VALUE!</v>
      </c>
      <c r="HQ20" s="22" t="e">
        <f aca="false">AND('Current Index'!E512,"AAAAAH330+A=")</f>
        <v>#VALUE!</v>
      </c>
      <c r="HR20" s="22" t="e">
        <f aca="false">AND('Current Index'!F512,"AAAAAH330+E=")</f>
        <v>#VALUE!</v>
      </c>
      <c r="HS20" s="22" t="e">
        <f aca="false">AND('Current Index'!G512,"AAAAAH330+I=")</f>
        <v>#VALUE!</v>
      </c>
      <c r="HT20" s="22" t="e">
        <f aca="false">AND('Current Index'!H512,"AAAAAH330+M=")</f>
        <v>#VALUE!</v>
      </c>
      <c r="HU20" s="22" t="e">
        <f aca="false">AND('Current Index'!I512,"AAAAAH330+Q=")</f>
        <v>#VALUE!</v>
      </c>
      <c r="HV20" s="22" t="n">
        <f aca="false">IF('Current Index'!513:513,"AAAAAH330+U=",0)</f>
        <v>0</v>
      </c>
      <c r="HW20" s="22" t="e">
        <f aca="false">AND('Current Index'!A513,"AAAAAH330+Y=")</f>
        <v>#VALUE!</v>
      </c>
      <c r="HX20" s="22" t="e">
        <f aca="false">AND('current index'!#ref!,"AAAAAH330+c=")</f>
        <v>#VALUE!</v>
      </c>
      <c r="HY20" s="22" t="e">
        <f aca="false">AND('Current Index'!B513,"AAAAAH330+g=")</f>
        <v>#VALUE!</v>
      </c>
      <c r="HZ20" s="22" t="e">
        <f aca="false">AND('Current Index'!C513,"AAAAAH330+k=")</f>
        <v>#VALUE!</v>
      </c>
      <c r="IA20" s="22" t="e">
        <f aca="false">AND('Current Index'!D513,"AAAAAH330+o=")</f>
        <v>#VALUE!</v>
      </c>
      <c r="IB20" s="22" t="e">
        <f aca="false">AND('Current Index'!E513,"AAAAAH330+s=")</f>
        <v>#VALUE!</v>
      </c>
      <c r="IC20" s="22" t="e">
        <f aca="false">AND('Current Index'!F513,"AAAAAH330+w=")</f>
        <v>#VALUE!</v>
      </c>
      <c r="ID20" s="22" t="e">
        <f aca="false">AND('Current Index'!G513,"AAAAAH330+0=")</f>
        <v>#VALUE!</v>
      </c>
      <c r="IE20" s="22" t="e">
        <f aca="false">AND('Current Index'!H513,"AAAAAH330+4=")</f>
        <v>#VALUE!</v>
      </c>
      <c r="IF20" s="22" t="e">
        <f aca="false">AND('Current Index'!I513,"AAAAAH330+8=")</f>
        <v>#VALUE!</v>
      </c>
      <c r="IG20" s="22" t="n">
        <f aca="false">IF('Current Index'!514:514,"AAAAAH330/A=",0)</f>
        <v>0</v>
      </c>
      <c r="IH20" s="22" t="e">
        <f aca="false">AND('Current Index'!A514,"AAAAAH330/E=")</f>
        <v>#VALUE!</v>
      </c>
      <c r="II20" s="22" t="e">
        <f aca="false">AND('current index'!#ref!,"AAAAAH330/I=")</f>
        <v>#VALUE!</v>
      </c>
      <c r="IJ20" s="22" t="e">
        <f aca="false">AND('Current Index'!B514,"AAAAAH330/M=")</f>
        <v>#VALUE!</v>
      </c>
      <c r="IK20" s="22" t="e">
        <f aca="false">AND('Current Index'!C514,"AAAAAH330/Q=")</f>
        <v>#VALUE!</v>
      </c>
      <c r="IL20" s="22" t="e">
        <f aca="false">AND('Current Index'!D514,"AAAAAH330/U=")</f>
        <v>#VALUE!</v>
      </c>
      <c r="IM20" s="22" t="e">
        <f aca="false">AND('Current Index'!E514,"AAAAAH330/Y=")</f>
        <v>#VALUE!</v>
      </c>
      <c r="IN20" s="22" t="e">
        <f aca="false">AND('Current Index'!F514,"AAAAAH330/c=")</f>
        <v>#VALUE!</v>
      </c>
      <c r="IO20" s="22" t="e">
        <f aca="false">AND('Current Index'!G514,"AAAAAH330/g=")</f>
        <v>#VALUE!</v>
      </c>
      <c r="IP20" s="22" t="e">
        <f aca="false">AND('Current Index'!H514,"AAAAAH330/k=")</f>
        <v>#VALUE!</v>
      </c>
      <c r="IQ20" s="22" t="e">
        <f aca="false">AND('Current Index'!I514,"AAAAAH330/o=")</f>
        <v>#VALUE!</v>
      </c>
      <c r="IR20" s="22" t="n">
        <f aca="false">IF('Current Index'!515:515,"AAAAAH330/s=",0)</f>
        <v>0</v>
      </c>
      <c r="IS20" s="22" t="e">
        <f aca="false">AND('Current Index'!A515,"AAAAAH330/w=")</f>
        <v>#VALUE!</v>
      </c>
      <c r="IT20" s="22" t="e">
        <f aca="false">AND('current index'!#ref!,"AAAAAH330/0=")</f>
        <v>#VALUE!</v>
      </c>
      <c r="IU20" s="22" t="e">
        <f aca="false">AND('Current Index'!B515,"AAAAAH330/4=")</f>
        <v>#VALUE!</v>
      </c>
      <c r="IV20" s="22" t="e">
        <f aca="false">AND('Current Index'!C515,"AAAAAH330/8=")</f>
        <v>#VALUE!</v>
      </c>
    </row>
    <row r="21" customFormat="false" ht="12.75" hidden="false" customHeight="false" outlineLevel="0" collapsed="false">
      <c r="A21" s="22" t="e">
        <f aca="false">AND('Current Index'!D515,"AAAAAG/t/QA=")</f>
        <v>#VALUE!</v>
      </c>
      <c r="B21" s="22" t="e">
        <f aca="false">AND('Current Index'!E515,"AAAAAG/t/QE=")</f>
        <v>#VALUE!</v>
      </c>
      <c r="C21" s="22" t="e">
        <f aca="false">AND('Current Index'!F515,"AAAAAG/t/QI=")</f>
        <v>#VALUE!</v>
      </c>
      <c r="D21" s="22" t="e">
        <f aca="false">AND('Current Index'!G515,"AAAAAG/t/QM=")</f>
        <v>#VALUE!</v>
      </c>
      <c r="E21" s="22" t="e">
        <f aca="false">AND('Current Index'!H515,"AAAAAG/t/QQ=")</f>
        <v>#VALUE!</v>
      </c>
      <c r="F21" s="22" t="e">
        <f aca="false">AND('Current Index'!I515,"AAAAAG/t/QU=")</f>
        <v>#VALUE!</v>
      </c>
      <c r="G21" s="22" t="e">
        <f aca="false">IF('Current Index'!516:516,"AAAAAG/t/QY=",0)</f>
        <v>#VALUE!</v>
      </c>
      <c r="H21" s="22" t="e">
        <f aca="false">AND('Current Index'!A516,"AAAAAG/t/Qc=")</f>
        <v>#VALUE!</v>
      </c>
      <c r="I21" s="22" t="e">
        <f aca="false">AND('current index'!#ref!,"AAAAAG/t/Qg=")</f>
        <v>#VALUE!</v>
      </c>
      <c r="J21" s="22" t="e">
        <f aca="false">AND('Current Index'!B516,"AAAAAG/t/Qk=")</f>
        <v>#VALUE!</v>
      </c>
      <c r="K21" s="22" t="e">
        <f aca="false">AND('Current Index'!C516,"AAAAAG/t/Qo=")</f>
        <v>#VALUE!</v>
      </c>
      <c r="L21" s="22" t="e">
        <f aca="false">AND('Current Index'!D516,"AAAAAG/t/Qs=")</f>
        <v>#VALUE!</v>
      </c>
      <c r="M21" s="22" t="e">
        <f aca="false">AND('Current Index'!E516,"AAAAAG/t/Qw=")</f>
        <v>#VALUE!</v>
      </c>
      <c r="N21" s="22" t="e">
        <f aca="false">AND('Current Index'!F516,"AAAAAG/t/Q0=")</f>
        <v>#VALUE!</v>
      </c>
      <c r="O21" s="22" t="e">
        <f aca="false">AND('Current Index'!G516,"AAAAAG/t/Q4=")</f>
        <v>#VALUE!</v>
      </c>
      <c r="P21" s="22" t="e">
        <f aca="false">AND('Current Index'!H516,"AAAAAG/t/Q8=")</f>
        <v>#VALUE!</v>
      </c>
      <c r="Q21" s="22" t="e">
        <f aca="false">AND('Current Index'!I516,"AAAAAG/t/RA=")</f>
        <v>#VALUE!</v>
      </c>
      <c r="R21" s="22" t="n">
        <f aca="false">IF('Current Index'!517:517,"AAAAAG/t/RE=",0)</f>
        <v>0</v>
      </c>
      <c r="S21" s="22" t="e">
        <f aca="false">AND('Current Index'!A517,"AAAAAG/t/RI=")</f>
        <v>#VALUE!</v>
      </c>
      <c r="T21" s="22" t="e">
        <f aca="false">AND('current index'!#ref!,"AAAAAG/t/RM=")</f>
        <v>#VALUE!</v>
      </c>
      <c r="U21" s="22" t="e">
        <f aca="false">AND('Current Index'!B517,"AAAAAG/t/RQ=")</f>
        <v>#VALUE!</v>
      </c>
      <c r="V21" s="22" t="e">
        <f aca="false">AND('Current Index'!C517,"AAAAAG/t/RU=")</f>
        <v>#VALUE!</v>
      </c>
      <c r="W21" s="22" t="e">
        <f aca="false">AND('Current Index'!D517,"AAAAAG/t/RY=")</f>
        <v>#VALUE!</v>
      </c>
      <c r="X21" s="22" t="e">
        <f aca="false">AND('Current Index'!E517,"AAAAAG/t/Rc=")</f>
        <v>#VALUE!</v>
      </c>
      <c r="Y21" s="22" t="e">
        <f aca="false">AND('Current Index'!F517,"AAAAAG/t/Rg=")</f>
        <v>#VALUE!</v>
      </c>
      <c r="Z21" s="22" t="e">
        <f aca="false">AND('Current Index'!G517,"AAAAAG/t/Rk=")</f>
        <v>#VALUE!</v>
      </c>
      <c r="AA21" s="22" t="e">
        <f aca="false">AND('Current Index'!H517,"AAAAAG/t/Ro=")</f>
        <v>#VALUE!</v>
      </c>
      <c r="AB21" s="22" t="e">
        <f aca="false">AND('Current Index'!I517,"AAAAAG/t/Rs=")</f>
        <v>#VALUE!</v>
      </c>
      <c r="AC21" s="22" t="n">
        <f aca="false">IF('Current Index'!518:518,"AAAAAG/t/Rw=",0)</f>
        <v>0</v>
      </c>
      <c r="AD21" s="22" t="e">
        <f aca="false">AND('Current Index'!A518,"AAAAAG/t/R0=")</f>
        <v>#VALUE!</v>
      </c>
      <c r="AE21" s="22" t="e">
        <f aca="false">AND('current index'!#ref!,"AAAAAG/t/R4=")</f>
        <v>#VALUE!</v>
      </c>
      <c r="AF21" s="22" t="e">
        <f aca="false">AND('Current Index'!B518,"AAAAAG/t/R8=")</f>
        <v>#VALUE!</v>
      </c>
      <c r="AG21" s="22" t="e">
        <f aca="false">AND('Current Index'!C518,"AAAAAG/t/SA=")</f>
        <v>#VALUE!</v>
      </c>
      <c r="AH21" s="22" t="e">
        <f aca="false">AND('Current Index'!D518,"AAAAAG/t/SE=")</f>
        <v>#VALUE!</v>
      </c>
      <c r="AI21" s="22" t="e">
        <f aca="false">AND('Current Index'!E518,"AAAAAG/t/SI=")</f>
        <v>#VALUE!</v>
      </c>
      <c r="AJ21" s="22" t="e">
        <f aca="false">AND('Current Index'!F518,"AAAAAG/t/SM=")</f>
        <v>#VALUE!</v>
      </c>
      <c r="AK21" s="22" t="e">
        <f aca="false">AND('Current Index'!G518,"AAAAAG/t/SQ=")</f>
        <v>#VALUE!</v>
      </c>
      <c r="AL21" s="22" t="e">
        <f aca="false">AND('Current Index'!H518,"AAAAAG/t/SU=")</f>
        <v>#VALUE!</v>
      </c>
      <c r="AM21" s="22" t="e">
        <f aca="false">AND('Current Index'!I518,"AAAAAG/t/SY=")</f>
        <v>#VALUE!</v>
      </c>
      <c r="AN21" s="22" t="n">
        <f aca="false">IF('Current Index'!519:519,"AAAAAG/t/Sc=",0)</f>
        <v>0</v>
      </c>
      <c r="AO21" s="22" t="e">
        <f aca="false">AND('Current Index'!A519,"AAAAAG/t/Sg=")</f>
        <v>#VALUE!</v>
      </c>
      <c r="AP21" s="22" t="e">
        <f aca="false">AND('current index'!#ref!,"AAAAAG/t/Sk=")</f>
        <v>#VALUE!</v>
      </c>
      <c r="AQ21" s="22" t="e">
        <f aca="false">AND('Current Index'!B519,"AAAAAG/t/So=")</f>
        <v>#VALUE!</v>
      </c>
      <c r="AR21" s="22" t="e">
        <f aca="false">AND('Current Index'!C519,"AAAAAG/t/Ss=")</f>
        <v>#VALUE!</v>
      </c>
      <c r="AS21" s="22" t="e">
        <f aca="false">AND('Current Index'!D519,"AAAAAG/t/Sw=")</f>
        <v>#VALUE!</v>
      </c>
      <c r="AT21" s="22" t="e">
        <f aca="false">AND('Current Index'!E519,"AAAAAG/t/S0=")</f>
        <v>#VALUE!</v>
      </c>
      <c r="AU21" s="22" t="e">
        <f aca="false">AND('Current Index'!F519,"AAAAAG/t/S4=")</f>
        <v>#VALUE!</v>
      </c>
      <c r="AV21" s="22" t="e">
        <f aca="false">AND('Current Index'!G519,"AAAAAG/t/S8=")</f>
        <v>#VALUE!</v>
      </c>
      <c r="AW21" s="22" t="e">
        <f aca="false">AND('Current Index'!H519,"AAAAAG/t/TA=")</f>
        <v>#VALUE!</v>
      </c>
      <c r="AX21" s="22" t="e">
        <f aca="false">AND('Current Index'!I519,"AAAAAG/t/TE=")</f>
        <v>#VALUE!</v>
      </c>
      <c r="AY21" s="22" t="n">
        <f aca="false">IF('Current Index'!520:520,"AAAAAG/t/TI=",0)</f>
        <v>0</v>
      </c>
      <c r="AZ21" s="22" t="e">
        <f aca="false">AND('Current Index'!A520,"AAAAAG/t/TM=")</f>
        <v>#VALUE!</v>
      </c>
      <c r="BA21" s="22" t="e">
        <f aca="false">AND('current index'!#ref!,"AAAAAG/t/TQ=")</f>
        <v>#VALUE!</v>
      </c>
      <c r="BB21" s="22" t="e">
        <f aca="false">AND('Current Index'!B520,"AAAAAG/t/TU=")</f>
        <v>#VALUE!</v>
      </c>
      <c r="BC21" s="22" t="e">
        <f aca="false">AND('Current Index'!C520,"AAAAAG/t/TY=")</f>
        <v>#VALUE!</v>
      </c>
      <c r="BD21" s="22" t="e">
        <f aca="false">AND('Current Index'!D520,"AAAAAG/t/Tc=")</f>
        <v>#VALUE!</v>
      </c>
      <c r="BE21" s="22" t="e">
        <f aca="false">AND('Current Index'!E520,"AAAAAG/t/Tg=")</f>
        <v>#VALUE!</v>
      </c>
      <c r="BF21" s="22" t="e">
        <f aca="false">AND('Current Index'!F520,"AAAAAG/t/Tk=")</f>
        <v>#VALUE!</v>
      </c>
      <c r="BG21" s="22" t="e">
        <f aca="false">AND('Current Index'!G520,"AAAAAG/t/To=")</f>
        <v>#VALUE!</v>
      </c>
      <c r="BH21" s="22" t="e">
        <f aca="false">AND('Current Index'!H520,"AAAAAG/t/Ts=")</f>
        <v>#VALUE!</v>
      </c>
      <c r="BI21" s="22" t="e">
        <f aca="false">AND('Current Index'!I520,"AAAAAG/t/Tw=")</f>
        <v>#VALUE!</v>
      </c>
      <c r="BJ21" s="22" t="n">
        <f aca="false">IF('Current Index'!521:521,"AAAAAG/t/T0=",0)</f>
        <v>0</v>
      </c>
      <c r="BK21" s="22" t="e">
        <f aca="false">AND('Current Index'!A521,"AAAAAG/t/T4=")</f>
        <v>#VALUE!</v>
      </c>
      <c r="BL21" s="22" t="e">
        <f aca="false">AND('current index'!#ref!,"AAAAAG/t/T8=")</f>
        <v>#VALUE!</v>
      </c>
      <c r="BM21" s="22" t="e">
        <f aca="false">AND('Current Index'!B521,"AAAAAG/t/UA=")</f>
        <v>#VALUE!</v>
      </c>
      <c r="BN21" s="22" t="e">
        <f aca="false">AND('Current Index'!C521,"AAAAAG/t/UE=")</f>
        <v>#VALUE!</v>
      </c>
      <c r="BO21" s="22" t="e">
        <f aca="false">AND('Current Index'!D521,"AAAAAG/t/UI=")</f>
        <v>#VALUE!</v>
      </c>
      <c r="BP21" s="22" t="e">
        <f aca="false">AND('Current Index'!E521,"AAAAAG/t/UM=")</f>
        <v>#VALUE!</v>
      </c>
      <c r="BQ21" s="22" t="e">
        <f aca="false">AND('Current Index'!F521,"AAAAAG/t/UQ=")</f>
        <v>#VALUE!</v>
      </c>
      <c r="BR21" s="22" t="e">
        <f aca="false">AND('Current Index'!G521,"AAAAAG/t/UU=")</f>
        <v>#VALUE!</v>
      </c>
      <c r="BS21" s="22" t="e">
        <f aca="false">AND('Current Index'!H521,"AAAAAG/t/UY=")</f>
        <v>#VALUE!</v>
      </c>
      <c r="BT21" s="22" t="e">
        <f aca="false">AND('Current Index'!I521,"AAAAAG/t/Uc=")</f>
        <v>#VALUE!</v>
      </c>
      <c r="BU21" s="22" t="n">
        <f aca="false">IF('Current Index'!522:522,"AAAAAG/t/Ug=",0)</f>
        <v>0</v>
      </c>
      <c r="BV21" s="22" t="e">
        <f aca="false">AND('Current Index'!A522,"AAAAAG/t/Uk=")</f>
        <v>#VALUE!</v>
      </c>
      <c r="BW21" s="22" t="e">
        <f aca="false">AND('current index'!#ref!,"AAAAAG/t/Uo=")</f>
        <v>#VALUE!</v>
      </c>
      <c r="BX21" s="22" t="e">
        <f aca="false">AND('Current Index'!B522,"AAAAAG/t/Us=")</f>
        <v>#VALUE!</v>
      </c>
      <c r="BY21" s="22" t="e">
        <f aca="false">AND('Current Index'!C522,"AAAAAG/t/Uw=")</f>
        <v>#VALUE!</v>
      </c>
      <c r="BZ21" s="22" t="e">
        <f aca="false">AND('Current Index'!D522,"AAAAAG/t/U0=")</f>
        <v>#VALUE!</v>
      </c>
      <c r="CA21" s="22" t="e">
        <f aca="false">AND('Current Index'!E522,"AAAAAG/t/U4=")</f>
        <v>#VALUE!</v>
      </c>
      <c r="CB21" s="22" t="e">
        <f aca="false">AND('Current Index'!F522,"AAAAAG/t/U8=")</f>
        <v>#VALUE!</v>
      </c>
      <c r="CC21" s="22" t="e">
        <f aca="false">AND('Current Index'!G522,"AAAAAG/t/VA=")</f>
        <v>#VALUE!</v>
      </c>
      <c r="CD21" s="22" t="e">
        <f aca="false">AND('Current Index'!H522,"AAAAAG/t/VE=")</f>
        <v>#VALUE!</v>
      </c>
      <c r="CE21" s="22" t="e">
        <f aca="false">AND('Current Index'!I522,"AAAAAG/t/VI=")</f>
        <v>#VALUE!</v>
      </c>
      <c r="CF21" s="22" t="n">
        <f aca="false">IF('Current Index'!523:523,"AAAAAG/t/VM=",0)</f>
        <v>0</v>
      </c>
      <c r="CG21" s="22" t="e">
        <f aca="false">AND('Current Index'!A523,"AAAAAG/t/VQ=")</f>
        <v>#VALUE!</v>
      </c>
      <c r="CH21" s="22" t="e">
        <f aca="false">AND('current index'!#ref!,"AAAAAG/t/VU=")</f>
        <v>#VALUE!</v>
      </c>
      <c r="CI21" s="22" t="e">
        <f aca="false">AND('Current Index'!B523,"AAAAAG/t/VY=")</f>
        <v>#VALUE!</v>
      </c>
      <c r="CJ21" s="22" t="e">
        <f aca="false">AND('Current Index'!C523,"AAAAAG/t/Vc=")</f>
        <v>#VALUE!</v>
      </c>
      <c r="CK21" s="22" t="e">
        <f aca="false">AND('Current Index'!D523,"AAAAAG/t/Vg=")</f>
        <v>#VALUE!</v>
      </c>
      <c r="CL21" s="22" t="e">
        <f aca="false">AND('Current Index'!E523,"AAAAAG/t/Vk=")</f>
        <v>#VALUE!</v>
      </c>
      <c r="CM21" s="22" t="e">
        <f aca="false">AND('Current Index'!F523,"AAAAAG/t/Vo=")</f>
        <v>#VALUE!</v>
      </c>
      <c r="CN21" s="22" t="e">
        <f aca="false">AND('Current Index'!G523,"AAAAAG/t/Vs=")</f>
        <v>#VALUE!</v>
      </c>
      <c r="CO21" s="22" t="e">
        <f aca="false">AND('Current Index'!H523,"AAAAAG/t/Vw=")</f>
        <v>#VALUE!</v>
      </c>
      <c r="CP21" s="22" t="e">
        <f aca="false">AND('Current Index'!I523,"AAAAAG/t/V0=")</f>
        <v>#VALUE!</v>
      </c>
      <c r="CQ21" s="22" t="n">
        <f aca="false">IF('Current Index'!524:524,"AAAAAG/t/V4=",0)</f>
        <v>0</v>
      </c>
      <c r="CR21" s="22" t="e">
        <f aca="false">AND('Current Index'!A524,"AAAAAG/t/V8=")</f>
        <v>#VALUE!</v>
      </c>
      <c r="CS21" s="22" t="e">
        <f aca="false">AND('current index'!#ref!,"AAAAAG/t/WA=")</f>
        <v>#VALUE!</v>
      </c>
      <c r="CT21" s="22" t="e">
        <f aca="false">AND('Current Index'!B524,"AAAAAG/t/WE=")</f>
        <v>#VALUE!</v>
      </c>
      <c r="CU21" s="22" t="e">
        <f aca="false">AND('Current Index'!C524,"AAAAAG/t/WI=")</f>
        <v>#VALUE!</v>
      </c>
      <c r="CV21" s="22" t="e">
        <f aca="false">AND('Current Index'!D524,"AAAAAG/t/WM=")</f>
        <v>#VALUE!</v>
      </c>
      <c r="CW21" s="22" t="e">
        <f aca="false">AND('Current Index'!E524,"AAAAAG/t/WQ=")</f>
        <v>#VALUE!</v>
      </c>
      <c r="CX21" s="22" t="e">
        <f aca="false">AND('Current Index'!F524,"AAAAAG/t/WU=")</f>
        <v>#VALUE!</v>
      </c>
      <c r="CY21" s="22" t="e">
        <f aca="false">AND('Current Index'!G524,"AAAAAG/t/WY=")</f>
        <v>#VALUE!</v>
      </c>
      <c r="CZ21" s="22" t="e">
        <f aca="false">AND('Current Index'!H524,"AAAAAG/t/Wc=")</f>
        <v>#VALUE!</v>
      </c>
      <c r="DA21" s="22" t="e">
        <f aca="false">AND('Current Index'!I524,"AAAAAG/t/Wg=")</f>
        <v>#VALUE!</v>
      </c>
      <c r="DB21" s="22" t="n">
        <f aca="false">IF('Current Index'!525:525,"AAAAAG/t/Wk=",0)</f>
        <v>0</v>
      </c>
      <c r="DC21" s="22" t="e">
        <f aca="false">AND('Current Index'!A525,"AAAAAG/t/Wo=")</f>
        <v>#VALUE!</v>
      </c>
      <c r="DD21" s="22" t="e">
        <f aca="false">AND('current index'!#ref!,"AAAAAG/t/Ws=")</f>
        <v>#VALUE!</v>
      </c>
      <c r="DE21" s="22" t="e">
        <f aca="false">AND('Current Index'!B525,"AAAAAG/t/Ww=")</f>
        <v>#VALUE!</v>
      </c>
      <c r="DF21" s="22" t="e">
        <f aca="false">AND('Current Index'!C525,"AAAAAG/t/W0=")</f>
        <v>#VALUE!</v>
      </c>
      <c r="DG21" s="22" t="e">
        <f aca="false">AND('Current Index'!D525,"AAAAAG/t/W4=")</f>
        <v>#VALUE!</v>
      </c>
      <c r="DH21" s="22" t="e">
        <f aca="false">AND('Current Index'!E525,"AAAAAG/t/W8=")</f>
        <v>#VALUE!</v>
      </c>
      <c r="DI21" s="22" t="e">
        <f aca="false">AND('Current Index'!F525,"AAAAAG/t/XA=")</f>
        <v>#VALUE!</v>
      </c>
      <c r="DJ21" s="22" t="e">
        <f aca="false">AND('Current Index'!G525,"AAAAAG/t/XE=")</f>
        <v>#VALUE!</v>
      </c>
      <c r="DK21" s="22" t="e">
        <f aca="false">AND('Current Index'!H525,"AAAAAG/t/XI=")</f>
        <v>#VALUE!</v>
      </c>
      <c r="DL21" s="22" t="e">
        <f aca="false">AND('Current Index'!I525,"AAAAAG/t/XM=")</f>
        <v>#VALUE!</v>
      </c>
      <c r="DM21" s="22" t="n">
        <f aca="false">IF('Current Index'!526:526,"AAAAAG/t/XQ=",0)</f>
        <v>0</v>
      </c>
      <c r="DN21" s="22" t="e">
        <f aca="false">AND('Current Index'!A526,"AAAAAG/t/XU=")</f>
        <v>#VALUE!</v>
      </c>
      <c r="DO21" s="22" t="e">
        <f aca="false">AND('current index'!#ref!,"AAAAAG/t/XY=")</f>
        <v>#VALUE!</v>
      </c>
      <c r="DP21" s="22" t="e">
        <f aca="false">AND('Current Index'!B526,"AAAAAG/t/Xc=")</f>
        <v>#VALUE!</v>
      </c>
      <c r="DQ21" s="22" t="e">
        <f aca="false">AND('Current Index'!C526,"AAAAAG/t/Xg=")</f>
        <v>#VALUE!</v>
      </c>
      <c r="DR21" s="22" t="e">
        <f aca="false">AND('Current Index'!D526,"AAAAAG/t/Xk=")</f>
        <v>#VALUE!</v>
      </c>
      <c r="DS21" s="22" t="e">
        <f aca="false">AND('Current Index'!E526,"AAAAAG/t/Xo=")</f>
        <v>#VALUE!</v>
      </c>
      <c r="DT21" s="22" t="e">
        <f aca="false">AND('Current Index'!F526,"AAAAAG/t/Xs=")</f>
        <v>#VALUE!</v>
      </c>
      <c r="DU21" s="22" t="e">
        <f aca="false">AND('Current Index'!G526,"AAAAAG/t/Xw=")</f>
        <v>#VALUE!</v>
      </c>
      <c r="DV21" s="22" t="e">
        <f aca="false">AND('Current Index'!H526,"AAAAAG/t/X0=")</f>
        <v>#VALUE!</v>
      </c>
      <c r="DW21" s="22" t="e">
        <f aca="false">AND('Current Index'!I526,"AAAAAG/t/X4=")</f>
        <v>#VALUE!</v>
      </c>
      <c r="DX21" s="22" t="n">
        <f aca="false">IF('Current Index'!527:527,"AAAAAG/t/X8=",0)</f>
        <v>0</v>
      </c>
      <c r="DY21" s="22" t="e">
        <f aca="false">AND('Current Index'!A527,"AAAAAG/t/YA=")</f>
        <v>#VALUE!</v>
      </c>
      <c r="DZ21" s="22" t="e">
        <f aca="false">AND('current index'!#ref!,"AAAAAG/t/YE=")</f>
        <v>#VALUE!</v>
      </c>
      <c r="EA21" s="22" t="e">
        <f aca="false">AND('Current Index'!B527,"AAAAAG/t/YI=")</f>
        <v>#VALUE!</v>
      </c>
      <c r="EB21" s="22" t="e">
        <f aca="false">AND('Current Index'!C527,"AAAAAG/t/YM=")</f>
        <v>#VALUE!</v>
      </c>
      <c r="EC21" s="22" t="e">
        <f aca="false">AND('Current Index'!D527,"AAAAAG/t/YQ=")</f>
        <v>#VALUE!</v>
      </c>
      <c r="ED21" s="22" t="e">
        <f aca="false">AND('Current Index'!E527,"AAAAAG/t/YU=")</f>
        <v>#VALUE!</v>
      </c>
      <c r="EE21" s="22" t="e">
        <f aca="false">AND('Current Index'!F527,"AAAAAG/t/YY=")</f>
        <v>#VALUE!</v>
      </c>
      <c r="EF21" s="22" t="e">
        <f aca="false">AND('Current Index'!G527,"AAAAAG/t/Yc=")</f>
        <v>#VALUE!</v>
      </c>
      <c r="EG21" s="22" t="e">
        <f aca="false">AND('Current Index'!H527,"AAAAAG/t/Yg=")</f>
        <v>#VALUE!</v>
      </c>
      <c r="EH21" s="22" t="e">
        <f aca="false">AND('Current Index'!I527,"AAAAAG/t/Yk=")</f>
        <v>#VALUE!</v>
      </c>
      <c r="EI21" s="22" t="n">
        <f aca="false">IF('Current Index'!528:528,"AAAAAG/t/Yo=",0)</f>
        <v>0</v>
      </c>
      <c r="EJ21" s="22" t="e">
        <f aca="false">AND('Current Index'!A528,"AAAAAG/t/Ys=")</f>
        <v>#VALUE!</v>
      </c>
      <c r="EK21" s="22" t="e">
        <f aca="false">AND('current index'!#ref!,"AAAAAG/t/Yw=")</f>
        <v>#VALUE!</v>
      </c>
      <c r="EL21" s="22" t="e">
        <f aca="false">AND('Current Index'!B528,"AAAAAG/t/Y0=")</f>
        <v>#VALUE!</v>
      </c>
      <c r="EM21" s="22" t="e">
        <f aca="false">AND('Current Index'!C528,"AAAAAG/t/Y4=")</f>
        <v>#VALUE!</v>
      </c>
      <c r="EN21" s="22" t="e">
        <f aca="false">AND('Current Index'!D528,"AAAAAG/t/Y8=")</f>
        <v>#VALUE!</v>
      </c>
      <c r="EO21" s="22" t="e">
        <f aca="false">AND('Current Index'!E528,"AAAAAG/t/ZA=")</f>
        <v>#VALUE!</v>
      </c>
      <c r="EP21" s="22" t="e">
        <f aca="false">AND('Current Index'!F528,"AAAAAG/t/ZE=")</f>
        <v>#VALUE!</v>
      </c>
      <c r="EQ21" s="22" t="e">
        <f aca="false">AND('Current Index'!G528,"AAAAAG/t/ZI=")</f>
        <v>#VALUE!</v>
      </c>
      <c r="ER21" s="22" t="e">
        <f aca="false">AND('Current Index'!H528,"AAAAAG/t/ZM=")</f>
        <v>#VALUE!</v>
      </c>
      <c r="ES21" s="22" t="e">
        <f aca="false">AND('Current Index'!I528,"AAAAAG/t/ZQ=")</f>
        <v>#VALUE!</v>
      </c>
      <c r="ET21" s="22" t="n">
        <f aca="false">IF('Current Index'!529:529,"AAAAAG/t/ZU=",0)</f>
        <v>0</v>
      </c>
      <c r="EU21" s="22" t="e">
        <f aca="false">AND('Current Index'!A529,"AAAAAG/t/ZY=")</f>
        <v>#VALUE!</v>
      </c>
      <c r="EV21" s="22" t="e">
        <f aca="false">AND('current index'!#ref!,"AAAAAG/t/Zc=")</f>
        <v>#VALUE!</v>
      </c>
      <c r="EW21" s="22" t="e">
        <f aca="false">AND('Current Index'!B529,"AAAAAG/t/Zg=")</f>
        <v>#VALUE!</v>
      </c>
      <c r="EX21" s="22" t="e">
        <f aca="false">AND('Current Index'!C529,"AAAAAG/t/Zk=")</f>
        <v>#VALUE!</v>
      </c>
      <c r="EY21" s="22" t="e">
        <f aca="false">AND('Current Index'!D529,"AAAAAG/t/Zo=")</f>
        <v>#VALUE!</v>
      </c>
      <c r="EZ21" s="22" t="e">
        <f aca="false">AND('Current Index'!E529,"AAAAAG/t/Zs=")</f>
        <v>#VALUE!</v>
      </c>
      <c r="FA21" s="22" t="e">
        <f aca="false">AND('Current Index'!F529,"AAAAAG/t/Zw=")</f>
        <v>#VALUE!</v>
      </c>
      <c r="FB21" s="22" t="e">
        <f aca="false">AND('Current Index'!G529,"AAAAAG/t/Z0=")</f>
        <v>#VALUE!</v>
      </c>
      <c r="FC21" s="22" t="e">
        <f aca="false">AND('Current Index'!H529,"AAAAAG/t/Z4=")</f>
        <v>#VALUE!</v>
      </c>
      <c r="FD21" s="22" t="e">
        <f aca="false">AND('Current Index'!I529,"AAAAAG/t/Z8=")</f>
        <v>#VALUE!</v>
      </c>
      <c r="FE21" s="22" t="n">
        <f aca="false">IF('Current Index'!530:530,"AAAAAG/t/aA=",0)</f>
        <v>0</v>
      </c>
      <c r="FF21" s="22" t="e">
        <f aca="false">AND('Current Index'!A530,"AAAAAG/t/aE=")</f>
        <v>#VALUE!</v>
      </c>
      <c r="FG21" s="22" t="e">
        <f aca="false">AND('current index'!#ref!,"AAAAAG/t/aI=")</f>
        <v>#VALUE!</v>
      </c>
      <c r="FH21" s="22" t="e">
        <f aca="false">AND('Current Index'!B530,"AAAAAG/t/aM=")</f>
        <v>#VALUE!</v>
      </c>
      <c r="FI21" s="22" t="e">
        <f aca="false">AND('Current Index'!C530,"AAAAAG/t/aQ=")</f>
        <v>#VALUE!</v>
      </c>
      <c r="FJ21" s="22" t="e">
        <f aca="false">AND('Current Index'!D530,"AAAAAG/t/aU=")</f>
        <v>#VALUE!</v>
      </c>
      <c r="FK21" s="22" t="e">
        <f aca="false">AND('Current Index'!E530,"AAAAAG/t/aY=")</f>
        <v>#VALUE!</v>
      </c>
      <c r="FL21" s="22" t="e">
        <f aca="false">AND('Current Index'!F530,"AAAAAG/t/ac=")</f>
        <v>#VALUE!</v>
      </c>
      <c r="FM21" s="22" t="e">
        <f aca="false">AND('Current Index'!G530,"AAAAAG/t/ag=")</f>
        <v>#VALUE!</v>
      </c>
      <c r="FN21" s="22" t="e">
        <f aca="false">AND('Current Index'!H530,"AAAAAG/t/ak=")</f>
        <v>#VALUE!</v>
      </c>
      <c r="FO21" s="22" t="e">
        <f aca="false">AND('Current Index'!I530,"AAAAAG/t/ao=")</f>
        <v>#VALUE!</v>
      </c>
      <c r="FP21" s="22" t="n">
        <f aca="false">IF('Current Index'!531:531,"AAAAAG/t/as=",0)</f>
        <v>0</v>
      </c>
      <c r="FQ21" s="22" t="e">
        <f aca="false">AND('Current Index'!A531,"AAAAAG/t/aw=")</f>
        <v>#VALUE!</v>
      </c>
      <c r="FR21" s="22" t="e">
        <f aca="false">AND('current index'!#ref!,"AAAAAG/t/a0=")</f>
        <v>#VALUE!</v>
      </c>
      <c r="FS21" s="22" t="e">
        <f aca="false">AND('Current Index'!B531,"AAAAAG/t/a4=")</f>
        <v>#VALUE!</v>
      </c>
      <c r="FT21" s="22" t="e">
        <f aca="false">AND('Current Index'!C531,"AAAAAG/t/a8=")</f>
        <v>#VALUE!</v>
      </c>
      <c r="FU21" s="22" t="e">
        <f aca="false">AND('Current Index'!D531,"AAAAAG/t/bA=")</f>
        <v>#VALUE!</v>
      </c>
      <c r="FV21" s="22" t="e">
        <f aca="false">AND('Current Index'!E531,"AAAAAG/t/bE=")</f>
        <v>#VALUE!</v>
      </c>
      <c r="FW21" s="22" t="e">
        <f aca="false">AND('Current Index'!F531,"AAAAAG/t/bI=")</f>
        <v>#VALUE!</v>
      </c>
      <c r="FX21" s="22" t="e">
        <f aca="false">AND('Current Index'!G531,"AAAAAG/t/bM=")</f>
        <v>#VALUE!</v>
      </c>
      <c r="FY21" s="22" t="e">
        <f aca="false">AND('Current Index'!H531,"AAAAAG/t/bQ=")</f>
        <v>#VALUE!</v>
      </c>
      <c r="FZ21" s="22" t="e">
        <f aca="false">AND('Current Index'!I531,"AAAAAG/t/bU=")</f>
        <v>#VALUE!</v>
      </c>
      <c r="GA21" s="22" t="n">
        <f aca="false">IF('Current Index'!532:532,"AAAAAG/t/bY=",0)</f>
        <v>0</v>
      </c>
      <c r="GB21" s="22" t="e">
        <f aca="false">AND('Current Index'!A532,"AAAAAG/t/bc=")</f>
        <v>#VALUE!</v>
      </c>
      <c r="GC21" s="22" t="e">
        <f aca="false">AND('current index'!#ref!,"AAAAAG/t/bg=")</f>
        <v>#VALUE!</v>
      </c>
      <c r="GD21" s="22" t="e">
        <f aca="false">AND('Current Index'!B532,"AAAAAG/t/bk=")</f>
        <v>#VALUE!</v>
      </c>
      <c r="GE21" s="22" t="e">
        <f aca="false">AND('Current Index'!C532,"AAAAAG/t/bo=")</f>
        <v>#VALUE!</v>
      </c>
      <c r="GF21" s="22" t="e">
        <f aca="false">AND('Current Index'!D532,"AAAAAG/t/bs=")</f>
        <v>#VALUE!</v>
      </c>
      <c r="GG21" s="22" t="e">
        <f aca="false">AND('Current Index'!E532,"AAAAAG/t/bw=")</f>
        <v>#VALUE!</v>
      </c>
      <c r="GH21" s="22" t="e">
        <f aca="false">AND('Current Index'!F532,"AAAAAG/t/b0=")</f>
        <v>#VALUE!</v>
      </c>
      <c r="GI21" s="22" t="e">
        <f aca="false">AND('Current Index'!G532,"AAAAAG/t/b4=")</f>
        <v>#VALUE!</v>
      </c>
      <c r="GJ21" s="22" t="e">
        <f aca="false">AND('Current Index'!H532,"AAAAAG/t/b8=")</f>
        <v>#VALUE!</v>
      </c>
      <c r="GK21" s="22" t="e">
        <f aca="false">AND('Current Index'!I532,"AAAAAG/t/cA=")</f>
        <v>#VALUE!</v>
      </c>
      <c r="GL21" s="22" t="n">
        <f aca="false">IF('Current Index'!533:533,"AAAAAG/t/cE=",0)</f>
        <v>0</v>
      </c>
      <c r="GM21" s="22" t="e">
        <f aca="false">AND('Current Index'!A533,"AAAAAG/t/cI=")</f>
        <v>#VALUE!</v>
      </c>
      <c r="GN21" s="22" t="e">
        <f aca="false">AND('current index'!#ref!,"AAAAAG/t/cM=")</f>
        <v>#VALUE!</v>
      </c>
      <c r="GO21" s="22" t="e">
        <f aca="false">AND('Current Index'!B533,"AAAAAG/t/cQ=")</f>
        <v>#VALUE!</v>
      </c>
      <c r="GP21" s="22" t="e">
        <f aca="false">AND('Current Index'!C533,"AAAAAG/t/cU=")</f>
        <v>#VALUE!</v>
      </c>
      <c r="GQ21" s="22" t="e">
        <f aca="false">AND('Current Index'!D533,"AAAAAG/t/cY=")</f>
        <v>#VALUE!</v>
      </c>
      <c r="GR21" s="22" t="e">
        <f aca="false">AND('Current Index'!E533,"AAAAAG/t/cc=")</f>
        <v>#VALUE!</v>
      </c>
      <c r="GS21" s="22" t="e">
        <f aca="false">AND('Current Index'!F533,"AAAAAG/t/cg=")</f>
        <v>#VALUE!</v>
      </c>
      <c r="GT21" s="22" t="e">
        <f aca="false">AND('Current Index'!G533,"AAAAAG/t/ck=")</f>
        <v>#VALUE!</v>
      </c>
      <c r="GU21" s="22" t="e">
        <f aca="false">AND('Current Index'!H533,"AAAAAG/t/co=")</f>
        <v>#VALUE!</v>
      </c>
      <c r="GV21" s="22" t="e">
        <f aca="false">AND('Current Index'!I533,"AAAAAG/t/cs=")</f>
        <v>#VALUE!</v>
      </c>
      <c r="GW21" s="22" t="n">
        <f aca="false">IF('Current Index'!534:534,"AAAAAG/t/cw=",0)</f>
        <v>0</v>
      </c>
      <c r="GX21" s="22" t="e">
        <f aca="false">AND('Current Index'!A534,"AAAAAG/t/c0=")</f>
        <v>#VALUE!</v>
      </c>
      <c r="GY21" s="22" t="e">
        <f aca="false">AND('current index'!#ref!,"AAAAAG/t/c4=")</f>
        <v>#VALUE!</v>
      </c>
      <c r="GZ21" s="22" t="e">
        <f aca="false">AND('Current Index'!B534,"AAAAAG/t/c8=")</f>
        <v>#VALUE!</v>
      </c>
      <c r="HA21" s="22" t="e">
        <f aca="false">AND('Current Index'!C534,"AAAAAG/t/dA=")</f>
        <v>#VALUE!</v>
      </c>
      <c r="HB21" s="22" t="e">
        <f aca="false">AND('Current Index'!D534,"AAAAAG/t/dE=")</f>
        <v>#VALUE!</v>
      </c>
      <c r="HC21" s="22" t="e">
        <f aca="false">AND('Current Index'!E534,"AAAAAG/t/dI=")</f>
        <v>#VALUE!</v>
      </c>
      <c r="HD21" s="22" t="e">
        <f aca="false">AND('Current Index'!F534,"AAAAAG/t/dM=")</f>
        <v>#VALUE!</v>
      </c>
      <c r="HE21" s="22" t="e">
        <f aca="false">AND('Current Index'!G534,"AAAAAG/t/dQ=")</f>
        <v>#VALUE!</v>
      </c>
      <c r="HF21" s="22" t="e">
        <f aca="false">AND('Current Index'!H534,"AAAAAG/t/dU=")</f>
        <v>#VALUE!</v>
      </c>
      <c r="HG21" s="22" t="e">
        <f aca="false">AND('Current Index'!I534,"AAAAAG/t/dY=")</f>
        <v>#VALUE!</v>
      </c>
      <c r="HH21" s="22" t="n">
        <f aca="false">IF('Current Index'!535:535,"AAAAAG/t/dc=",0)</f>
        <v>0</v>
      </c>
      <c r="HI21" s="22" t="e">
        <f aca="false">AND('Current Index'!A535,"AAAAAG/t/dg=")</f>
        <v>#VALUE!</v>
      </c>
      <c r="HJ21" s="22" t="e">
        <f aca="false">AND('current index'!#ref!,"AAAAAG/t/dk=")</f>
        <v>#VALUE!</v>
      </c>
      <c r="HK21" s="22" t="e">
        <f aca="false">AND('Current Index'!B535,"AAAAAG/t/do=")</f>
        <v>#VALUE!</v>
      </c>
      <c r="HL21" s="22" t="e">
        <f aca="false">AND('Current Index'!C535,"AAAAAG/t/ds=")</f>
        <v>#VALUE!</v>
      </c>
      <c r="HM21" s="22" t="e">
        <f aca="false">AND('Current Index'!D535,"AAAAAG/t/dw=")</f>
        <v>#VALUE!</v>
      </c>
      <c r="HN21" s="22" t="e">
        <f aca="false">AND('Current Index'!E535,"AAAAAG/t/d0=")</f>
        <v>#VALUE!</v>
      </c>
      <c r="HO21" s="22" t="e">
        <f aca="false">AND('Current Index'!F535,"AAAAAG/t/d4=")</f>
        <v>#VALUE!</v>
      </c>
      <c r="HP21" s="22" t="e">
        <f aca="false">AND('Current Index'!G535,"AAAAAG/t/d8=")</f>
        <v>#VALUE!</v>
      </c>
      <c r="HQ21" s="22" t="e">
        <f aca="false">AND('Current Index'!H535,"AAAAAG/t/eA=")</f>
        <v>#VALUE!</v>
      </c>
      <c r="HR21" s="22" t="e">
        <f aca="false">AND('Current Index'!I535,"AAAAAG/t/eE=")</f>
        <v>#VALUE!</v>
      </c>
      <c r="HS21" s="22" t="n">
        <f aca="false">IF('Current Index'!536:536,"AAAAAG/t/eI=",0)</f>
        <v>0</v>
      </c>
      <c r="HT21" s="22" t="e">
        <f aca="false">AND('Current Index'!A536,"AAAAAG/t/eM=")</f>
        <v>#VALUE!</v>
      </c>
      <c r="HU21" s="22" t="e">
        <f aca="false">AND('current index'!#ref!,"AAAAAG/t/eQ=")</f>
        <v>#VALUE!</v>
      </c>
      <c r="HV21" s="22" t="e">
        <f aca="false">AND('Current Index'!B536,"AAAAAG/t/eU=")</f>
        <v>#VALUE!</v>
      </c>
      <c r="HW21" s="22" t="e">
        <f aca="false">AND('Current Index'!C536,"AAAAAG/t/eY=")</f>
        <v>#VALUE!</v>
      </c>
      <c r="HX21" s="22" t="e">
        <f aca="false">AND('Current Index'!D536,"AAAAAG/t/ec=")</f>
        <v>#VALUE!</v>
      </c>
      <c r="HY21" s="22" t="e">
        <f aca="false">AND('Current Index'!E536,"AAAAAG/t/eg=")</f>
        <v>#VALUE!</v>
      </c>
      <c r="HZ21" s="22" t="e">
        <f aca="false">AND('Current Index'!F536,"AAAAAG/t/ek=")</f>
        <v>#VALUE!</v>
      </c>
      <c r="IA21" s="22" t="e">
        <f aca="false">AND('Current Index'!G536,"AAAAAG/t/eo=")</f>
        <v>#VALUE!</v>
      </c>
      <c r="IB21" s="22" t="e">
        <f aca="false">AND('Current Index'!H536,"AAAAAG/t/es=")</f>
        <v>#VALUE!</v>
      </c>
      <c r="IC21" s="22" t="e">
        <f aca="false">AND('Current Index'!I536,"AAAAAG/t/ew=")</f>
        <v>#VALUE!</v>
      </c>
      <c r="ID21" s="22" t="n">
        <f aca="false">IF('Current Index'!537:537,"AAAAAG/t/e0=",0)</f>
        <v>0</v>
      </c>
      <c r="IE21" s="22" t="e">
        <f aca="false">AND('Current Index'!A537,"AAAAAG/t/e4=")</f>
        <v>#VALUE!</v>
      </c>
      <c r="IF21" s="22" t="e">
        <f aca="false">AND('current index'!#ref!,"AAAAAG/t/e8=")</f>
        <v>#VALUE!</v>
      </c>
      <c r="IG21" s="22" t="e">
        <f aca="false">AND('Current Index'!B537,"AAAAAG/t/fA=")</f>
        <v>#VALUE!</v>
      </c>
      <c r="IH21" s="22" t="e">
        <f aca="false">AND('Current Index'!C537,"AAAAAG/t/fE=")</f>
        <v>#VALUE!</v>
      </c>
      <c r="II21" s="22" t="e">
        <f aca="false">AND('Current Index'!D537,"AAAAAG/t/fI=")</f>
        <v>#VALUE!</v>
      </c>
      <c r="IJ21" s="22" t="e">
        <f aca="false">AND('Current Index'!E537,"AAAAAG/t/fM=")</f>
        <v>#VALUE!</v>
      </c>
      <c r="IK21" s="22" t="e">
        <f aca="false">AND('Current Index'!F537,"AAAAAG/t/fQ=")</f>
        <v>#VALUE!</v>
      </c>
      <c r="IL21" s="22" t="e">
        <f aca="false">AND('Current Index'!G537,"AAAAAG/t/fU=")</f>
        <v>#VALUE!</v>
      </c>
      <c r="IM21" s="22" t="e">
        <f aca="false">AND('Current Index'!H537,"AAAAAG/t/fY=")</f>
        <v>#VALUE!</v>
      </c>
      <c r="IN21" s="22" t="e">
        <f aca="false">AND('Current Index'!I537,"AAAAAG/t/fc=")</f>
        <v>#VALUE!</v>
      </c>
      <c r="IO21" s="22" t="n">
        <f aca="false">IF('Current Index'!538:538,"AAAAAG/t/fg=",0)</f>
        <v>0</v>
      </c>
      <c r="IP21" s="22" t="e">
        <f aca="false">AND('Current Index'!A538,"AAAAAG/t/fk=")</f>
        <v>#VALUE!</v>
      </c>
      <c r="IQ21" s="22" t="e">
        <f aca="false">AND('current index'!#ref!,"AAAAAG/t/fo=")</f>
        <v>#VALUE!</v>
      </c>
      <c r="IR21" s="22" t="e">
        <f aca="false">AND('Current Index'!B538,"AAAAAG/t/fs=")</f>
        <v>#VALUE!</v>
      </c>
      <c r="IS21" s="22" t="e">
        <f aca="false">AND('Current Index'!C538,"AAAAAG/t/fw=")</f>
        <v>#VALUE!</v>
      </c>
      <c r="IT21" s="22" t="e">
        <f aca="false">AND('Current Index'!D538,"AAAAAG/t/f0=")</f>
        <v>#VALUE!</v>
      </c>
      <c r="IU21" s="22" t="e">
        <f aca="false">AND('Current Index'!E538,"AAAAAG/t/f4=")</f>
        <v>#VALUE!</v>
      </c>
      <c r="IV21" s="22" t="e">
        <f aca="false">AND('Current Index'!F538,"AAAAAG/t/f8=")</f>
        <v>#VALUE!</v>
      </c>
    </row>
    <row r="22" customFormat="false" ht="12.75" hidden="false" customHeight="false" outlineLevel="0" collapsed="false">
      <c r="A22" s="22" t="e">
        <f aca="false">AND('Current Index'!G538,"AAAAAF//9AA=")</f>
        <v>#VALUE!</v>
      </c>
      <c r="B22" s="22" t="e">
        <f aca="false">AND('Current Index'!H538,"AAAAAF//9AE=")</f>
        <v>#VALUE!</v>
      </c>
      <c r="C22" s="22" t="e">
        <f aca="false">AND('Current Index'!I538,"AAAAAF//9AI=")</f>
        <v>#VALUE!</v>
      </c>
      <c r="D22" s="22" t="e">
        <f aca="false">IF('Current Index'!539:539,"AAAAAF//9AM=",0)</f>
        <v>#VALUE!</v>
      </c>
      <c r="E22" s="22" t="e">
        <f aca="false">AND('Current Index'!A539,"AAAAAF//9AQ=")</f>
        <v>#VALUE!</v>
      </c>
      <c r="F22" s="22" t="e">
        <f aca="false">AND('current index'!#ref!,"AAAAAF//9AU=")</f>
        <v>#VALUE!</v>
      </c>
      <c r="G22" s="22" t="e">
        <f aca="false">AND('Current Index'!B539,"AAAAAF//9AY=")</f>
        <v>#VALUE!</v>
      </c>
      <c r="H22" s="22" t="e">
        <f aca="false">AND('Current Index'!C539,"AAAAAF//9Ac=")</f>
        <v>#VALUE!</v>
      </c>
      <c r="I22" s="22" t="e">
        <f aca="false">AND('Current Index'!D539,"AAAAAF//9Ag=")</f>
        <v>#VALUE!</v>
      </c>
      <c r="J22" s="22" t="e">
        <f aca="false">AND('Current Index'!E539,"AAAAAF//9Ak=")</f>
        <v>#VALUE!</v>
      </c>
      <c r="K22" s="22" t="e">
        <f aca="false">AND('Current Index'!F539,"AAAAAF//9Ao=")</f>
        <v>#VALUE!</v>
      </c>
      <c r="L22" s="22" t="e">
        <f aca="false">AND('Current Index'!G539,"AAAAAF//9As=")</f>
        <v>#VALUE!</v>
      </c>
      <c r="M22" s="22" t="e">
        <f aca="false">AND('Current Index'!H539,"AAAAAF//9Aw=")</f>
        <v>#VALUE!</v>
      </c>
      <c r="N22" s="22" t="e">
        <f aca="false">AND('Current Index'!I539,"AAAAAF//9A0=")</f>
        <v>#VALUE!</v>
      </c>
      <c r="O22" s="22" t="n">
        <f aca="false">IF('Current Index'!540:540,"AAAAAF//9A4=",0)</f>
        <v>0</v>
      </c>
      <c r="P22" s="22" t="e">
        <f aca="false">AND('Current Index'!A540,"AAAAAF//9A8=")</f>
        <v>#VALUE!</v>
      </c>
      <c r="Q22" s="22" t="e">
        <f aca="false">AND('current index'!#ref!,"AAAAAF//9BA=")</f>
        <v>#VALUE!</v>
      </c>
      <c r="R22" s="22" t="e">
        <f aca="false">AND('Current Index'!B540,"AAAAAF//9BE=")</f>
        <v>#VALUE!</v>
      </c>
      <c r="S22" s="22" t="e">
        <f aca="false">AND('Current Index'!C540,"AAAAAF//9BI=")</f>
        <v>#VALUE!</v>
      </c>
      <c r="T22" s="22" t="e">
        <f aca="false">AND('Current Index'!D540,"AAAAAF//9BM=")</f>
        <v>#VALUE!</v>
      </c>
      <c r="U22" s="22" t="e">
        <f aca="false">AND('Current Index'!E540,"AAAAAF//9BQ=")</f>
        <v>#VALUE!</v>
      </c>
      <c r="V22" s="22" t="e">
        <f aca="false">AND('Current Index'!F540,"AAAAAF//9BU=")</f>
        <v>#VALUE!</v>
      </c>
      <c r="W22" s="22" t="e">
        <f aca="false">AND('Current Index'!G540,"AAAAAF//9BY=")</f>
        <v>#VALUE!</v>
      </c>
      <c r="X22" s="22" t="e">
        <f aca="false">AND('Current Index'!H540,"AAAAAF//9Bc=")</f>
        <v>#VALUE!</v>
      </c>
      <c r="Y22" s="22" t="e">
        <f aca="false">AND('Current Index'!I540,"AAAAAF//9Bg=")</f>
        <v>#VALUE!</v>
      </c>
      <c r="Z22" s="22" t="n">
        <f aca="false">IF('Current Index'!541:541,"AAAAAF//9Bk=",0)</f>
        <v>0</v>
      </c>
      <c r="AA22" s="22" t="e">
        <f aca="false">AND('Current Index'!A541,"AAAAAF//9Bo=")</f>
        <v>#VALUE!</v>
      </c>
      <c r="AB22" s="22" t="e">
        <f aca="false">AND('current index'!#ref!,"AAAAAF//9Bs=")</f>
        <v>#VALUE!</v>
      </c>
      <c r="AC22" s="22" t="e">
        <f aca="false">AND('Current Index'!B541,"AAAAAF//9Bw=")</f>
        <v>#VALUE!</v>
      </c>
      <c r="AD22" s="22" t="e">
        <f aca="false">AND('Current Index'!C541,"AAAAAF//9B0=")</f>
        <v>#VALUE!</v>
      </c>
      <c r="AE22" s="22" t="e">
        <f aca="false">AND('Current Index'!D541,"AAAAAF//9B4=")</f>
        <v>#VALUE!</v>
      </c>
      <c r="AF22" s="22" t="e">
        <f aca="false">AND('Current Index'!E541,"AAAAAF//9B8=")</f>
        <v>#VALUE!</v>
      </c>
      <c r="AG22" s="22" t="e">
        <f aca="false">AND('Current Index'!F541,"AAAAAF//9CA=")</f>
        <v>#VALUE!</v>
      </c>
      <c r="AH22" s="22" t="e">
        <f aca="false">AND('Current Index'!G541,"AAAAAF//9CE=")</f>
        <v>#VALUE!</v>
      </c>
      <c r="AI22" s="22" t="e">
        <f aca="false">AND('Current Index'!H541,"AAAAAF//9CI=")</f>
        <v>#VALUE!</v>
      </c>
      <c r="AJ22" s="22" t="e">
        <f aca="false">AND('Current Index'!I541,"AAAAAF//9CM=")</f>
        <v>#VALUE!</v>
      </c>
      <c r="AK22" s="22" t="n">
        <f aca="false">IF('Current Index'!542:542,"AAAAAF//9CQ=",0)</f>
        <v>0</v>
      </c>
      <c r="AL22" s="22" t="e">
        <f aca="false">AND('Current Index'!A542,"AAAAAF//9CU=")</f>
        <v>#VALUE!</v>
      </c>
      <c r="AM22" s="22" t="e">
        <f aca="false">AND('current index'!#ref!,"AAAAAF//9CY=")</f>
        <v>#VALUE!</v>
      </c>
      <c r="AN22" s="22" t="e">
        <f aca="false">AND('Current Index'!B542,"AAAAAF//9Cc=")</f>
        <v>#VALUE!</v>
      </c>
      <c r="AO22" s="22" t="e">
        <f aca="false">AND('Current Index'!C542,"AAAAAF//9Cg=")</f>
        <v>#VALUE!</v>
      </c>
      <c r="AP22" s="22" t="e">
        <f aca="false">AND('Current Index'!D542,"AAAAAF//9Ck=")</f>
        <v>#VALUE!</v>
      </c>
      <c r="AQ22" s="22" t="e">
        <f aca="false">AND('Current Index'!E542,"AAAAAF//9Co=")</f>
        <v>#VALUE!</v>
      </c>
      <c r="AR22" s="22" t="e">
        <f aca="false">AND('Current Index'!F542,"AAAAAF//9Cs=")</f>
        <v>#VALUE!</v>
      </c>
      <c r="AS22" s="22" t="e">
        <f aca="false">AND('Current Index'!G542,"AAAAAF//9Cw=")</f>
        <v>#VALUE!</v>
      </c>
      <c r="AT22" s="22" t="e">
        <f aca="false">AND('Current Index'!H542,"AAAAAF//9C0=")</f>
        <v>#VALUE!</v>
      </c>
      <c r="AU22" s="22" t="e">
        <f aca="false">AND('Current Index'!I542,"AAAAAF//9C4=")</f>
        <v>#VALUE!</v>
      </c>
      <c r="AV22" s="22" t="n">
        <f aca="false">IF('Current Index'!543:543,"AAAAAF//9C8=",0)</f>
        <v>0</v>
      </c>
      <c r="AW22" s="22" t="e">
        <f aca="false">AND('Current Index'!A543,"AAAAAF//9DA=")</f>
        <v>#VALUE!</v>
      </c>
      <c r="AX22" s="22" t="e">
        <f aca="false">AND('current index'!#ref!,"AAAAAF//9DE=")</f>
        <v>#VALUE!</v>
      </c>
      <c r="AY22" s="22" t="e">
        <f aca="false">AND('Current Index'!B543,"AAAAAF//9DI=")</f>
        <v>#VALUE!</v>
      </c>
      <c r="AZ22" s="22" t="e">
        <f aca="false">AND('Current Index'!C543,"AAAAAF//9DM=")</f>
        <v>#VALUE!</v>
      </c>
      <c r="BA22" s="22" t="e">
        <f aca="false">AND('Current Index'!D543,"AAAAAF//9DQ=")</f>
        <v>#VALUE!</v>
      </c>
      <c r="BB22" s="22" t="e">
        <f aca="false">AND('Current Index'!E543,"AAAAAF//9DU=")</f>
        <v>#VALUE!</v>
      </c>
      <c r="BC22" s="22" t="e">
        <f aca="false">AND('Current Index'!F543,"AAAAAF//9DY=")</f>
        <v>#VALUE!</v>
      </c>
      <c r="BD22" s="22" t="e">
        <f aca="false">AND('Current Index'!G543,"AAAAAF//9Dc=")</f>
        <v>#VALUE!</v>
      </c>
      <c r="BE22" s="22" t="e">
        <f aca="false">AND('Current Index'!H543,"AAAAAF//9Dg=")</f>
        <v>#VALUE!</v>
      </c>
      <c r="BF22" s="22" t="e">
        <f aca="false">AND('Current Index'!I543,"AAAAAF//9Dk=")</f>
        <v>#VALUE!</v>
      </c>
      <c r="BG22" s="22" t="n">
        <f aca="false">IF('Current Index'!544:544,"AAAAAF//9Do=",0)</f>
        <v>0</v>
      </c>
      <c r="BH22" s="22" t="e">
        <f aca="false">AND('Current Index'!A544,"AAAAAF//9Ds=")</f>
        <v>#VALUE!</v>
      </c>
      <c r="BI22" s="22" t="e">
        <f aca="false">AND('current index'!#ref!,"AAAAAF//9Dw=")</f>
        <v>#VALUE!</v>
      </c>
      <c r="BJ22" s="22" t="e">
        <f aca="false">AND('Current Index'!B544,"AAAAAF//9D0=")</f>
        <v>#VALUE!</v>
      </c>
      <c r="BK22" s="22" t="e">
        <f aca="false">AND('Current Index'!C544,"AAAAAF//9D4=")</f>
        <v>#VALUE!</v>
      </c>
      <c r="BL22" s="22" t="e">
        <f aca="false">AND('Current Index'!D544,"AAAAAF//9D8=")</f>
        <v>#VALUE!</v>
      </c>
      <c r="BM22" s="22" t="e">
        <f aca="false">AND('Current Index'!E544,"AAAAAF//9EA=")</f>
        <v>#VALUE!</v>
      </c>
      <c r="BN22" s="22" t="e">
        <f aca="false">AND('Current Index'!F544,"AAAAAF//9EE=")</f>
        <v>#VALUE!</v>
      </c>
      <c r="BO22" s="22" t="e">
        <f aca="false">AND('Current Index'!G544,"AAAAAF//9EI=")</f>
        <v>#VALUE!</v>
      </c>
      <c r="BP22" s="22" t="e">
        <f aca="false">AND('Current Index'!H544,"AAAAAF//9EM=")</f>
        <v>#VALUE!</v>
      </c>
      <c r="BQ22" s="22" t="e">
        <f aca="false">AND('Current Index'!I544,"AAAAAF//9EQ=")</f>
        <v>#VALUE!</v>
      </c>
      <c r="BR22" s="22" t="n">
        <f aca="false">IF('Current Index'!545:545,"AAAAAF//9EU=",0)</f>
        <v>0</v>
      </c>
      <c r="BS22" s="22" t="e">
        <f aca="false">AND('Current Index'!A545,"AAAAAF//9EY=")</f>
        <v>#VALUE!</v>
      </c>
      <c r="BT22" s="22" t="e">
        <f aca="false">AND('current index'!#ref!,"AAAAAF//9Ec=")</f>
        <v>#VALUE!</v>
      </c>
      <c r="BU22" s="22" t="e">
        <f aca="false">AND('Current Index'!B545,"AAAAAF//9Eg=")</f>
        <v>#VALUE!</v>
      </c>
      <c r="BV22" s="22" t="e">
        <f aca="false">AND('Current Index'!C545,"AAAAAF//9Ek=")</f>
        <v>#VALUE!</v>
      </c>
      <c r="BW22" s="22" t="e">
        <f aca="false">AND('Current Index'!D545,"AAAAAF//9Eo=")</f>
        <v>#VALUE!</v>
      </c>
      <c r="BX22" s="22" t="e">
        <f aca="false">AND('Current Index'!E545,"AAAAAF//9Es=")</f>
        <v>#VALUE!</v>
      </c>
      <c r="BY22" s="22" t="e">
        <f aca="false">AND('Current Index'!F545,"AAAAAF//9Ew=")</f>
        <v>#VALUE!</v>
      </c>
      <c r="BZ22" s="22" t="e">
        <f aca="false">AND('Current Index'!G545,"AAAAAF//9E0=")</f>
        <v>#VALUE!</v>
      </c>
      <c r="CA22" s="22" t="e">
        <f aca="false">AND('Current Index'!H545,"AAAAAF//9E4=")</f>
        <v>#VALUE!</v>
      </c>
      <c r="CB22" s="22" t="e">
        <f aca="false">AND('Current Index'!I545,"AAAAAF//9E8=")</f>
        <v>#VALUE!</v>
      </c>
      <c r="CC22" s="22" t="n">
        <f aca="false">IF('Current Index'!546:546,"AAAAAF//9FA=",0)</f>
        <v>0</v>
      </c>
      <c r="CD22" s="22" t="e">
        <f aca="false">AND('Current Index'!A546,"AAAAAF//9FE=")</f>
        <v>#VALUE!</v>
      </c>
      <c r="CE22" s="22" t="e">
        <f aca="false">AND('current index'!#ref!,"AAAAAF//9FI=")</f>
        <v>#VALUE!</v>
      </c>
      <c r="CF22" s="22" t="e">
        <f aca="false">AND('Current Index'!B546,"AAAAAF//9FM=")</f>
        <v>#VALUE!</v>
      </c>
      <c r="CG22" s="22" t="e">
        <f aca="false">AND('Current Index'!C546,"AAAAAF//9FQ=")</f>
        <v>#VALUE!</v>
      </c>
      <c r="CH22" s="22" t="e">
        <f aca="false">AND('Current Index'!D546,"AAAAAF//9FU=")</f>
        <v>#VALUE!</v>
      </c>
      <c r="CI22" s="22" t="e">
        <f aca="false">AND('Current Index'!E546,"AAAAAF//9FY=")</f>
        <v>#VALUE!</v>
      </c>
      <c r="CJ22" s="22" t="e">
        <f aca="false">AND('Current Index'!F546,"AAAAAF//9Fc=")</f>
        <v>#VALUE!</v>
      </c>
      <c r="CK22" s="22" t="e">
        <f aca="false">AND('Current Index'!G546,"AAAAAF//9Fg=")</f>
        <v>#VALUE!</v>
      </c>
      <c r="CL22" s="22" t="e">
        <f aca="false">AND('Current Index'!H546,"AAAAAF//9Fk=")</f>
        <v>#VALUE!</v>
      </c>
      <c r="CM22" s="22" t="e">
        <f aca="false">AND('Current Index'!I546,"AAAAAF//9Fo=")</f>
        <v>#VALUE!</v>
      </c>
      <c r="CN22" s="22" t="n">
        <f aca="false">IF('Current Index'!547:547,"AAAAAF//9Fs=",0)</f>
        <v>0</v>
      </c>
      <c r="CO22" s="22" t="e">
        <f aca="false">AND('Current Index'!A547,"AAAAAF//9Fw=")</f>
        <v>#VALUE!</v>
      </c>
      <c r="CP22" s="22" t="e">
        <f aca="false">AND('current index'!#ref!,"AAAAAF//9F0=")</f>
        <v>#VALUE!</v>
      </c>
      <c r="CQ22" s="22" t="e">
        <f aca="false">AND('Current Index'!B547,"AAAAAF//9F4=")</f>
        <v>#VALUE!</v>
      </c>
      <c r="CR22" s="22" t="e">
        <f aca="false">AND('Current Index'!C547,"AAAAAF//9F8=")</f>
        <v>#VALUE!</v>
      </c>
      <c r="CS22" s="22" t="e">
        <f aca="false">AND('Current Index'!D547,"AAAAAF//9GA=")</f>
        <v>#VALUE!</v>
      </c>
      <c r="CT22" s="22" t="e">
        <f aca="false">AND('Current Index'!E547,"AAAAAF//9GE=")</f>
        <v>#VALUE!</v>
      </c>
      <c r="CU22" s="22" t="e">
        <f aca="false">AND('Current Index'!F547,"AAAAAF//9GI=")</f>
        <v>#VALUE!</v>
      </c>
      <c r="CV22" s="22" t="e">
        <f aca="false">AND('Current Index'!G547,"AAAAAF//9GM=")</f>
        <v>#VALUE!</v>
      </c>
      <c r="CW22" s="22" t="e">
        <f aca="false">AND('Current Index'!H547,"AAAAAF//9GQ=")</f>
        <v>#VALUE!</v>
      </c>
      <c r="CX22" s="22" t="e">
        <f aca="false">AND('Current Index'!I547,"AAAAAF//9GU=")</f>
        <v>#VALUE!</v>
      </c>
      <c r="CY22" s="22" t="n">
        <f aca="false">IF('Current Index'!548:548,"AAAAAF//9GY=",0)</f>
        <v>0</v>
      </c>
      <c r="CZ22" s="22" t="e">
        <f aca="false">AND('Current Index'!A548,"AAAAAF//9Gc=")</f>
        <v>#VALUE!</v>
      </c>
      <c r="DA22" s="22" t="e">
        <f aca="false">AND('current index'!#ref!,"AAAAAF//9Gg=")</f>
        <v>#VALUE!</v>
      </c>
      <c r="DB22" s="22" t="e">
        <f aca="false">AND('Current Index'!B548,"AAAAAF//9Gk=")</f>
        <v>#VALUE!</v>
      </c>
      <c r="DC22" s="22" t="e">
        <f aca="false">AND('Current Index'!C548,"AAAAAF//9Go=")</f>
        <v>#VALUE!</v>
      </c>
      <c r="DD22" s="22" t="e">
        <f aca="false">AND('Current Index'!D548,"AAAAAF//9Gs=")</f>
        <v>#VALUE!</v>
      </c>
      <c r="DE22" s="22" t="e">
        <f aca="false">AND('Current Index'!E548,"AAAAAF//9Gw=")</f>
        <v>#VALUE!</v>
      </c>
      <c r="DF22" s="22" t="e">
        <f aca="false">AND('Current Index'!F548,"AAAAAF//9G0=")</f>
        <v>#VALUE!</v>
      </c>
      <c r="DG22" s="22" t="e">
        <f aca="false">AND('Current Index'!G548,"AAAAAF//9G4=")</f>
        <v>#VALUE!</v>
      </c>
      <c r="DH22" s="22" t="e">
        <f aca="false">AND('Current Index'!H548,"AAAAAF//9G8=")</f>
        <v>#VALUE!</v>
      </c>
      <c r="DI22" s="22" t="e">
        <f aca="false">AND('Current Index'!I548,"AAAAAF//9HA=")</f>
        <v>#VALUE!</v>
      </c>
      <c r="DJ22" s="22" t="n">
        <f aca="false">IF('Current Index'!549:549,"AAAAAF//9HE=",0)</f>
        <v>0</v>
      </c>
      <c r="DK22" s="22" t="e">
        <f aca="false">AND('Current Index'!A549,"AAAAAF//9HI=")</f>
        <v>#VALUE!</v>
      </c>
      <c r="DL22" s="22" t="e">
        <f aca="false">AND('current index'!#ref!,"AAAAAF//9HM=")</f>
        <v>#VALUE!</v>
      </c>
      <c r="DM22" s="22" t="e">
        <f aca="false">AND('Current Index'!B549,"AAAAAF//9HQ=")</f>
        <v>#VALUE!</v>
      </c>
      <c r="DN22" s="22" t="e">
        <f aca="false">AND('Current Index'!C549,"AAAAAF//9HU=")</f>
        <v>#VALUE!</v>
      </c>
      <c r="DO22" s="22" t="e">
        <f aca="false">AND('Current Index'!D549,"AAAAAF//9HY=")</f>
        <v>#VALUE!</v>
      </c>
      <c r="DP22" s="22" t="e">
        <f aca="false">AND('Current Index'!E549,"AAAAAF//9Hc=")</f>
        <v>#VALUE!</v>
      </c>
      <c r="DQ22" s="22" t="e">
        <f aca="false">AND('Current Index'!F549,"AAAAAF//9Hg=")</f>
        <v>#VALUE!</v>
      </c>
      <c r="DR22" s="22" t="e">
        <f aca="false">AND('Current Index'!G549,"AAAAAF//9Hk=")</f>
        <v>#VALUE!</v>
      </c>
      <c r="DS22" s="22" t="e">
        <f aca="false">AND('Current Index'!H549,"AAAAAF//9Ho=")</f>
        <v>#VALUE!</v>
      </c>
      <c r="DT22" s="22" t="e">
        <f aca="false">AND('Current Index'!I549,"AAAAAF//9Hs=")</f>
        <v>#VALUE!</v>
      </c>
      <c r="DU22" s="22" t="n">
        <f aca="false">IF('Current Index'!550:550,"AAAAAF//9Hw=",0)</f>
        <v>0</v>
      </c>
      <c r="DV22" s="22" t="e">
        <f aca="false">AND('Current Index'!A550,"AAAAAF//9H0=")</f>
        <v>#VALUE!</v>
      </c>
      <c r="DW22" s="22" t="e">
        <f aca="false">AND('current index'!#ref!,"AAAAAF//9H4=")</f>
        <v>#VALUE!</v>
      </c>
      <c r="DX22" s="22" t="e">
        <f aca="false">AND('Current Index'!B550,"AAAAAF//9H8=")</f>
        <v>#VALUE!</v>
      </c>
      <c r="DY22" s="22" t="e">
        <f aca="false">AND('Current Index'!C550,"AAAAAF//9IA=")</f>
        <v>#VALUE!</v>
      </c>
      <c r="DZ22" s="22" t="e">
        <f aca="false">AND('Current Index'!D550,"AAAAAF//9IE=")</f>
        <v>#VALUE!</v>
      </c>
      <c r="EA22" s="22" t="e">
        <f aca="false">AND('Current Index'!E550,"AAAAAF//9II=")</f>
        <v>#VALUE!</v>
      </c>
      <c r="EB22" s="22" t="e">
        <f aca="false">AND('Current Index'!F550,"AAAAAF//9IM=")</f>
        <v>#VALUE!</v>
      </c>
      <c r="EC22" s="22" t="e">
        <f aca="false">AND('Current Index'!G550,"AAAAAF//9IQ=")</f>
        <v>#VALUE!</v>
      </c>
      <c r="ED22" s="22" t="e">
        <f aca="false">AND('Current Index'!H550,"AAAAAF//9IU=")</f>
        <v>#VALUE!</v>
      </c>
      <c r="EE22" s="22" t="e">
        <f aca="false">AND('Current Index'!I550,"AAAAAF//9IY=")</f>
        <v>#VALUE!</v>
      </c>
      <c r="EF22" s="22" t="n">
        <f aca="false">IF('Current Index'!551:551,"AAAAAF//9Ic=",0)</f>
        <v>0</v>
      </c>
      <c r="EG22" s="22" t="e">
        <f aca="false">AND('Current Index'!A551,"AAAAAF//9Ig=")</f>
        <v>#VALUE!</v>
      </c>
      <c r="EH22" s="22" t="e">
        <f aca="false">AND('current index'!#ref!,"AAAAAF//9Ik=")</f>
        <v>#VALUE!</v>
      </c>
      <c r="EI22" s="22" t="e">
        <f aca="false">AND('Current Index'!B551,"AAAAAF//9Io=")</f>
        <v>#VALUE!</v>
      </c>
      <c r="EJ22" s="22" t="e">
        <f aca="false">AND('Current Index'!C551,"AAAAAF//9Is=")</f>
        <v>#VALUE!</v>
      </c>
      <c r="EK22" s="22" t="e">
        <f aca="false">AND('Current Index'!D551,"AAAAAF//9Iw=")</f>
        <v>#VALUE!</v>
      </c>
      <c r="EL22" s="22" t="e">
        <f aca="false">AND('Current Index'!E551,"AAAAAF//9I0=")</f>
        <v>#VALUE!</v>
      </c>
      <c r="EM22" s="22" t="e">
        <f aca="false">AND('Current Index'!F551,"AAAAAF//9I4=")</f>
        <v>#VALUE!</v>
      </c>
      <c r="EN22" s="22" t="e">
        <f aca="false">AND('Current Index'!G551,"AAAAAF//9I8=")</f>
        <v>#VALUE!</v>
      </c>
      <c r="EO22" s="22" t="e">
        <f aca="false">AND('Current Index'!H551,"AAAAAF//9JA=")</f>
        <v>#VALUE!</v>
      </c>
      <c r="EP22" s="22" t="e">
        <f aca="false">AND('Current Index'!I551,"AAAAAF//9JE=")</f>
        <v>#VALUE!</v>
      </c>
      <c r="EQ22" s="22" t="n">
        <f aca="false">IF('Current Index'!552:552,"AAAAAF//9JI=",0)</f>
        <v>0</v>
      </c>
      <c r="ER22" s="22" t="e">
        <f aca="false">AND('Current Index'!A552,"AAAAAF//9JM=")</f>
        <v>#VALUE!</v>
      </c>
      <c r="ES22" s="22" t="e">
        <f aca="false">AND('current index'!#ref!,"AAAAAF//9JQ=")</f>
        <v>#VALUE!</v>
      </c>
      <c r="ET22" s="22" t="e">
        <f aca="false">AND('Current Index'!B552,"AAAAAF//9JU=")</f>
        <v>#VALUE!</v>
      </c>
      <c r="EU22" s="22" t="e">
        <f aca="false">AND('Current Index'!C552,"AAAAAF//9JY=")</f>
        <v>#VALUE!</v>
      </c>
      <c r="EV22" s="22" t="e">
        <f aca="false">AND('Current Index'!D552,"AAAAAF//9Jc=")</f>
        <v>#VALUE!</v>
      </c>
      <c r="EW22" s="22" t="e">
        <f aca="false">AND('Current Index'!E552,"AAAAAF//9Jg=")</f>
        <v>#VALUE!</v>
      </c>
      <c r="EX22" s="22" t="e">
        <f aca="false">AND('Current Index'!F552,"AAAAAF//9Jk=")</f>
        <v>#VALUE!</v>
      </c>
      <c r="EY22" s="22" t="e">
        <f aca="false">AND('Current Index'!G552,"AAAAAF//9Jo=")</f>
        <v>#VALUE!</v>
      </c>
      <c r="EZ22" s="22" t="e">
        <f aca="false">AND('Current Index'!H552,"AAAAAF//9Js=")</f>
        <v>#VALUE!</v>
      </c>
      <c r="FA22" s="22" t="e">
        <f aca="false">AND('Current Index'!I552,"AAAAAF//9Jw=")</f>
        <v>#VALUE!</v>
      </c>
      <c r="FB22" s="22" t="n">
        <f aca="false">IF('Current Index'!553:553,"AAAAAF//9J0=",0)</f>
        <v>0</v>
      </c>
      <c r="FC22" s="22" t="e">
        <f aca="false">AND('Current Index'!A553,"AAAAAF//9J4=")</f>
        <v>#VALUE!</v>
      </c>
      <c r="FD22" s="22" t="e">
        <f aca="false">AND('current index'!#ref!,"AAAAAF//9J8=")</f>
        <v>#VALUE!</v>
      </c>
      <c r="FE22" s="22" t="e">
        <f aca="false">AND('Current Index'!B553,"AAAAAF//9KA=")</f>
        <v>#VALUE!</v>
      </c>
      <c r="FF22" s="22" t="e">
        <f aca="false">AND('Current Index'!C553,"AAAAAF//9KE=")</f>
        <v>#VALUE!</v>
      </c>
      <c r="FG22" s="22" t="e">
        <f aca="false">AND('Current Index'!D553,"AAAAAF//9KI=")</f>
        <v>#VALUE!</v>
      </c>
      <c r="FH22" s="22" t="e">
        <f aca="false">AND('Current Index'!E553,"AAAAAF//9KM=")</f>
        <v>#VALUE!</v>
      </c>
      <c r="FI22" s="22" t="e">
        <f aca="false">AND('Current Index'!F553,"AAAAAF//9KQ=")</f>
        <v>#VALUE!</v>
      </c>
      <c r="FJ22" s="22" t="e">
        <f aca="false">AND('Current Index'!G553,"AAAAAF//9KU=")</f>
        <v>#VALUE!</v>
      </c>
      <c r="FK22" s="22" t="e">
        <f aca="false">AND('Current Index'!H553,"AAAAAF//9KY=")</f>
        <v>#VALUE!</v>
      </c>
      <c r="FL22" s="22" t="e">
        <f aca="false">AND('Current Index'!I553,"AAAAAF//9Kc=")</f>
        <v>#VALUE!</v>
      </c>
      <c r="FM22" s="22" t="n">
        <f aca="false">IF('Current Index'!554:554,"AAAAAF//9Kg=",0)</f>
        <v>0</v>
      </c>
      <c r="FN22" s="22" t="e">
        <f aca="false">AND('Current Index'!A554,"AAAAAF//9Kk=")</f>
        <v>#VALUE!</v>
      </c>
      <c r="FO22" s="22" t="e">
        <f aca="false">AND('current index'!#ref!,"AAAAAF//9Ko=")</f>
        <v>#VALUE!</v>
      </c>
      <c r="FP22" s="22" t="e">
        <f aca="false">AND('Current Index'!B554,"AAAAAF//9Ks=")</f>
        <v>#VALUE!</v>
      </c>
      <c r="FQ22" s="22" t="e">
        <f aca="false">AND('Current Index'!C554,"AAAAAF//9Kw=")</f>
        <v>#VALUE!</v>
      </c>
      <c r="FR22" s="22" t="e">
        <f aca="false">AND('Current Index'!D554,"AAAAAF//9K0=")</f>
        <v>#VALUE!</v>
      </c>
      <c r="FS22" s="22" t="e">
        <f aca="false">AND('Current Index'!E554,"AAAAAF//9K4=")</f>
        <v>#VALUE!</v>
      </c>
      <c r="FT22" s="22" t="e">
        <f aca="false">AND('Current Index'!F554,"AAAAAF//9K8=")</f>
        <v>#VALUE!</v>
      </c>
      <c r="FU22" s="22" t="e">
        <f aca="false">AND('Current Index'!G554,"AAAAAF//9LA=")</f>
        <v>#VALUE!</v>
      </c>
      <c r="FV22" s="22" t="e">
        <f aca="false">AND('Current Index'!H554,"AAAAAF//9LE=")</f>
        <v>#VALUE!</v>
      </c>
      <c r="FW22" s="22" t="e">
        <f aca="false">AND('Current Index'!I554,"AAAAAF//9LI=")</f>
        <v>#VALUE!</v>
      </c>
      <c r="FX22" s="22" t="n">
        <f aca="false">IF('Current Index'!560:560,"AAAAAF//9LM=",0)</f>
        <v>0</v>
      </c>
      <c r="FY22" s="22" t="e">
        <f aca="false">AND('Current Index'!A560,"AAAAAF//9LQ=")</f>
        <v>#VALUE!</v>
      </c>
      <c r="FZ22" s="22" t="e">
        <f aca="false">AND('current index'!#ref!,"AAAAAF//9LU=")</f>
        <v>#VALUE!</v>
      </c>
      <c r="GA22" s="22" t="e">
        <f aca="false">AND('Current Index'!B560,"AAAAAF//9LY=")</f>
        <v>#VALUE!</v>
      </c>
      <c r="GB22" s="22" t="e">
        <f aca="false">AND('Current Index'!C560,"AAAAAF//9Lc=")</f>
        <v>#VALUE!</v>
      </c>
      <c r="GC22" s="22" t="e">
        <f aca="false">AND('Current Index'!D560,"AAAAAF//9Lg=")</f>
        <v>#VALUE!</v>
      </c>
      <c r="GD22" s="22" t="e">
        <f aca="false">AND('Current Index'!E560,"AAAAAF//9Lk=")</f>
        <v>#VALUE!</v>
      </c>
      <c r="GE22" s="22" t="e">
        <f aca="false">AND('Current Index'!F560,"AAAAAF//9Lo=")</f>
        <v>#VALUE!</v>
      </c>
      <c r="GF22" s="22" t="e">
        <f aca="false">AND('Current Index'!G560,"AAAAAF//9Ls=")</f>
        <v>#VALUE!</v>
      </c>
      <c r="GG22" s="22" t="e">
        <f aca="false">AND('Current Index'!H560,"AAAAAF//9Lw=")</f>
        <v>#VALUE!</v>
      </c>
      <c r="GH22" s="22" t="e">
        <f aca="false">AND('Current Index'!I560,"AAAAAF//9L0=")</f>
        <v>#VALUE!</v>
      </c>
      <c r="GI22" s="22" t="n">
        <f aca="false">IF('Current Index'!561:561,"AAAAAF//9L4=",0)</f>
        <v>0</v>
      </c>
      <c r="GJ22" s="22" t="e">
        <f aca="false">AND('Current Index'!A561,"AAAAAF//9L8=")</f>
        <v>#VALUE!</v>
      </c>
      <c r="GK22" s="22" t="e">
        <f aca="false">AND('current index'!#ref!,"AAAAAF//9MA=")</f>
        <v>#VALUE!</v>
      </c>
      <c r="GL22" s="22" t="e">
        <f aca="false">AND('Current Index'!B561,"AAAAAF//9ME=")</f>
        <v>#VALUE!</v>
      </c>
      <c r="GM22" s="22" t="e">
        <f aca="false">AND('Current Index'!C561,"AAAAAF//9MI=")</f>
        <v>#VALUE!</v>
      </c>
      <c r="GN22" s="22" t="e">
        <f aca="false">AND('Current Index'!D561,"AAAAAF//9MM=")</f>
        <v>#VALUE!</v>
      </c>
      <c r="GO22" s="22" t="e">
        <f aca="false">AND('Current Index'!E561,"AAAAAF//9MQ=")</f>
        <v>#VALUE!</v>
      </c>
      <c r="GP22" s="22" t="e">
        <f aca="false">AND('Current Index'!F561,"AAAAAF//9MU=")</f>
        <v>#VALUE!</v>
      </c>
      <c r="GQ22" s="22" t="e">
        <f aca="false">AND('Current Index'!G561,"AAAAAF//9MY=")</f>
        <v>#VALUE!</v>
      </c>
      <c r="GR22" s="22" t="e">
        <f aca="false">AND('Current Index'!H561,"AAAAAF//9Mc=")</f>
        <v>#VALUE!</v>
      </c>
      <c r="GS22" s="22" t="e">
        <f aca="false">AND('Current Index'!I561,"AAAAAF//9Mg=")</f>
        <v>#VALUE!</v>
      </c>
      <c r="GT22" s="22" t="n">
        <f aca="false">IF('Current Index'!562:562,"AAAAAF//9Mk=",0)</f>
        <v>0</v>
      </c>
      <c r="GU22" s="22" t="e">
        <f aca="false">AND('Current Index'!A562,"AAAAAF//9Mo=")</f>
        <v>#VALUE!</v>
      </c>
      <c r="GV22" s="22" t="e">
        <f aca="false">AND('current index'!#ref!,"AAAAAF//9Ms=")</f>
        <v>#VALUE!</v>
      </c>
      <c r="GW22" s="22" t="e">
        <f aca="false">AND('Current Index'!B562,"AAAAAF//9Mw=")</f>
        <v>#VALUE!</v>
      </c>
      <c r="GX22" s="22" t="e">
        <f aca="false">AND('Current Index'!C562,"AAAAAF//9M0=")</f>
        <v>#VALUE!</v>
      </c>
      <c r="GY22" s="22" t="e">
        <f aca="false">AND('Current Index'!D562,"AAAAAF//9M4=")</f>
        <v>#VALUE!</v>
      </c>
      <c r="GZ22" s="22" t="e">
        <f aca="false">AND('Current Index'!E562,"AAAAAF//9M8=")</f>
        <v>#VALUE!</v>
      </c>
      <c r="HA22" s="22" t="e">
        <f aca="false">AND('Current Index'!F562,"AAAAAF//9NA=")</f>
        <v>#VALUE!</v>
      </c>
      <c r="HB22" s="22" t="e">
        <f aca="false">AND('Current Index'!G562,"AAAAAF//9NE=")</f>
        <v>#VALUE!</v>
      </c>
      <c r="HC22" s="22" t="e">
        <f aca="false">AND('Current Index'!H562,"AAAAAF//9NI=")</f>
        <v>#VALUE!</v>
      </c>
      <c r="HD22" s="22" t="e">
        <f aca="false">AND('Current Index'!I562,"AAAAAF//9NM=")</f>
        <v>#VALUE!</v>
      </c>
      <c r="HE22" s="22" t="n">
        <f aca="false">IF('Current Index'!563:563,"AAAAAF//9NQ=",0)</f>
        <v>0</v>
      </c>
      <c r="HF22" s="22" t="e">
        <f aca="false">AND('Current Index'!A563,"AAAAAF//9NU=")</f>
        <v>#VALUE!</v>
      </c>
      <c r="HG22" s="22" t="e">
        <f aca="false">AND('current index'!#ref!,"AAAAAF//9NY=")</f>
        <v>#VALUE!</v>
      </c>
      <c r="HH22" s="22" t="e">
        <f aca="false">AND('Current Index'!B563,"AAAAAF//9Nc=")</f>
        <v>#VALUE!</v>
      </c>
      <c r="HI22" s="22" t="e">
        <f aca="false">AND('Current Index'!C563,"AAAAAF//9Ng=")</f>
        <v>#VALUE!</v>
      </c>
      <c r="HJ22" s="22" t="e">
        <f aca="false">AND('Current Index'!D563,"AAAAAF//9Nk=")</f>
        <v>#VALUE!</v>
      </c>
      <c r="HK22" s="22" t="e">
        <f aca="false">AND('Current Index'!E563,"AAAAAF//9No=")</f>
        <v>#VALUE!</v>
      </c>
      <c r="HL22" s="22" t="e">
        <f aca="false">AND('Current Index'!F563,"AAAAAF//9Ns=")</f>
        <v>#VALUE!</v>
      </c>
      <c r="HM22" s="22" t="e">
        <f aca="false">AND('Current Index'!G563,"AAAAAF//9Nw=")</f>
        <v>#VALUE!</v>
      </c>
      <c r="HN22" s="22" t="e">
        <f aca="false">AND('Current Index'!H563,"AAAAAF//9N0=")</f>
        <v>#VALUE!</v>
      </c>
      <c r="HO22" s="22" t="e">
        <f aca="false">AND('Current Index'!I563,"AAAAAF//9N4=")</f>
        <v>#VALUE!</v>
      </c>
      <c r="HP22" s="22" t="n">
        <f aca="false">IF('Current Index'!564:564,"AAAAAF//9N8=",0)</f>
        <v>0</v>
      </c>
      <c r="HQ22" s="22" t="e">
        <f aca="false">AND('Current Index'!A564,"AAAAAF//9OA=")</f>
        <v>#VALUE!</v>
      </c>
      <c r="HR22" s="22" t="e">
        <f aca="false">AND('current index'!#ref!,"AAAAAF//9OE=")</f>
        <v>#VALUE!</v>
      </c>
      <c r="HS22" s="22" t="e">
        <f aca="false">AND('Current Index'!B564,"AAAAAF//9OI=")</f>
        <v>#VALUE!</v>
      </c>
      <c r="HT22" s="22" t="e">
        <f aca="false">AND('Current Index'!C564,"AAAAAF//9OM=")</f>
        <v>#VALUE!</v>
      </c>
      <c r="HU22" s="22" t="e">
        <f aca="false">AND('Current Index'!D564,"AAAAAF//9OQ=")</f>
        <v>#VALUE!</v>
      </c>
      <c r="HV22" s="22" t="e">
        <f aca="false">AND('Current Index'!E564,"AAAAAF//9OU=")</f>
        <v>#VALUE!</v>
      </c>
      <c r="HW22" s="22" t="e">
        <f aca="false">AND('Current Index'!F564,"AAAAAF//9OY=")</f>
        <v>#VALUE!</v>
      </c>
      <c r="HX22" s="22" t="e">
        <f aca="false">AND('Current Index'!G564,"AAAAAF//9Oc=")</f>
        <v>#VALUE!</v>
      </c>
      <c r="HY22" s="22" t="e">
        <f aca="false">AND('Current Index'!H564,"AAAAAF//9Og=")</f>
        <v>#VALUE!</v>
      </c>
      <c r="HZ22" s="22" t="e">
        <f aca="false">AND('Current Index'!I564,"AAAAAF//9Ok=")</f>
        <v>#VALUE!</v>
      </c>
      <c r="IA22" s="22" t="n">
        <f aca="false">IF('Current Index'!565:565,"AAAAAF//9Oo=",0)</f>
        <v>0</v>
      </c>
      <c r="IB22" s="22" t="e">
        <f aca="false">AND('Current Index'!A565,"AAAAAF//9Os=")</f>
        <v>#VALUE!</v>
      </c>
      <c r="IC22" s="22" t="e">
        <f aca="false">AND('current index'!#ref!,"AAAAAF//9Ow=")</f>
        <v>#VALUE!</v>
      </c>
      <c r="ID22" s="22" t="e">
        <f aca="false">AND('Current Index'!B565,"AAAAAF//9O0=")</f>
        <v>#VALUE!</v>
      </c>
      <c r="IE22" s="22" t="e">
        <f aca="false">AND('Current Index'!C565,"AAAAAF//9O4=")</f>
        <v>#VALUE!</v>
      </c>
      <c r="IF22" s="22" t="e">
        <f aca="false">AND('Current Index'!D565,"AAAAAF//9O8=")</f>
        <v>#VALUE!</v>
      </c>
      <c r="IG22" s="22" t="e">
        <f aca="false">AND('Current Index'!E565,"AAAAAF//9PA=")</f>
        <v>#VALUE!</v>
      </c>
      <c r="IH22" s="22" t="e">
        <f aca="false">AND('Current Index'!F565,"AAAAAF//9PE=")</f>
        <v>#VALUE!</v>
      </c>
      <c r="II22" s="22" t="e">
        <f aca="false">AND('Current Index'!G565,"AAAAAF//9PI=")</f>
        <v>#VALUE!</v>
      </c>
      <c r="IJ22" s="22" t="e">
        <f aca="false">AND('Current Index'!H565,"AAAAAF//9PM=")</f>
        <v>#VALUE!</v>
      </c>
      <c r="IK22" s="22" t="e">
        <f aca="false">AND('Current Index'!I565,"AAAAAF//9PQ=")</f>
        <v>#VALUE!</v>
      </c>
      <c r="IL22" s="22" t="n">
        <f aca="false">IF('Current Index'!566:566,"AAAAAF//9PU=",0)</f>
        <v>0</v>
      </c>
      <c r="IM22" s="22" t="e">
        <f aca="false">AND('Current Index'!A566,"AAAAAF//9PY=")</f>
        <v>#VALUE!</v>
      </c>
      <c r="IN22" s="22" t="e">
        <f aca="false">AND('current index'!#ref!,"AAAAAF//9Pc=")</f>
        <v>#VALUE!</v>
      </c>
      <c r="IO22" s="22" t="e">
        <f aca="false">AND('Current Index'!B566,"AAAAAF//9Pg=")</f>
        <v>#VALUE!</v>
      </c>
      <c r="IP22" s="22" t="e">
        <f aca="false">AND('Current Index'!C566,"AAAAAF//9Pk=")</f>
        <v>#VALUE!</v>
      </c>
      <c r="IQ22" s="22" t="e">
        <f aca="false">AND('Current Index'!D566,"AAAAAF//9Po=")</f>
        <v>#VALUE!</v>
      </c>
      <c r="IR22" s="22" t="e">
        <f aca="false">AND('Current Index'!E566,"AAAAAF//9Ps=")</f>
        <v>#VALUE!</v>
      </c>
      <c r="IS22" s="22" t="e">
        <f aca="false">AND('Current Index'!F566,"AAAAAF//9Pw=")</f>
        <v>#VALUE!</v>
      </c>
      <c r="IT22" s="22" t="e">
        <f aca="false">AND('Current Index'!G566,"AAAAAF//9P0=")</f>
        <v>#VALUE!</v>
      </c>
      <c r="IU22" s="22" t="e">
        <f aca="false">AND('Current Index'!H566,"AAAAAF//9P4=")</f>
        <v>#VALUE!</v>
      </c>
      <c r="IV22" s="22" t="e">
        <f aca="false">AND('Current Index'!I566,"AAAAAF//9P8=")</f>
        <v>#VALUE!</v>
      </c>
    </row>
    <row r="23" customFormat="false" ht="12.75" hidden="false" customHeight="false" outlineLevel="0" collapsed="false">
      <c r="A23" s="22" t="n">
        <f aca="false">IF('Current Index'!567:567,"AAAAAHb5OwA=",0)</f>
        <v>0</v>
      </c>
      <c r="B23" s="22" t="e">
        <f aca="false">AND('Current Index'!A567,"AAAAAHb5OwE=")</f>
        <v>#VALUE!</v>
      </c>
      <c r="C23" s="22" t="e">
        <f aca="false">AND('current index'!#ref!,"AAAAAHb5OwI=")</f>
        <v>#VALUE!</v>
      </c>
      <c r="D23" s="22" t="e">
        <f aca="false">AND('Current Index'!B567,"AAAAAHb5OwM=")</f>
        <v>#VALUE!</v>
      </c>
      <c r="E23" s="22" t="e">
        <f aca="false">AND('Current Index'!C567,"AAAAAHb5OwQ=")</f>
        <v>#VALUE!</v>
      </c>
      <c r="F23" s="22" t="e">
        <f aca="false">AND('Current Index'!D567,"AAAAAHb5OwU=")</f>
        <v>#VALUE!</v>
      </c>
      <c r="G23" s="22" t="e">
        <f aca="false">AND('Current Index'!E567,"AAAAAHb5OwY=")</f>
        <v>#VALUE!</v>
      </c>
      <c r="H23" s="22" t="e">
        <f aca="false">AND('Current Index'!F567,"AAAAAHb5Owc=")</f>
        <v>#VALUE!</v>
      </c>
      <c r="I23" s="22" t="e">
        <f aca="false">AND('Current Index'!G567,"AAAAAHb5Owg=")</f>
        <v>#VALUE!</v>
      </c>
      <c r="J23" s="22" t="e">
        <f aca="false">AND('Current Index'!H567,"AAAAAHb5Owk=")</f>
        <v>#VALUE!</v>
      </c>
      <c r="K23" s="22" t="e">
        <f aca="false">AND('Current Index'!I567,"AAAAAHb5Owo=")</f>
        <v>#VALUE!</v>
      </c>
      <c r="L23" s="22" t="n">
        <f aca="false">IF('Current Index'!568:568,"AAAAAHb5Ows=",0)</f>
        <v>0</v>
      </c>
      <c r="M23" s="22" t="e">
        <f aca="false">AND('Current Index'!A568,"AAAAAHb5Oww=")</f>
        <v>#VALUE!</v>
      </c>
      <c r="N23" s="22" t="e">
        <f aca="false">AND('current index'!#ref!,"AAAAAHb5Ow0=")</f>
        <v>#VALUE!</v>
      </c>
      <c r="O23" s="22" t="e">
        <f aca="false">AND('Current Index'!B568,"AAAAAHb5Ow4=")</f>
        <v>#VALUE!</v>
      </c>
      <c r="P23" s="22" t="e">
        <f aca="false">AND('Current Index'!C568,"AAAAAHb5Ow8=")</f>
        <v>#VALUE!</v>
      </c>
      <c r="Q23" s="22" t="e">
        <f aca="false">AND('Current Index'!D568,"AAAAAHb5OxA=")</f>
        <v>#VALUE!</v>
      </c>
      <c r="R23" s="22" t="e">
        <f aca="false">AND('Current Index'!E568,"AAAAAHb5OxE=")</f>
        <v>#VALUE!</v>
      </c>
      <c r="S23" s="22" t="e">
        <f aca="false">AND('Current Index'!F568,"AAAAAHb5OxI=")</f>
        <v>#VALUE!</v>
      </c>
      <c r="T23" s="22" t="e">
        <f aca="false">AND('Current Index'!G568,"AAAAAHb5OxM=")</f>
        <v>#VALUE!</v>
      </c>
      <c r="U23" s="22" t="e">
        <f aca="false">AND('Current Index'!H568,"AAAAAHb5OxQ=")</f>
        <v>#VALUE!</v>
      </c>
      <c r="V23" s="22" t="e">
        <f aca="false">AND('Current Index'!I568,"AAAAAHb5OxU=")</f>
        <v>#VALUE!</v>
      </c>
      <c r="W23" s="22" t="n">
        <f aca="false">IF('Current Index'!569:569,"AAAAAHb5OxY=",0)</f>
        <v>0</v>
      </c>
      <c r="X23" s="22" t="e">
        <f aca="false">AND('Current Index'!A569,"AAAAAHb5Oxc=")</f>
        <v>#VALUE!</v>
      </c>
      <c r="Y23" s="22" t="e">
        <f aca="false">AND('current index'!#ref!,"AAAAAHb5Oxg=")</f>
        <v>#VALUE!</v>
      </c>
      <c r="Z23" s="22" t="e">
        <f aca="false">AND('Current Index'!B569,"AAAAAHb5Oxk=")</f>
        <v>#VALUE!</v>
      </c>
      <c r="AA23" s="22" t="e">
        <f aca="false">AND('Current Index'!C569,"AAAAAHb5Oxo=")</f>
        <v>#VALUE!</v>
      </c>
      <c r="AB23" s="22" t="e">
        <f aca="false">AND('Current Index'!D569,"AAAAAHb5Oxs=")</f>
        <v>#VALUE!</v>
      </c>
      <c r="AC23" s="22" t="e">
        <f aca="false">AND('Current Index'!E569,"AAAAAHb5Oxw=")</f>
        <v>#VALUE!</v>
      </c>
      <c r="AD23" s="22" t="e">
        <f aca="false">AND('Current Index'!F569,"AAAAAHb5Ox0=")</f>
        <v>#VALUE!</v>
      </c>
      <c r="AE23" s="22" t="e">
        <f aca="false">AND('Current Index'!G569,"AAAAAHb5Ox4=")</f>
        <v>#VALUE!</v>
      </c>
      <c r="AF23" s="22" t="e">
        <f aca="false">AND('Current Index'!H569,"AAAAAHb5Ox8=")</f>
        <v>#VALUE!</v>
      </c>
      <c r="AG23" s="22" t="e">
        <f aca="false">AND('Current Index'!I569,"AAAAAHb5OyA=")</f>
        <v>#VALUE!</v>
      </c>
      <c r="AH23" s="22" t="n">
        <f aca="false">IF('Current Index'!570:570,"AAAAAHb5OyE=",0)</f>
        <v>0</v>
      </c>
      <c r="AI23" s="22" t="e">
        <f aca="false">AND('Current Index'!A570,"AAAAAHb5OyI=")</f>
        <v>#VALUE!</v>
      </c>
      <c r="AJ23" s="22" t="e">
        <f aca="false">AND('current index'!#ref!,"AAAAAHb5OyM=")</f>
        <v>#VALUE!</v>
      </c>
      <c r="AK23" s="22" t="e">
        <f aca="false">AND('Current Index'!B570,"AAAAAHb5OyQ=")</f>
        <v>#VALUE!</v>
      </c>
      <c r="AL23" s="22" t="e">
        <f aca="false">AND('Current Index'!C570,"AAAAAHb5OyU=")</f>
        <v>#VALUE!</v>
      </c>
      <c r="AM23" s="22" t="e">
        <f aca="false">AND('Current Index'!D570,"AAAAAHb5OyY=")</f>
        <v>#VALUE!</v>
      </c>
      <c r="AN23" s="22" t="e">
        <f aca="false">AND('Current Index'!E570,"AAAAAHb5Oyc=")</f>
        <v>#VALUE!</v>
      </c>
      <c r="AO23" s="22" t="e">
        <f aca="false">AND('Current Index'!F570,"AAAAAHb5Oyg=")</f>
        <v>#VALUE!</v>
      </c>
      <c r="AP23" s="22" t="e">
        <f aca="false">AND('Current Index'!G570,"AAAAAHb5Oyk=")</f>
        <v>#VALUE!</v>
      </c>
      <c r="AQ23" s="22" t="e">
        <f aca="false">AND('Current Index'!H570,"AAAAAHb5Oyo=")</f>
        <v>#VALUE!</v>
      </c>
      <c r="AR23" s="22" t="e">
        <f aca="false">AND('Current Index'!I570,"AAAAAHb5Oys=")</f>
        <v>#VALUE!</v>
      </c>
      <c r="AS23" s="22" t="e">
        <f aca="false">IF(#REF!,"AAAAAHb5Oyw=",0)</f>
        <v>#REF!</v>
      </c>
      <c r="AT23" s="22" t="e">
        <f aca="false">AND(#REF!,"AAAAAHb5Oy0=")</f>
        <v>#VALUE!</v>
      </c>
      <c r="AU23" s="22" t="e">
        <f aca="false">AND('current index'!#ref!,"AAAAAHb5Oy4=")</f>
        <v>#VALUE!</v>
      </c>
      <c r="AV23" s="22" t="e">
        <f aca="false">AND(#REF!,"AAAAAHb5Oy8=")</f>
        <v>#VALUE!</v>
      </c>
      <c r="AW23" s="22" t="e">
        <f aca="false">AND(#REF!,"AAAAAHb5OzA=")</f>
        <v>#VALUE!</v>
      </c>
      <c r="AX23" s="22" t="e">
        <f aca="false">AND(#REF!,"AAAAAHb5OzE=")</f>
        <v>#VALUE!</v>
      </c>
      <c r="AY23" s="22" t="e">
        <f aca="false">AND(#REF!,"AAAAAHb5OzI=")</f>
        <v>#VALUE!</v>
      </c>
      <c r="AZ23" s="22" t="e">
        <f aca="false">AND(#REF!,"AAAAAHb5OzM=")</f>
        <v>#VALUE!</v>
      </c>
      <c r="BA23" s="22" t="e">
        <f aca="false">AND(#REF!,"AAAAAHb5OzQ=")</f>
        <v>#VALUE!</v>
      </c>
      <c r="BB23" s="22" t="e">
        <f aca="false">AND(#REF!,"AAAAAHb5OzU=")</f>
        <v>#VALUE!</v>
      </c>
      <c r="BC23" s="22" t="e">
        <f aca="false">AND(#REF!,"AAAAAHb5OzY=")</f>
        <v>#VALUE!</v>
      </c>
      <c r="BD23" s="22" t="n">
        <f aca="false">IF('Current Index'!571:571,"AAAAAHb5Ozc=",0)</f>
        <v>0</v>
      </c>
      <c r="BE23" s="22" t="e">
        <f aca="false">AND('Current Index'!A571,"AAAAAHb5Ozg=")</f>
        <v>#VALUE!</v>
      </c>
      <c r="BF23" s="22" t="e">
        <f aca="false">AND('current index'!#ref!,"AAAAAHb5Ozk=")</f>
        <v>#VALUE!</v>
      </c>
      <c r="BG23" s="22" t="e">
        <f aca="false">AND('Current Index'!B571,"AAAAAHb5Ozo=")</f>
        <v>#VALUE!</v>
      </c>
      <c r="BH23" s="22" t="e">
        <f aca="false">AND('Current Index'!C571,"AAAAAHb5Ozs=")</f>
        <v>#VALUE!</v>
      </c>
      <c r="BI23" s="22" t="e">
        <f aca="false">AND('Current Index'!D571,"AAAAAHb5Ozw=")</f>
        <v>#VALUE!</v>
      </c>
      <c r="BJ23" s="22" t="e">
        <f aca="false">AND('Current Index'!E571,"AAAAAHb5Oz0=")</f>
        <v>#VALUE!</v>
      </c>
      <c r="BK23" s="22" t="e">
        <f aca="false">AND('Current Index'!F571,"AAAAAHb5Oz4=")</f>
        <v>#VALUE!</v>
      </c>
      <c r="BL23" s="22" t="e">
        <f aca="false">AND('Current Index'!G571,"AAAAAHb5Oz8=")</f>
        <v>#VALUE!</v>
      </c>
      <c r="BM23" s="22" t="e">
        <f aca="false">AND('Current Index'!H571,"AAAAAHb5O0A=")</f>
        <v>#VALUE!</v>
      </c>
      <c r="BN23" s="22" t="e">
        <f aca="false">AND('Current Index'!I571,"AAAAAHb5O0E=")</f>
        <v>#VALUE!</v>
      </c>
      <c r="BO23" s="22" t="n">
        <f aca="false">IF('Current Index'!572:572,"AAAAAHb5O0I=",0)</f>
        <v>0</v>
      </c>
      <c r="BP23" s="22" t="e">
        <f aca="false">AND('Current Index'!A572,"AAAAAHb5O0M=")</f>
        <v>#VALUE!</v>
      </c>
      <c r="BQ23" s="22" t="e">
        <f aca="false">AND('current index'!#ref!,"AAAAAHb5O0Q=")</f>
        <v>#VALUE!</v>
      </c>
      <c r="BR23" s="22" t="e">
        <f aca="false">AND('Current Index'!B572,"AAAAAHb5O0U=")</f>
        <v>#VALUE!</v>
      </c>
      <c r="BS23" s="22" t="e">
        <f aca="false">AND('Current Index'!C572,"AAAAAHb5O0Y=")</f>
        <v>#VALUE!</v>
      </c>
      <c r="BT23" s="22" t="e">
        <f aca="false">AND('Current Index'!D572,"AAAAAHb5O0c=")</f>
        <v>#VALUE!</v>
      </c>
      <c r="BU23" s="22" t="e">
        <f aca="false">AND('Current Index'!E572,"AAAAAHb5O0g=")</f>
        <v>#VALUE!</v>
      </c>
      <c r="BV23" s="22" t="e">
        <f aca="false">AND('Current Index'!F572,"AAAAAHb5O0k=")</f>
        <v>#VALUE!</v>
      </c>
      <c r="BW23" s="22" t="e">
        <f aca="false">AND('Current Index'!G572,"AAAAAHb5O0o=")</f>
        <v>#VALUE!</v>
      </c>
      <c r="BX23" s="22" t="e">
        <f aca="false">AND('Current Index'!H572,"AAAAAHb5O0s=")</f>
        <v>#VALUE!</v>
      </c>
      <c r="BY23" s="22" t="e">
        <f aca="false">AND('Current Index'!I572,"AAAAAHb5O0w=")</f>
        <v>#VALUE!</v>
      </c>
      <c r="BZ23" s="22" t="n">
        <f aca="false">IF('Current Index'!573:573,"AAAAAHb5O00=",0)</f>
        <v>0</v>
      </c>
      <c r="CA23" s="22" t="e">
        <f aca="false">AND('Current Index'!A573,"AAAAAHb5O04=")</f>
        <v>#VALUE!</v>
      </c>
      <c r="CB23" s="22" t="e">
        <f aca="false">AND('current index'!#ref!,"AAAAAHb5O08=")</f>
        <v>#VALUE!</v>
      </c>
      <c r="CC23" s="22" t="e">
        <f aca="false">AND('Current Index'!B573,"AAAAAHb5O1A=")</f>
        <v>#VALUE!</v>
      </c>
      <c r="CD23" s="22" t="e">
        <f aca="false">AND('Current Index'!C573,"AAAAAHb5O1E=")</f>
        <v>#VALUE!</v>
      </c>
      <c r="CE23" s="22" t="e">
        <f aca="false">AND('Current Index'!D573,"AAAAAHb5O1I=")</f>
        <v>#VALUE!</v>
      </c>
      <c r="CF23" s="22" t="e">
        <f aca="false">AND('Current Index'!E573,"AAAAAHb5O1M=")</f>
        <v>#VALUE!</v>
      </c>
      <c r="CG23" s="22" t="e">
        <f aca="false">AND('Current Index'!F573,"AAAAAHb5O1Q=")</f>
        <v>#VALUE!</v>
      </c>
      <c r="CH23" s="22" t="e">
        <f aca="false">AND('Current Index'!G573,"AAAAAHb5O1U=")</f>
        <v>#VALUE!</v>
      </c>
      <c r="CI23" s="22" t="e">
        <f aca="false">AND('Current Index'!H573,"AAAAAHb5O1Y=")</f>
        <v>#VALUE!</v>
      </c>
      <c r="CJ23" s="22" t="e">
        <f aca="false">AND('Current Index'!I573,"AAAAAHb5O1c=")</f>
        <v>#VALUE!</v>
      </c>
      <c r="CK23" s="22" t="n">
        <f aca="false">IF('Current Index'!575:575,"AAAAAHb5O1g=",0)</f>
        <v>0</v>
      </c>
      <c r="CL23" s="22" t="e">
        <f aca="false">AND('Current Index'!A575,"AAAAAHb5O1k=")</f>
        <v>#VALUE!</v>
      </c>
      <c r="CM23" s="22" t="e">
        <f aca="false">AND('current index'!#ref!,"AAAAAHb5O1o=")</f>
        <v>#VALUE!</v>
      </c>
      <c r="CN23" s="22" t="e">
        <f aca="false">AND('Current Index'!B575,"AAAAAHb5O1s=")</f>
        <v>#VALUE!</v>
      </c>
      <c r="CO23" s="22" t="e">
        <f aca="false">AND('Current Index'!C575,"AAAAAHb5O1w=")</f>
        <v>#VALUE!</v>
      </c>
      <c r="CP23" s="22" t="e">
        <f aca="false">AND('Current Index'!D575,"AAAAAHb5O10=")</f>
        <v>#VALUE!</v>
      </c>
      <c r="CQ23" s="22" t="e">
        <f aca="false">AND('Current Index'!E575,"AAAAAHb5O14=")</f>
        <v>#VALUE!</v>
      </c>
      <c r="CR23" s="22" t="e">
        <f aca="false">AND('Current Index'!F575,"AAAAAHb5O18=")</f>
        <v>#VALUE!</v>
      </c>
      <c r="CS23" s="22" t="e">
        <f aca="false">AND('Current Index'!G575,"AAAAAHb5O2A=")</f>
        <v>#VALUE!</v>
      </c>
      <c r="CT23" s="22" t="e">
        <f aca="false">AND('Current Index'!H575,"AAAAAHb5O2E=")</f>
        <v>#VALUE!</v>
      </c>
      <c r="CU23" s="22" t="e">
        <f aca="false">AND('Current Index'!I575,"AAAAAHb5O2I=")</f>
        <v>#VALUE!</v>
      </c>
      <c r="CV23" s="22" t="n">
        <f aca="false">IF('Current Index'!576:576,"AAAAAHb5O2M=",0)</f>
        <v>0</v>
      </c>
      <c r="CW23" s="22" t="e">
        <f aca="false">AND('Current Index'!A576,"AAAAAHb5O2Q=")</f>
        <v>#VALUE!</v>
      </c>
      <c r="CX23" s="22" t="e">
        <f aca="false">AND('current index'!#ref!,"AAAAAHb5O2U=")</f>
        <v>#VALUE!</v>
      </c>
      <c r="CY23" s="22" t="e">
        <f aca="false">AND('Current Index'!B576,"AAAAAHb5O2Y=")</f>
        <v>#VALUE!</v>
      </c>
      <c r="CZ23" s="22" t="e">
        <f aca="false">AND('Current Index'!C576,"AAAAAHb5O2c=")</f>
        <v>#VALUE!</v>
      </c>
      <c r="DA23" s="22" t="e">
        <f aca="false">AND('Current Index'!D576,"AAAAAHb5O2g=")</f>
        <v>#VALUE!</v>
      </c>
      <c r="DB23" s="22" t="e">
        <f aca="false">AND('Current Index'!E576,"AAAAAHb5O2k=")</f>
        <v>#VALUE!</v>
      </c>
      <c r="DC23" s="22" t="e">
        <f aca="false">AND('Current Index'!F576,"AAAAAHb5O2o=")</f>
        <v>#VALUE!</v>
      </c>
      <c r="DD23" s="22" t="e">
        <f aca="false">AND('Current Index'!G576,"AAAAAHb5O2s=")</f>
        <v>#VALUE!</v>
      </c>
      <c r="DE23" s="22" t="e">
        <f aca="false">AND('Current Index'!H576,"AAAAAHb5O2w=")</f>
        <v>#VALUE!</v>
      </c>
      <c r="DF23" s="22" t="e">
        <f aca="false">AND('Current Index'!I576,"AAAAAHb5O20=")</f>
        <v>#VALUE!</v>
      </c>
      <c r="DG23" s="22" t="n">
        <f aca="false">IF('Current Index'!577:577,"AAAAAHb5O24=",0)</f>
        <v>0</v>
      </c>
      <c r="DH23" s="22" t="e">
        <f aca="false">AND('Current Index'!A577,"AAAAAHb5O28=")</f>
        <v>#VALUE!</v>
      </c>
      <c r="DI23" s="22" t="e">
        <f aca="false">AND('current index'!#ref!,"AAAAAHb5O3A=")</f>
        <v>#VALUE!</v>
      </c>
      <c r="DJ23" s="22" t="e">
        <f aca="false">AND('Current Index'!B577,"AAAAAHb5O3E=")</f>
        <v>#VALUE!</v>
      </c>
      <c r="DK23" s="22" t="e">
        <f aca="false">AND('Current Index'!C577,"AAAAAHb5O3I=")</f>
        <v>#VALUE!</v>
      </c>
      <c r="DL23" s="22" t="e">
        <f aca="false">AND('Current Index'!D577,"AAAAAHb5O3M=")</f>
        <v>#VALUE!</v>
      </c>
      <c r="DM23" s="22" t="e">
        <f aca="false">AND('Current Index'!E577,"AAAAAHb5O3Q=")</f>
        <v>#VALUE!</v>
      </c>
      <c r="DN23" s="22" t="e">
        <f aca="false">AND('Current Index'!F577,"AAAAAHb5O3U=")</f>
        <v>#VALUE!</v>
      </c>
      <c r="DO23" s="22" t="e">
        <f aca="false">AND('Current Index'!G577,"AAAAAHb5O3Y=")</f>
        <v>#VALUE!</v>
      </c>
      <c r="DP23" s="22" t="e">
        <f aca="false">AND('Current Index'!H577,"AAAAAHb5O3c=")</f>
        <v>#VALUE!</v>
      </c>
      <c r="DQ23" s="22" t="e">
        <f aca="false">AND('Current Index'!I577,"AAAAAHb5O3g=")</f>
        <v>#VALUE!</v>
      </c>
      <c r="DR23" s="22" t="n">
        <f aca="false">IF('Current Index'!578:578,"AAAAAHb5O3k=",0)</f>
        <v>0</v>
      </c>
      <c r="DS23" s="22" t="e">
        <f aca="false">AND('Current Index'!A578,"AAAAAHb5O3o=")</f>
        <v>#VALUE!</v>
      </c>
      <c r="DT23" s="22" t="e">
        <f aca="false">AND('current index'!#ref!,"AAAAAHb5O3s=")</f>
        <v>#VALUE!</v>
      </c>
      <c r="DU23" s="22" t="e">
        <f aca="false">AND('Current Index'!B578,"AAAAAHb5O3w=")</f>
        <v>#VALUE!</v>
      </c>
      <c r="DV23" s="22" t="e">
        <f aca="false">AND('Current Index'!C578,"AAAAAHb5O30=")</f>
        <v>#VALUE!</v>
      </c>
      <c r="DW23" s="22" t="e">
        <f aca="false">AND('Current Index'!D578,"AAAAAHb5O34=")</f>
        <v>#VALUE!</v>
      </c>
      <c r="DX23" s="22" t="e">
        <f aca="false">AND('Current Index'!E578,"AAAAAHb5O38=")</f>
        <v>#VALUE!</v>
      </c>
      <c r="DY23" s="22" t="e">
        <f aca="false">AND('Current Index'!F578,"AAAAAHb5O4A=")</f>
        <v>#VALUE!</v>
      </c>
      <c r="DZ23" s="22" t="e">
        <f aca="false">AND('Current Index'!G578,"AAAAAHb5O4E=")</f>
        <v>#VALUE!</v>
      </c>
      <c r="EA23" s="22" t="e">
        <f aca="false">AND('Current Index'!H578,"AAAAAHb5O4I=")</f>
        <v>#VALUE!</v>
      </c>
      <c r="EB23" s="22" t="e">
        <f aca="false">AND('Current Index'!I578,"AAAAAHb5O4M=")</f>
        <v>#VALUE!</v>
      </c>
      <c r="EC23" s="22" t="n">
        <f aca="false">IF('Current Index'!579:579,"AAAAAHb5O4Q=",0)</f>
        <v>0</v>
      </c>
      <c r="ED23" s="22" t="e">
        <f aca="false">AND('Current Index'!A579,"AAAAAHb5O4U=")</f>
        <v>#VALUE!</v>
      </c>
      <c r="EE23" s="22" t="e">
        <f aca="false">AND('current index'!#ref!,"AAAAAHb5O4Y=")</f>
        <v>#VALUE!</v>
      </c>
      <c r="EF23" s="22" t="e">
        <f aca="false">AND('Current Index'!B579,"AAAAAHb5O4c=")</f>
        <v>#VALUE!</v>
      </c>
      <c r="EG23" s="22" t="e">
        <f aca="false">AND('Current Index'!C579,"AAAAAHb5O4g=")</f>
        <v>#VALUE!</v>
      </c>
      <c r="EH23" s="22" t="e">
        <f aca="false">AND('Current Index'!D579,"AAAAAHb5O4k=")</f>
        <v>#VALUE!</v>
      </c>
      <c r="EI23" s="22" t="e">
        <f aca="false">AND('Current Index'!E579,"AAAAAHb5O4o=")</f>
        <v>#VALUE!</v>
      </c>
      <c r="EJ23" s="22" t="e">
        <f aca="false">AND('Current Index'!F579,"AAAAAHb5O4s=")</f>
        <v>#VALUE!</v>
      </c>
      <c r="EK23" s="22" t="e">
        <f aca="false">AND('Current Index'!G579,"AAAAAHb5O4w=")</f>
        <v>#VALUE!</v>
      </c>
      <c r="EL23" s="22" t="e">
        <f aca="false">AND('Current Index'!H579,"AAAAAHb5O40=")</f>
        <v>#VALUE!</v>
      </c>
      <c r="EM23" s="22" t="e">
        <f aca="false">AND('Current Index'!I579,"AAAAAHb5O44=")</f>
        <v>#VALUE!</v>
      </c>
      <c r="EN23" s="22" t="n">
        <f aca="false">IF('Current Index'!580:580,"AAAAAHb5O48=",0)</f>
        <v>0</v>
      </c>
      <c r="EO23" s="22" t="e">
        <f aca="false">AND('Current Index'!A580,"AAAAAHb5O5A=")</f>
        <v>#VALUE!</v>
      </c>
      <c r="EP23" s="22" t="e">
        <f aca="false">AND('current index'!#ref!,"AAAAAHb5O5E=")</f>
        <v>#VALUE!</v>
      </c>
      <c r="EQ23" s="22" t="e">
        <f aca="false">AND('Current Index'!B580,"AAAAAHb5O5I=")</f>
        <v>#VALUE!</v>
      </c>
      <c r="ER23" s="22" t="e">
        <f aca="false">AND('Current Index'!C580,"AAAAAHb5O5M=")</f>
        <v>#VALUE!</v>
      </c>
      <c r="ES23" s="22" t="e">
        <f aca="false">AND('Current Index'!D580,"AAAAAHb5O5Q=")</f>
        <v>#VALUE!</v>
      </c>
      <c r="ET23" s="22" t="e">
        <f aca="false">AND('Current Index'!E580,"AAAAAHb5O5U=")</f>
        <v>#VALUE!</v>
      </c>
      <c r="EU23" s="22" t="e">
        <f aca="false">AND('Current Index'!F580,"AAAAAHb5O5Y=")</f>
        <v>#VALUE!</v>
      </c>
      <c r="EV23" s="22" t="e">
        <f aca="false">AND('Current Index'!G580,"AAAAAHb5O5c=")</f>
        <v>#VALUE!</v>
      </c>
      <c r="EW23" s="22" t="e">
        <f aca="false">AND('Current Index'!H580,"AAAAAHb5O5g=")</f>
        <v>#VALUE!</v>
      </c>
      <c r="EX23" s="22" t="e">
        <f aca="false">AND('Current Index'!I580,"AAAAAHb5O5k=")</f>
        <v>#VALUE!</v>
      </c>
      <c r="EY23" s="22" t="n">
        <f aca="false">IF('Current Index'!581:581,"AAAAAHb5O5o=",0)</f>
        <v>0</v>
      </c>
      <c r="EZ23" s="22" t="e">
        <f aca="false">AND('Current Index'!A581,"AAAAAHb5O5s=")</f>
        <v>#VALUE!</v>
      </c>
      <c r="FA23" s="22" t="e">
        <f aca="false">AND('current index'!#ref!,"AAAAAHb5O5w=")</f>
        <v>#VALUE!</v>
      </c>
      <c r="FB23" s="22" t="e">
        <f aca="false">AND('Current Index'!B581,"AAAAAHb5O50=")</f>
        <v>#VALUE!</v>
      </c>
      <c r="FC23" s="22" t="e">
        <f aca="false">AND('Current Index'!C581,"AAAAAHb5O54=")</f>
        <v>#VALUE!</v>
      </c>
      <c r="FD23" s="22" t="e">
        <f aca="false">AND('Current Index'!D581,"AAAAAHb5O58=")</f>
        <v>#VALUE!</v>
      </c>
      <c r="FE23" s="22" t="e">
        <f aca="false">AND('Current Index'!E581,"AAAAAHb5O6A=")</f>
        <v>#VALUE!</v>
      </c>
      <c r="FF23" s="22" t="e">
        <f aca="false">AND('Current Index'!F581,"AAAAAHb5O6E=")</f>
        <v>#VALUE!</v>
      </c>
      <c r="FG23" s="22" t="e">
        <f aca="false">AND('Current Index'!G581,"AAAAAHb5O6I=")</f>
        <v>#VALUE!</v>
      </c>
      <c r="FH23" s="22" t="e">
        <f aca="false">AND('Current Index'!H581,"AAAAAHb5O6M=")</f>
        <v>#VALUE!</v>
      </c>
      <c r="FI23" s="22" t="e">
        <f aca="false">AND('Current Index'!I581,"AAAAAHb5O6Q=")</f>
        <v>#VALUE!</v>
      </c>
      <c r="FJ23" s="22" t="n">
        <f aca="false">IF('Current Index'!582:582,"AAAAAHb5O6U=",0)</f>
        <v>0</v>
      </c>
      <c r="FK23" s="22" t="e">
        <f aca="false">AND('Current Index'!A582,"AAAAAHb5O6Y=")</f>
        <v>#VALUE!</v>
      </c>
      <c r="FL23" s="22" t="e">
        <f aca="false">AND('current index'!#ref!,"AAAAAHb5O6c=")</f>
        <v>#VALUE!</v>
      </c>
      <c r="FM23" s="22" t="e">
        <f aca="false">AND('Current Index'!B582,"AAAAAHb5O6g=")</f>
        <v>#VALUE!</v>
      </c>
      <c r="FN23" s="22" t="e">
        <f aca="false">AND('Current Index'!C582,"AAAAAHb5O6k=")</f>
        <v>#VALUE!</v>
      </c>
      <c r="FO23" s="22" t="e">
        <f aca="false">AND('Current Index'!D582,"AAAAAHb5O6o=")</f>
        <v>#VALUE!</v>
      </c>
      <c r="FP23" s="22" t="e">
        <f aca="false">AND('Current Index'!E582,"AAAAAHb5O6s=")</f>
        <v>#VALUE!</v>
      </c>
      <c r="FQ23" s="22" t="e">
        <f aca="false">AND('Current Index'!F582,"AAAAAHb5O6w=")</f>
        <v>#VALUE!</v>
      </c>
      <c r="FR23" s="22" t="e">
        <f aca="false">AND('Current Index'!G582,"AAAAAHb5O60=")</f>
        <v>#VALUE!</v>
      </c>
      <c r="FS23" s="22" t="e">
        <f aca="false">AND('Current Index'!H582,"AAAAAHb5O64=")</f>
        <v>#VALUE!</v>
      </c>
      <c r="FT23" s="22" t="e">
        <f aca="false">AND('Current Index'!I582,"AAAAAHb5O68=")</f>
        <v>#VALUE!</v>
      </c>
      <c r="FU23" s="22" t="n">
        <f aca="false">IF('Current Index'!583:583,"AAAAAHb5O7A=",0)</f>
        <v>0</v>
      </c>
      <c r="FV23" s="22" t="e">
        <f aca="false">AND('Current Index'!A583,"AAAAAHb5O7E=")</f>
        <v>#VALUE!</v>
      </c>
      <c r="FW23" s="22" t="e">
        <f aca="false">AND('current index'!#ref!,"AAAAAHb5O7I=")</f>
        <v>#VALUE!</v>
      </c>
      <c r="FX23" s="22" t="e">
        <f aca="false">AND('Current Index'!B583,"AAAAAHb5O7M=")</f>
        <v>#VALUE!</v>
      </c>
      <c r="FY23" s="22" t="e">
        <f aca="false">AND('Current Index'!C583,"AAAAAHb5O7Q=")</f>
        <v>#VALUE!</v>
      </c>
      <c r="FZ23" s="22" t="e">
        <f aca="false">AND('Current Index'!D583,"AAAAAHb5O7U=")</f>
        <v>#VALUE!</v>
      </c>
      <c r="GA23" s="22" t="e">
        <f aca="false">AND('Current Index'!E583,"AAAAAHb5O7Y=")</f>
        <v>#VALUE!</v>
      </c>
      <c r="GB23" s="22" t="e">
        <f aca="false">AND('Current Index'!F583,"AAAAAHb5O7c=")</f>
        <v>#VALUE!</v>
      </c>
      <c r="GC23" s="22" t="e">
        <f aca="false">AND('Current Index'!G583,"AAAAAHb5O7g=")</f>
        <v>#VALUE!</v>
      </c>
      <c r="GD23" s="22" t="e">
        <f aca="false">AND('Current Index'!H583,"AAAAAHb5O7k=")</f>
        <v>#VALUE!</v>
      </c>
      <c r="GE23" s="22" t="e">
        <f aca="false">AND('Current Index'!I583,"AAAAAHb5O7o=")</f>
        <v>#VALUE!</v>
      </c>
      <c r="GF23" s="22" t="n">
        <f aca="false">IF('Current Index'!584:584,"AAAAAHb5O7s=",0)</f>
        <v>0</v>
      </c>
      <c r="GG23" s="22" t="e">
        <f aca="false">AND('Current Index'!A584,"AAAAAHb5O7w=")</f>
        <v>#VALUE!</v>
      </c>
      <c r="GH23" s="22" t="e">
        <f aca="false">AND('current index'!#ref!,"AAAAAHb5O70=")</f>
        <v>#VALUE!</v>
      </c>
      <c r="GI23" s="22" t="e">
        <f aca="false">AND('Current Index'!B584,"AAAAAHb5O74=")</f>
        <v>#VALUE!</v>
      </c>
      <c r="GJ23" s="22" t="e">
        <f aca="false">AND('Current Index'!C584,"AAAAAHb5O78=")</f>
        <v>#VALUE!</v>
      </c>
      <c r="GK23" s="22" t="e">
        <f aca="false">AND('Current Index'!D584,"AAAAAHb5O8A=")</f>
        <v>#VALUE!</v>
      </c>
      <c r="GL23" s="22" t="e">
        <f aca="false">AND('Current Index'!E584,"AAAAAHb5O8E=")</f>
        <v>#VALUE!</v>
      </c>
      <c r="GM23" s="22" t="e">
        <f aca="false">AND('Current Index'!F584,"AAAAAHb5O8I=")</f>
        <v>#VALUE!</v>
      </c>
      <c r="GN23" s="22" t="e">
        <f aca="false">AND('Current Index'!G584,"AAAAAHb5O8M=")</f>
        <v>#VALUE!</v>
      </c>
      <c r="GO23" s="22" t="e">
        <f aca="false">AND('Current Index'!H584,"AAAAAHb5O8Q=")</f>
        <v>#VALUE!</v>
      </c>
      <c r="GP23" s="22" t="e">
        <f aca="false">AND('Current Index'!I584,"AAAAAHb5O8U=")</f>
        <v>#VALUE!</v>
      </c>
      <c r="GQ23" s="22" t="n">
        <f aca="false">IF('Current Index'!585:585,"AAAAAHb5O8Y=",0)</f>
        <v>0</v>
      </c>
      <c r="GR23" s="22" t="e">
        <f aca="false">AND('Current Index'!A585,"AAAAAHb5O8c=")</f>
        <v>#VALUE!</v>
      </c>
      <c r="GS23" s="22" t="e">
        <f aca="false">AND('current index'!#ref!,"AAAAAHb5O8g=")</f>
        <v>#VALUE!</v>
      </c>
      <c r="GT23" s="22" t="e">
        <f aca="false">AND('Current Index'!B585,"AAAAAHb5O8k=")</f>
        <v>#VALUE!</v>
      </c>
      <c r="GU23" s="22" t="e">
        <f aca="false">AND('Current Index'!C585,"AAAAAHb5O8o=")</f>
        <v>#VALUE!</v>
      </c>
      <c r="GV23" s="22" t="e">
        <f aca="false">AND('Current Index'!D585,"AAAAAHb5O8s=")</f>
        <v>#VALUE!</v>
      </c>
      <c r="GW23" s="22" t="e">
        <f aca="false">AND('Current Index'!E585,"AAAAAHb5O8w=")</f>
        <v>#VALUE!</v>
      </c>
      <c r="GX23" s="22" t="e">
        <f aca="false">AND('Current Index'!F585,"AAAAAHb5O80=")</f>
        <v>#VALUE!</v>
      </c>
      <c r="GY23" s="22" t="e">
        <f aca="false">AND('Current Index'!G585,"AAAAAHb5O84=")</f>
        <v>#VALUE!</v>
      </c>
      <c r="GZ23" s="22" t="e">
        <f aca="false">AND('Current Index'!H585,"AAAAAHb5O88=")</f>
        <v>#VALUE!</v>
      </c>
      <c r="HA23" s="22" t="e">
        <f aca="false">AND('Current Index'!I585,"AAAAAHb5O9A=")</f>
        <v>#VALUE!</v>
      </c>
      <c r="HB23" s="22" t="n">
        <f aca="false">IF('Current Index'!586:586,"AAAAAHb5O9E=",0)</f>
        <v>0</v>
      </c>
      <c r="HC23" s="22" t="e">
        <f aca="false">AND('Current Index'!A586,"AAAAAHb5O9I=")</f>
        <v>#VALUE!</v>
      </c>
      <c r="HD23" s="22" t="e">
        <f aca="false">AND('current index'!#ref!,"AAAAAHb5O9M=")</f>
        <v>#VALUE!</v>
      </c>
      <c r="HE23" s="22" t="e">
        <f aca="false">AND('Current Index'!B586,"AAAAAHb5O9Q=")</f>
        <v>#VALUE!</v>
      </c>
      <c r="HF23" s="22" t="e">
        <f aca="false">AND('Current Index'!C586,"AAAAAHb5O9U=")</f>
        <v>#VALUE!</v>
      </c>
      <c r="HG23" s="22" t="e">
        <f aca="false">AND('Current Index'!D586,"AAAAAHb5O9Y=")</f>
        <v>#VALUE!</v>
      </c>
      <c r="HH23" s="22" t="e">
        <f aca="false">AND('Current Index'!E586,"AAAAAHb5O9c=")</f>
        <v>#VALUE!</v>
      </c>
      <c r="HI23" s="22" t="e">
        <f aca="false">AND('Current Index'!F586,"AAAAAHb5O9g=")</f>
        <v>#VALUE!</v>
      </c>
      <c r="HJ23" s="22" t="e">
        <f aca="false">AND('Current Index'!G586,"AAAAAHb5O9k=")</f>
        <v>#VALUE!</v>
      </c>
      <c r="HK23" s="22" t="e">
        <f aca="false">AND('Current Index'!H586,"AAAAAHb5O9o=")</f>
        <v>#VALUE!</v>
      </c>
      <c r="HL23" s="22" t="e">
        <f aca="false">AND('Current Index'!I586,"AAAAAHb5O9s=")</f>
        <v>#VALUE!</v>
      </c>
      <c r="HM23" s="22" t="n">
        <f aca="false">IF('Current Index'!587:587,"AAAAAHb5O9w=",0)</f>
        <v>0</v>
      </c>
      <c r="HN23" s="22" t="e">
        <f aca="false">AND('Current Index'!A587,"AAAAAHb5O90=")</f>
        <v>#VALUE!</v>
      </c>
      <c r="HO23" s="22" t="e">
        <f aca="false">AND('current index'!#ref!,"AAAAAHb5O94=")</f>
        <v>#VALUE!</v>
      </c>
      <c r="HP23" s="22" t="e">
        <f aca="false">AND('Current Index'!B587,"AAAAAHb5O98=")</f>
        <v>#VALUE!</v>
      </c>
      <c r="HQ23" s="22" t="e">
        <f aca="false">AND('Current Index'!C587,"AAAAAHb5O+A=")</f>
        <v>#VALUE!</v>
      </c>
      <c r="HR23" s="22" t="e">
        <f aca="false">AND('Current Index'!D587,"AAAAAHb5O+E=")</f>
        <v>#VALUE!</v>
      </c>
      <c r="HS23" s="22" t="e">
        <f aca="false">AND('Current Index'!E587,"AAAAAHb5O+I=")</f>
        <v>#VALUE!</v>
      </c>
      <c r="HT23" s="22" t="e">
        <f aca="false">AND('Current Index'!F587,"AAAAAHb5O+M=")</f>
        <v>#VALUE!</v>
      </c>
      <c r="HU23" s="22" t="e">
        <f aca="false">AND('Current Index'!G587,"AAAAAHb5O+Q=")</f>
        <v>#VALUE!</v>
      </c>
      <c r="HV23" s="22" t="e">
        <f aca="false">AND('Current Index'!H587,"AAAAAHb5O+U=")</f>
        <v>#VALUE!</v>
      </c>
      <c r="HW23" s="22" t="e">
        <f aca="false">AND('Current Index'!I587,"AAAAAHb5O+Y=")</f>
        <v>#VALUE!</v>
      </c>
      <c r="HX23" s="22" t="n">
        <f aca="false">IF('Current Index'!588:588,"AAAAAHb5O+c=",0)</f>
        <v>0</v>
      </c>
      <c r="HY23" s="22" t="e">
        <f aca="false">AND('Current Index'!A588,"AAAAAHb5O+g=")</f>
        <v>#VALUE!</v>
      </c>
      <c r="HZ23" s="22" t="e">
        <f aca="false">AND('current index'!#ref!,"AAAAAHb5O+k=")</f>
        <v>#VALUE!</v>
      </c>
      <c r="IA23" s="22" t="e">
        <f aca="false">AND('Current Index'!B588,"AAAAAHb5O+o=")</f>
        <v>#VALUE!</v>
      </c>
      <c r="IB23" s="22" t="e">
        <f aca="false">AND('Current Index'!C588,"AAAAAHb5O+s=")</f>
        <v>#VALUE!</v>
      </c>
      <c r="IC23" s="22" t="e">
        <f aca="false">AND('Current Index'!D588,"AAAAAHb5O+w=")</f>
        <v>#VALUE!</v>
      </c>
      <c r="ID23" s="22" t="e">
        <f aca="false">AND('Current Index'!E588,"AAAAAHb5O+0=")</f>
        <v>#VALUE!</v>
      </c>
      <c r="IE23" s="22" t="e">
        <f aca="false">AND('Current Index'!F588,"AAAAAHb5O+4=")</f>
        <v>#VALUE!</v>
      </c>
      <c r="IF23" s="22" t="e">
        <f aca="false">AND('Current Index'!G588,"AAAAAHb5O+8=")</f>
        <v>#VALUE!</v>
      </c>
      <c r="IG23" s="22" t="e">
        <f aca="false">AND('Current Index'!H588,"AAAAAHb5O/A=")</f>
        <v>#VALUE!</v>
      </c>
      <c r="IH23" s="22" t="e">
        <f aca="false">AND('Current Index'!I588,"AAAAAHb5O/E=")</f>
        <v>#VALUE!</v>
      </c>
      <c r="II23" s="22" t="n">
        <f aca="false">IF('Current Index'!589:589,"AAAAAHb5O/I=",0)</f>
        <v>0</v>
      </c>
      <c r="IJ23" s="22" t="e">
        <f aca="false">AND('Current Index'!A589,"AAAAAHb5O/M=")</f>
        <v>#VALUE!</v>
      </c>
      <c r="IK23" s="22" t="e">
        <f aca="false">AND('current index'!#ref!,"AAAAAHb5O/Q=")</f>
        <v>#VALUE!</v>
      </c>
      <c r="IL23" s="22" t="e">
        <f aca="false">AND('Current Index'!B589,"AAAAAHb5O/U=")</f>
        <v>#VALUE!</v>
      </c>
      <c r="IM23" s="22" t="e">
        <f aca="false">AND('Current Index'!C589,"AAAAAHb5O/Y=")</f>
        <v>#VALUE!</v>
      </c>
      <c r="IN23" s="22" t="e">
        <f aca="false">AND('Current Index'!D589,"AAAAAHb5O/c=")</f>
        <v>#VALUE!</v>
      </c>
      <c r="IO23" s="22" t="e">
        <f aca="false">AND('Current Index'!E589,"AAAAAHb5O/g=")</f>
        <v>#VALUE!</v>
      </c>
      <c r="IP23" s="22" t="e">
        <f aca="false">AND('Current Index'!F589,"AAAAAHb5O/k=")</f>
        <v>#VALUE!</v>
      </c>
      <c r="IQ23" s="22" t="e">
        <f aca="false">AND('Current Index'!G589,"AAAAAHb5O/o=")</f>
        <v>#VALUE!</v>
      </c>
      <c r="IR23" s="22" t="e">
        <f aca="false">AND('Current Index'!H589,"AAAAAHb5O/s=")</f>
        <v>#VALUE!</v>
      </c>
      <c r="IS23" s="22" t="e">
        <f aca="false">AND('Current Index'!I589,"AAAAAHb5O/w=")</f>
        <v>#VALUE!</v>
      </c>
      <c r="IT23" s="22" t="n">
        <f aca="false">IF('Current Index'!590:590,"AAAAAHb5O/0=",0)</f>
        <v>0</v>
      </c>
      <c r="IU23" s="22" t="e">
        <f aca="false">AND('Current Index'!A590,"AAAAAHb5O/4=")</f>
        <v>#VALUE!</v>
      </c>
      <c r="IV23" s="22" t="e">
        <f aca="false">AND('current index'!#ref!,"AAAAAHb5O/8=")</f>
        <v>#VALUE!</v>
      </c>
    </row>
    <row r="24" customFormat="false" ht="12.75" hidden="false" customHeight="false" outlineLevel="0" collapsed="false">
      <c r="A24" s="22" t="e">
        <f aca="false">AND('Current Index'!B590,"AAAAAC//lgA=")</f>
        <v>#VALUE!</v>
      </c>
      <c r="B24" s="22" t="e">
        <f aca="false">AND('Current Index'!C590,"AAAAAC//lgE=")</f>
        <v>#VALUE!</v>
      </c>
      <c r="C24" s="22" t="e">
        <f aca="false">AND('Current Index'!D590,"AAAAAC//lgI=")</f>
        <v>#VALUE!</v>
      </c>
      <c r="D24" s="22" t="e">
        <f aca="false">AND('Current Index'!E590,"AAAAAC//lgM=")</f>
        <v>#VALUE!</v>
      </c>
      <c r="E24" s="22" t="e">
        <f aca="false">AND('Current Index'!F590,"AAAAAC//lgQ=")</f>
        <v>#VALUE!</v>
      </c>
      <c r="F24" s="22" t="e">
        <f aca="false">AND('Current Index'!G590,"AAAAAC//lgU=")</f>
        <v>#VALUE!</v>
      </c>
      <c r="G24" s="22" t="e">
        <f aca="false">AND('Current Index'!H590,"AAAAAC//lgY=")</f>
        <v>#VALUE!</v>
      </c>
      <c r="H24" s="22" t="e">
        <f aca="false">AND('Current Index'!I590,"AAAAAC//lgc=")</f>
        <v>#VALUE!</v>
      </c>
      <c r="I24" s="22" t="n">
        <f aca="false">IF('Current Index'!593:593,"AAAAAC//lgg=",0)</f>
        <v>0</v>
      </c>
      <c r="J24" s="22" t="e">
        <f aca="false">AND('Current Index'!A593,"AAAAAC//lgk=")</f>
        <v>#VALUE!</v>
      </c>
      <c r="K24" s="22" t="e">
        <f aca="false">AND('current index'!#ref!,"AAAAAC//lgo=")</f>
        <v>#VALUE!</v>
      </c>
      <c r="L24" s="22" t="e">
        <f aca="false">AND('Current Index'!B593,"AAAAAC//lgs=")</f>
        <v>#VALUE!</v>
      </c>
      <c r="M24" s="22" t="e">
        <f aca="false">AND('Current Index'!C593,"AAAAAC//lgw=")</f>
        <v>#VALUE!</v>
      </c>
      <c r="N24" s="22" t="e">
        <f aca="false">AND('Current Index'!D593,"AAAAAC//lg0=")</f>
        <v>#VALUE!</v>
      </c>
      <c r="O24" s="22" t="e">
        <f aca="false">AND('Current Index'!E593,"AAAAAC//lg4=")</f>
        <v>#VALUE!</v>
      </c>
      <c r="P24" s="22" t="e">
        <f aca="false">AND('Current Index'!F593,"AAAAAC//lg8=")</f>
        <v>#VALUE!</v>
      </c>
      <c r="Q24" s="22" t="e">
        <f aca="false">AND('Current Index'!G593,"AAAAAC//lhA=")</f>
        <v>#VALUE!</v>
      </c>
      <c r="R24" s="22" t="e">
        <f aca="false">AND('Current Index'!H593,"AAAAAC//lhE=")</f>
        <v>#VALUE!</v>
      </c>
      <c r="S24" s="22" t="e">
        <f aca="false">AND('Current Index'!I593,"AAAAAC//lhI=")</f>
        <v>#VALUE!</v>
      </c>
      <c r="T24" s="22" t="n">
        <f aca="false">IF('Current Index'!594:594,"AAAAAC//lhM=",0)</f>
        <v>0</v>
      </c>
      <c r="U24" s="22" t="e">
        <f aca="false">AND('Current Index'!A594,"AAAAAC//lhQ=")</f>
        <v>#VALUE!</v>
      </c>
      <c r="V24" s="22" t="e">
        <f aca="false">AND('current index'!#ref!,"AAAAAC//lhU=")</f>
        <v>#VALUE!</v>
      </c>
      <c r="W24" s="22" t="e">
        <f aca="false">AND('Current Index'!B594,"AAAAAC//lhY=")</f>
        <v>#VALUE!</v>
      </c>
      <c r="X24" s="22" t="e">
        <f aca="false">AND('Current Index'!C594,"AAAAAC//lhc=")</f>
        <v>#VALUE!</v>
      </c>
      <c r="Y24" s="22" t="e">
        <f aca="false">AND('Current Index'!D594,"AAAAAC//lhg=")</f>
        <v>#VALUE!</v>
      </c>
      <c r="Z24" s="22" t="e">
        <f aca="false">AND('Current Index'!E594,"AAAAAC//lhk=")</f>
        <v>#VALUE!</v>
      </c>
      <c r="AA24" s="22" t="e">
        <f aca="false">AND('Current Index'!F594,"AAAAAC//lho=")</f>
        <v>#VALUE!</v>
      </c>
      <c r="AB24" s="22" t="e">
        <f aca="false">AND('Current Index'!G594,"AAAAAC//lhs=")</f>
        <v>#VALUE!</v>
      </c>
      <c r="AC24" s="22" t="e">
        <f aca="false">AND('Current Index'!H594,"AAAAAC//lhw=")</f>
        <v>#VALUE!</v>
      </c>
      <c r="AD24" s="22" t="e">
        <f aca="false">AND('Current Index'!I594,"AAAAAC//lh0=")</f>
        <v>#VALUE!</v>
      </c>
      <c r="AE24" s="22" t="n">
        <f aca="false">IF('Current Index'!595:595,"AAAAAC//lh4=",0)</f>
        <v>0</v>
      </c>
      <c r="AF24" s="22" t="e">
        <f aca="false">AND('Current Index'!A595,"AAAAAC//lh8=")</f>
        <v>#VALUE!</v>
      </c>
      <c r="AG24" s="22" t="e">
        <f aca="false">AND('current index'!#ref!,"AAAAAC//liA=")</f>
        <v>#VALUE!</v>
      </c>
      <c r="AH24" s="22" t="e">
        <f aca="false">AND('Current Index'!B595,"AAAAAC//liE=")</f>
        <v>#VALUE!</v>
      </c>
      <c r="AI24" s="22" t="e">
        <f aca="false">AND('Current Index'!C595,"AAAAAC//liI=")</f>
        <v>#VALUE!</v>
      </c>
      <c r="AJ24" s="22" t="e">
        <f aca="false">AND('Current Index'!D595,"AAAAAC//liM=")</f>
        <v>#VALUE!</v>
      </c>
      <c r="AK24" s="22" t="e">
        <f aca="false">AND('Current Index'!E595,"AAAAAC//liQ=")</f>
        <v>#VALUE!</v>
      </c>
      <c r="AL24" s="22" t="e">
        <f aca="false">AND('Current Index'!F595,"AAAAAC//liU=")</f>
        <v>#VALUE!</v>
      </c>
      <c r="AM24" s="22" t="e">
        <f aca="false">AND('Current Index'!G595,"AAAAAC//liY=")</f>
        <v>#VALUE!</v>
      </c>
      <c r="AN24" s="22" t="e">
        <f aca="false">AND('Current Index'!H595,"AAAAAC//lic=")</f>
        <v>#VALUE!</v>
      </c>
      <c r="AO24" s="22" t="e">
        <f aca="false">AND('Current Index'!I595,"AAAAAC//lig=")</f>
        <v>#VALUE!</v>
      </c>
      <c r="AP24" s="22" t="n">
        <f aca="false">IF('Current Index'!596:596,"AAAAAC//lik=",0)</f>
        <v>0</v>
      </c>
      <c r="AQ24" s="22" t="e">
        <f aca="false">AND('Current Index'!A596,"AAAAAC//lio=")</f>
        <v>#VALUE!</v>
      </c>
      <c r="AR24" s="22" t="e">
        <f aca="false">AND('current index'!#ref!,"AAAAAC//lis=")</f>
        <v>#VALUE!</v>
      </c>
      <c r="AS24" s="22" t="e">
        <f aca="false">AND('Current Index'!B596,"AAAAAC//liw=")</f>
        <v>#VALUE!</v>
      </c>
      <c r="AT24" s="22" t="e">
        <f aca="false">AND('Current Index'!C596,"AAAAAC//li0=")</f>
        <v>#VALUE!</v>
      </c>
      <c r="AU24" s="22" t="e">
        <f aca="false">AND('Current Index'!D596,"AAAAAC//li4=")</f>
        <v>#VALUE!</v>
      </c>
      <c r="AV24" s="22" t="e">
        <f aca="false">AND('Current Index'!E596,"AAAAAC//li8=")</f>
        <v>#VALUE!</v>
      </c>
      <c r="AW24" s="22" t="e">
        <f aca="false">AND('Current Index'!F596,"AAAAAC//ljA=")</f>
        <v>#VALUE!</v>
      </c>
      <c r="AX24" s="22" t="e">
        <f aca="false">AND('Current Index'!G596,"AAAAAC//ljE=")</f>
        <v>#VALUE!</v>
      </c>
      <c r="AY24" s="22" t="e">
        <f aca="false">AND('Current Index'!H596,"AAAAAC//ljI=")</f>
        <v>#VALUE!</v>
      </c>
      <c r="AZ24" s="22" t="e">
        <f aca="false">AND('Current Index'!I596,"AAAAAC//ljM=")</f>
        <v>#VALUE!</v>
      </c>
      <c r="BA24" s="22" t="n">
        <f aca="false">IF('Current Index'!597:597,"AAAAAC//ljQ=",0)</f>
        <v>0</v>
      </c>
      <c r="BB24" s="22" t="e">
        <f aca="false">AND('Current Index'!A597,"AAAAAC//ljU=")</f>
        <v>#VALUE!</v>
      </c>
      <c r="BC24" s="22" t="e">
        <f aca="false">AND('current index'!#ref!,"AAAAAC//ljY=")</f>
        <v>#VALUE!</v>
      </c>
      <c r="BD24" s="22" t="e">
        <f aca="false">AND('Current Index'!B597,"AAAAAC//ljc=")</f>
        <v>#VALUE!</v>
      </c>
      <c r="BE24" s="22" t="e">
        <f aca="false">AND('Current Index'!C597,"AAAAAC//ljg=")</f>
        <v>#VALUE!</v>
      </c>
      <c r="BF24" s="22" t="e">
        <f aca="false">AND('Current Index'!D597,"AAAAAC//ljk=")</f>
        <v>#VALUE!</v>
      </c>
      <c r="BG24" s="22" t="e">
        <f aca="false">AND('Current Index'!E597,"AAAAAC//ljo=")</f>
        <v>#VALUE!</v>
      </c>
      <c r="BH24" s="22" t="e">
        <f aca="false">AND('Current Index'!F597,"AAAAAC//ljs=")</f>
        <v>#VALUE!</v>
      </c>
      <c r="BI24" s="22" t="e">
        <f aca="false">AND('Current Index'!G597,"AAAAAC//ljw=")</f>
        <v>#VALUE!</v>
      </c>
      <c r="BJ24" s="22" t="e">
        <f aca="false">AND('Current Index'!H597,"AAAAAC//lj0=")</f>
        <v>#VALUE!</v>
      </c>
      <c r="BK24" s="22" t="e">
        <f aca="false">AND('Current Index'!I597,"AAAAAC//lj4=")</f>
        <v>#VALUE!</v>
      </c>
      <c r="BL24" s="22" t="n">
        <f aca="false">IF('Current Index'!598:598,"AAAAAC//lj8=",0)</f>
        <v>0</v>
      </c>
      <c r="BM24" s="22" t="e">
        <f aca="false">AND('Current Index'!A598,"AAAAAC//lkA=")</f>
        <v>#VALUE!</v>
      </c>
      <c r="BN24" s="22" t="e">
        <f aca="false">AND('current index'!#ref!,"AAAAAC//lkE=")</f>
        <v>#VALUE!</v>
      </c>
      <c r="BO24" s="22" t="e">
        <f aca="false">AND('Current Index'!B598,"AAAAAC//lkI=")</f>
        <v>#VALUE!</v>
      </c>
      <c r="BP24" s="22" t="e">
        <f aca="false">AND('Current Index'!C598,"AAAAAC//lkM=")</f>
        <v>#VALUE!</v>
      </c>
      <c r="BQ24" s="22" t="e">
        <f aca="false">AND('Current Index'!D598,"AAAAAC//lkQ=")</f>
        <v>#VALUE!</v>
      </c>
      <c r="BR24" s="22" t="e">
        <f aca="false">AND('Current Index'!E598,"AAAAAC//lkU=")</f>
        <v>#VALUE!</v>
      </c>
      <c r="BS24" s="22" t="e">
        <f aca="false">AND('Current Index'!F598,"AAAAAC//lkY=")</f>
        <v>#VALUE!</v>
      </c>
      <c r="BT24" s="22" t="e">
        <f aca="false">AND('Current Index'!G598,"AAAAAC//lkc=")</f>
        <v>#VALUE!</v>
      </c>
      <c r="BU24" s="22" t="e">
        <f aca="false">AND('Current Index'!H598,"AAAAAC//lkg=")</f>
        <v>#VALUE!</v>
      </c>
      <c r="BV24" s="22" t="e">
        <f aca="false">AND('Current Index'!I598,"AAAAAC//lkk=")</f>
        <v>#VALUE!</v>
      </c>
      <c r="BW24" s="22" t="e">
        <f aca="false">IF(#REF!,"AAAAAC//lko=",0)</f>
        <v>#REF!</v>
      </c>
      <c r="BX24" s="22" t="e">
        <f aca="false">AND(#REF!,"AAAAAC//lks=")</f>
        <v>#VALUE!</v>
      </c>
      <c r="BY24" s="22" t="e">
        <f aca="false">AND('current index'!#ref!,"AAAAAC//lkw=")</f>
        <v>#VALUE!</v>
      </c>
      <c r="BZ24" s="22" t="e">
        <f aca="false">AND(#REF!,"AAAAAC//lk0=")</f>
        <v>#VALUE!</v>
      </c>
      <c r="CA24" s="22" t="e">
        <f aca="false">AND(#REF!,"AAAAAC//lk4=")</f>
        <v>#VALUE!</v>
      </c>
      <c r="CB24" s="22" t="e">
        <f aca="false">AND(#REF!,"AAAAAC//lk8=")</f>
        <v>#VALUE!</v>
      </c>
      <c r="CC24" s="22" t="e">
        <f aca="false">AND(#REF!,"AAAAAC//llA=")</f>
        <v>#VALUE!</v>
      </c>
      <c r="CD24" s="22" t="e">
        <f aca="false">AND(#REF!,"AAAAAC//llE=")</f>
        <v>#VALUE!</v>
      </c>
      <c r="CE24" s="22" t="e">
        <f aca="false">AND(#REF!,"AAAAAC//llI=")</f>
        <v>#VALUE!</v>
      </c>
      <c r="CF24" s="22" t="e">
        <f aca="false">AND(#REF!,"AAAAAC//llM=")</f>
        <v>#VALUE!</v>
      </c>
      <c r="CG24" s="22" t="e">
        <f aca="false">AND(#REF!,"AAAAAC//llQ=")</f>
        <v>#VALUE!</v>
      </c>
      <c r="CH24" s="22" t="n">
        <f aca="false">IF('Current Index'!599:599,"AAAAAC//llU=",0)</f>
        <v>0</v>
      </c>
      <c r="CI24" s="22" t="e">
        <f aca="false">AND('Current Index'!A599,"AAAAAC//llY=")</f>
        <v>#VALUE!</v>
      </c>
      <c r="CJ24" s="22" t="e">
        <f aca="false">AND('current index'!#ref!,"AAAAAC//llc=")</f>
        <v>#VALUE!</v>
      </c>
      <c r="CK24" s="22" t="e">
        <f aca="false">AND('Current Index'!B599,"AAAAAC//llg=")</f>
        <v>#VALUE!</v>
      </c>
      <c r="CL24" s="22" t="e">
        <f aca="false">AND('Current Index'!C599,"AAAAAC//llk=")</f>
        <v>#VALUE!</v>
      </c>
      <c r="CM24" s="22" t="e">
        <f aca="false">AND('Current Index'!D599,"AAAAAC//llo=")</f>
        <v>#VALUE!</v>
      </c>
      <c r="CN24" s="22" t="e">
        <f aca="false">AND('Current Index'!E599,"AAAAAC//lls=")</f>
        <v>#VALUE!</v>
      </c>
      <c r="CO24" s="22" t="e">
        <f aca="false">AND('Current Index'!F599,"AAAAAC//llw=")</f>
        <v>#VALUE!</v>
      </c>
      <c r="CP24" s="22" t="e">
        <f aca="false">AND('Current Index'!G599,"AAAAAC//ll0=")</f>
        <v>#VALUE!</v>
      </c>
      <c r="CQ24" s="22" t="e">
        <f aca="false">AND('Current Index'!H599,"AAAAAC//ll4=")</f>
        <v>#VALUE!</v>
      </c>
      <c r="CR24" s="22" t="e">
        <f aca="false">AND('Current Index'!I599,"AAAAAC//ll8=")</f>
        <v>#VALUE!</v>
      </c>
      <c r="CS24" s="22" t="n">
        <f aca="false">IF('Current Index'!600:600,"AAAAAC//lmA=",0)</f>
        <v>0</v>
      </c>
      <c r="CT24" s="22" t="e">
        <f aca="false">AND('Current Index'!A600,"AAAAAC//lmE=")</f>
        <v>#VALUE!</v>
      </c>
      <c r="CU24" s="22" t="e">
        <f aca="false">AND('current index'!#ref!,"AAAAAC//lmI=")</f>
        <v>#VALUE!</v>
      </c>
      <c r="CV24" s="22" t="e">
        <f aca="false">AND('Current Index'!B600,"AAAAAC//lmM=")</f>
        <v>#VALUE!</v>
      </c>
      <c r="CW24" s="22" t="e">
        <f aca="false">AND('Current Index'!C600,"AAAAAC//lmQ=")</f>
        <v>#VALUE!</v>
      </c>
      <c r="CX24" s="22" t="e">
        <f aca="false">AND('Current Index'!D600,"AAAAAC//lmU=")</f>
        <v>#VALUE!</v>
      </c>
      <c r="CY24" s="22" t="e">
        <f aca="false">AND('Current Index'!E600,"AAAAAC//lmY=")</f>
        <v>#VALUE!</v>
      </c>
      <c r="CZ24" s="22" t="e">
        <f aca="false">AND('Current Index'!F600,"AAAAAC//lmc=")</f>
        <v>#VALUE!</v>
      </c>
      <c r="DA24" s="22" t="e">
        <f aca="false">AND('Current Index'!G600,"AAAAAC//lmg=")</f>
        <v>#VALUE!</v>
      </c>
      <c r="DB24" s="22" t="e">
        <f aca="false">AND('Current Index'!H600,"AAAAAC//lmk=")</f>
        <v>#VALUE!</v>
      </c>
      <c r="DC24" s="22" t="e">
        <f aca="false">AND('Current Index'!I600,"AAAAAC//lmo=")</f>
        <v>#VALUE!</v>
      </c>
      <c r="DD24" s="22" t="n">
        <f aca="false">IF('Current Index'!601:601,"AAAAAC//lms=",0)</f>
        <v>0</v>
      </c>
      <c r="DE24" s="22" t="e">
        <f aca="false">AND('Current Index'!A601,"AAAAAC//lmw=")</f>
        <v>#VALUE!</v>
      </c>
      <c r="DF24" s="22" t="e">
        <f aca="false">AND('current index'!#ref!,"AAAAAC//lm0=")</f>
        <v>#VALUE!</v>
      </c>
      <c r="DG24" s="22" t="e">
        <f aca="false">AND('Current Index'!B601,"AAAAAC//lm4=")</f>
        <v>#VALUE!</v>
      </c>
      <c r="DH24" s="22" t="e">
        <f aca="false">AND('Current Index'!C601,"AAAAAC//lm8=")</f>
        <v>#VALUE!</v>
      </c>
      <c r="DI24" s="22" t="e">
        <f aca="false">AND('Current Index'!D601,"AAAAAC//lnA=")</f>
        <v>#VALUE!</v>
      </c>
      <c r="DJ24" s="22" t="e">
        <f aca="false">AND('Current Index'!E601,"AAAAAC//lnE=")</f>
        <v>#VALUE!</v>
      </c>
      <c r="DK24" s="22" t="e">
        <f aca="false">AND('Current Index'!F601,"AAAAAC//lnI=")</f>
        <v>#VALUE!</v>
      </c>
      <c r="DL24" s="22" t="e">
        <f aca="false">AND('Current Index'!G601,"AAAAAC//lnM=")</f>
        <v>#VALUE!</v>
      </c>
      <c r="DM24" s="22" t="e">
        <f aca="false">AND('Current Index'!H601,"AAAAAC//lnQ=")</f>
        <v>#VALUE!</v>
      </c>
      <c r="DN24" s="22" t="e">
        <f aca="false">AND('Current Index'!I601,"AAAAAC//lnU=")</f>
        <v>#VALUE!</v>
      </c>
      <c r="DO24" s="22" t="e">
        <f aca="false">IF('current index'!#ref!,"AAAAAC//lnY=",0)</f>
        <v>#VALUE!</v>
      </c>
      <c r="DP24" s="22" t="e">
        <f aca="false">AND('current index'!#ref!,"AAAAAC//lnc=")</f>
        <v>#VALUE!</v>
      </c>
      <c r="DQ24" s="22" t="e">
        <f aca="false">AND('current index'!#ref!,"AAAAAC//lng=")</f>
        <v>#VALUE!</v>
      </c>
      <c r="DR24" s="22" t="e">
        <f aca="false">AND('current index'!#ref!,"AAAAAC//lnk=")</f>
        <v>#VALUE!</v>
      </c>
      <c r="DS24" s="22" t="e">
        <f aca="false">AND('current index'!#ref!,"AAAAAC//lno=")</f>
        <v>#VALUE!</v>
      </c>
      <c r="DT24" s="22" t="e">
        <f aca="false">AND('current index'!#ref!,"AAAAAC//lns=")</f>
        <v>#VALUE!</v>
      </c>
      <c r="DU24" s="22" t="e">
        <f aca="false">AND('current index'!#ref!,"AAAAAC//lnw=")</f>
        <v>#VALUE!</v>
      </c>
      <c r="DV24" s="22" t="e">
        <f aca="false">AND('current index'!#ref!,"AAAAAC//ln0=")</f>
        <v>#VALUE!</v>
      </c>
      <c r="DW24" s="22" t="e">
        <f aca="false">AND('current index'!#ref!,"AAAAAC//ln4=")</f>
        <v>#VALUE!</v>
      </c>
      <c r="DX24" s="22" t="e">
        <f aca="false">AND('current index'!#ref!,"AAAAAC//ln8=")</f>
        <v>#VALUE!</v>
      </c>
      <c r="DY24" s="22" t="e">
        <f aca="false">AND('current index'!#ref!,"AAAAAC//loA=")</f>
        <v>#VALUE!</v>
      </c>
      <c r="DZ24" s="22" t="n">
        <f aca="false">IF('Current Index'!602:602,"AAAAAC//loE=",0)</f>
        <v>0</v>
      </c>
      <c r="EA24" s="22" t="e">
        <f aca="false">AND('Current Index'!A602,"AAAAAC//loI=")</f>
        <v>#VALUE!</v>
      </c>
      <c r="EB24" s="22" t="e">
        <f aca="false">AND('current index'!#ref!,"AAAAAC//loM=")</f>
        <v>#VALUE!</v>
      </c>
      <c r="EC24" s="22" t="e">
        <f aca="false">AND('Current Index'!B602,"AAAAAC//loQ=")</f>
        <v>#VALUE!</v>
      </c>
      <c r="ED24" s="22" t="e">
        <f aca="false">AND('Current Index'!C602,"AAAAAC//loU=")</f>
        <v>#VALUE!</v>
      </c>
      <c r="EE24" s="22" t="e">
        <f aca="false">AND('Current Index'!D602,"AAAAAC//loY=")</f>
        <v>#VALUE!</v>
      </c>
      <c r="EF24" s="22" t="e">
        <f aca="false">AND('Current Index'!E602,"AAAAAC//loc=")</f>
        <v>#VALUE!</v>
      </c>
      <c r="EG24" s="22" t="e">
        <f aca="false">AND('Current Index'!F602,"AAAAAC//log=")</f>
        <v>#VALUE!</v>
      </c>
      <c r="EH24" s="22" t="e">
        <f aca="false">AND('Current Index'!G602,"AAAAAC//lok=")</f>
        <v>#VALUE!</v>
      </c>
      <c r="EI24" s="22" t="e">
        <f aca="false">AND('Current Index'!H602,"AAAAAC//loo=")</f>
        <v>#VALUE!</v>
      </c>
      <c r="EJ24" s="22" t="e">
        <f aca="false">AND('Current Index'!I602,"AAAAAC//los=")</f>
        <v>#VALUE!</v>
      </c>
      <c r="EK24" s="22" t="n">
        <f aca="false">IF('Current Index'!603:603,"AAAAAC//low=",0)</f>
        <v>0</v>
      </c>
      <c r="EL24" s="22" t="e">
        <f aca="false">AND('Current Index'!A603,"AAAAAC//lo0=")</f>
        <v>#VALUE!</v>
      </c>
      <c r="EM24" s="22" t="e">
        <f aca="false">AND('current index'!#ref!,"AAAAAC//lo4=")</f>
        <v>#VALUE!</v>
      </c>
      <c r="EN24" s="22" t="e">
        <f aca="false">AND('Current Index'!B603,"AAAAAC//lo8=")</f>
        <v>#VALUE!</v>
      </c>
      <c r="EO24" s="22" t="e">
        <f aca="false">AND('Current Index'!C603,"AAAAAC//lpA=")</f>
        <v>#VALUE!</v>
      </c>
      <c r="EP24" s="22" t="e">
        <f aca="false">AND('Current Index'!D603,"AAAAAC//lpE=")</f>
        <v>#VALUE!</v>
      </c>
      <c r="EQ24" s="22" t="e">
        <f aca="false">AND('Current Index'!E603,"AAAAAC//lpI=")</f>
        <v>#VALUE!</v>
      </c>
      <c r="ER24" s="22" t="e">
        <f aca="false">AND('Current Index'!F603,"AAAAAC//lpM=")</f>
        <v>#VALUE!</v>
      </c>
      <c r="ES24" s="22" t="e">
        <f aca="false">AND('Current Index'!G603,"AAAAAC//lpQ=")</f>
        <v>#VALUE!</v>
      </c>
      <c r="ET24" s="22" t="e">
        <f aca="false">AND('Current Index'!H603,"AAAAAC//lpU=")</f>
        <v>#VALUE!</v>
      </c>
      <c r="EU24" s="22" t="e">
        <f aca="false">AND('Current Index'!I603,"AAAAAC//lpY=")</f>
        <v>#VALUE!</v>
      </c>
      <c r="EV24" s="22" t="n">
        <f aca="false">IF('Current Index'!604:604,"AAAAAC//lpc=",0)</f>
        <v>0</v>
      </c>
      <c r="EW24" s="22" t="e">
        <f aca="false">AND('Current Index'!A604,"AAAAAC//lpg=")</f>
        <v>#VALUE!</v>
      </c>
      <c r="EX24" s="22" t="e">
        <f aca="false">AND('current index'!#ref!,"AAAAAC//lpk=")</f>
        <v>#VALUE!</v>
      </c>
      <c r="EY24" s="22" t="e">
        <f aca="false">AND('Current Index'!B604,"AAAAAC//lpo=")</f>
        <v>#VALUE!</v>
      </c>
      <c r="EZ24" s="22" t="e">
        <f aca="false">AND('Current Index'!C604,"AAAAAC//lps=")</f>
        <v>#VALUE!</v>
      </c>
      <c r="FA24" s="22" t="e">
        <f aca="false">AND('Current Index'!D604,"AAAAAC//lpw=")</f>
        <v>#VALUE!</v>
      </c>
      <c r="FB24" s="22" t="e">
        <f aca="false">AND('Current Index'!E604,"AAAAAC//lp0=")</f>
        <v>#VALUE!</v>
      </c>
      <c r="FC24" s="22" t="e">
        <f aca="false">AND('Current Index'!F604,"AAAAAC//lp4=")</f>
        <v>#VALUE!</v>
      </c>
      <c r="FD24" s="22" t="e">
        <f aca="false">AND('Current Index'!G604,"AAAAAC//lp8=")</f>
        <v>#VALUE!</v>
      </c>
      <c r="FE24" s="22" t="e">
        <f aca="false">AND('Current Index'!H604,"AAAAAC//lqA=")</f>
        <v>#VALUE!</v>
      </c>
      <c r="FF24" s="22" t="e">
        <f aca="false">AND('Current Index'!I604,"AAAAAC//lqE=")</f>
        <v>#VALUE!</v>
      </c>
      <c r="FG24" s="22" t="n">
        <f aca="false">IF('Current Index'!605:605,"AAAAAC//lqI=",0)</f>
        <v>0</v>
      </c>
      <c r="FH24" s="22" t="e">
        <f aca="false">AND('Current Index'!A605,"AAAAAC//lqM=")</f>
        <v>#VALUE!</v>
      </c>
      <c r="FI24" s="22" t="e">
        <f aca="false">AND('current index'!#ref!,"AAAAAC//lqQ=")</f>
        <v>#VALUE!</v>
      </c>
      <c r="FJ24" s="22" t="e">
        <f aca="false">AND('Current Index'!B605,"AAAAAC//lqU=")</f>
        <v>#VALUE!</v>
      </c>
      <c r="FK24" s="22" t="e">
        <f aca="false">AND('Current Index'!C605,"AAAAAC//lqY=")</f>
        <v>#VALUE!</v>
      </c>
      <c r="FL24" s="22" t="e">
        <f aca="false">AND('Current Index'!D605,"AAAAAC//lqc=")</f>
        <v>#VALUE!</v>
      </c>
      <c r="FM24" s="22" t="e">
        <f aca="false">AND('Current Index'!E605,"AAAAAC//lqg=")</f>
        <v>#VALUE!</v>
      </c>
      <c r="FN24" s="22" t="e">
        <f aca="false">AND('Current Index'!F605,"AAAAAC//lqk=")</f>
        <v>#VALUE!</v>
      </c>
      <c r="FO24" s="22" t="e">
        <f aca="false">AND('Current Index'!G605,"AAAAAC//lqo=")</f>
        <v>#VALUE!</v>
      </c>
      <c r="FP24" s="22" t="e">
        <f aca="false">AND('Current Index'!H605,"AAAAAC//lqs=")</f>
        <v>#VALUE!</v>
      </c>
      <c r="FQ24" s="22" t="e">
        <f aca="false">AND('Current Index'!I605,"AAAAAC//lqw=")</f>
        <v>#VALUE!</v>
      </c>
      <c r="FR24" s="22" t="n">
        <f aca="false">IF('Current Index'!606:606,"AAAAAC//lq0=",0)</f>
        <v>0</v>
      </c>
      <c r="FS24" s="22" t="e">
        <f aca="false">AND('Current Index'!A606,"AAAAAC//lq4=")</f>
        <v>#VALUE!</v>
      </c>
      <c r="FT24" s="22" t="e">
        <f aca="false">AND('current index'!#ref!,"AAAAAC//lq8=")</f>
        <v>#VALUE!</v>
      </c>
      <c r="FU24" s="22" t="e">
        <f aca="false">AND('Current Index'!B606,"AAAAAC//lrA=")</f>
        <v>#VALUE!</v>
      </c>
      <c r="FV24" s="22" t="e">
        <f aca="false">AND('Current Index'!C606,"AAAAAC//lrE=")</f>
        <v>#VALUE!</v>
      </c>
      <c r="FW24" s="22" t="e">
        <f aca="false">AND('Current Index'!D606,"AAAAAC//lrI=")</f>
        <v>#VALUE!</v>
      </c>
      <c r="FX24" s="22" t="e">
        <f aca="false">AND('Current Index'!E606,"AAAAAC//lrM=")</f>
        <v>#VALUE!</v>
      </c>
      <c r="FY24" s="22" t="e">
        <f aca="false">AND('Current Index'!F606,"AAAAAC//lrQ=")</f>
        <v>#VALUE!</v>
      </c>
      <c r="FZ24" s="22" t="e">
        <f aca="false">AND('Current Index'!G606,"AAAAAC//lrU=")</f>
        <v>#VALUE!</v>
      </c>
      <c r="GA24" s="22" t="e">
        <f aca="false">AND('Current Index'!H606,"AAAAAC//lrY=")</f>
        <v>#VALUE!</v>
      </c>
      <c r="GB24" s="22" t="e">
        <f aca="false">AND('Current Index'!I606,"AAAAAC//lrc=")</f>
        <v>#VALUE!</v>
      </c>
      <c r="GC24" s="22" t="n">
        <f aca="false">IF('Current Index'!607:607,"AAAAAC//lrg=",0)</f>
        <v>0</v>
      </c>
      <c r="GD24" s="22" t="e">
        <f aca="false">AND('Current Index'!A607,"AAAAAC//lrk=")</f>
        <v>#VALUE!</v>
      </c>
      <c r="GE24" s="22" t="e">
        <f aca="false">AND('current index'!#ref!,"AAAAAC//lro=")</f>
        <v>#VALUE!</v>
      </c>
      <c r="GF24" s="22" t="e">
        <f aca="false">AND('Current Index'!B607,"AAAAAC//lrs=")</f>
        <v>#VALUE!</v>
      </c>
      <c r="GG24" s="22" t="e">
        <f aca="false">AND('Current Index'!C607,"AAAAAC//lrw=")</f>
        <v>#VALUE!</v>
      </c>
      <c r="GH24" s="22" t="e">
        <f aca="false">AND('Current Index'!D607,"AAAAAC//lr0=")</f>
        <v>#VALUE!</v>
      </c>
      <c r="GI24" s="22" t="e">
        <f aca="false">AND('Current Index'!E607,"AAAAAC//lr4=")</f>
        <v>#VALUE!</v>
      </c>
      <c r="GJ24" s="22" t="e">
        <f aca="false">AND('Current Index'!F607,"AAAAAC//lr8=")</f>
        <v>#VALUE!</v>
      </c>
      <c r="GK24" s="22" t="e">
        <f aca="false">AND('Current Index'!G607,"AAAAAC//lsA=")</f>
        <v>#VALUE!</v>
      </c>
      <c r="GL24" s="22" t="e">
        <f aca="false">AND('Current Index'!H607,"AAAAAC//lsE=")</f>
        <v>#VALUE!</v>
      </c>
      <c r="GM24" s="22" t="e">
        <f aca="false">AND('Current Index'!I607,"AAAAAC//lsI=")</f>
        <v>#VALUE!</v>
      </c>
      <c r="GN24" s="22" t="n">
        <f aca="false">IF('Current Index'!608:608,"AAAAAC//lsM=",0)</f>
        <v>0</v>
      </c>
      <c r="GO24" s="22" t="e">
        <f aca="false">AND('Current Index'!A608,"AAAAAC//lsQ=")</f>
        <v>#VALUE!</v>
      </c>
      <c r="GP24" s="22" t="e">
        <f aca="false">AND('current index'!#ref!,"AAAAAC//lsU=")</f>
        <v>#VALUE!</v>
      </c>
      <c r="GQ24" s="22" t="e">
        <f aca="false">AND('Current Index'!B608,"AAAAAC//lsY=")</f>
        <v>#VALUE!</v>
      </c>
      <c r="GR24" s="22" t="e">
        <f aca="false">AND('Current Index'!C608,"AAAAAC//lsc=")</f>
        <v>#VALUE!</v>
      </c>
      <c r="GS24" s="22" t="e">
        <f aca="false">AND('Current Index'!D608,"AAAAAC//lsg=")</f>
        <v>#VALUE!</v>
      </c>
      <c r="GT24" s="22" t="e">
        <f aca="false">AND('Current Index'!E608,"AAAAAC//lsk=")</f>
        <v>#VALUE!</v>
      </c>
      <c r="GU24" s="22" t="e">
        <f aca="false">AND('Current Index'!F608,"AAAAAC//lso=")</f>
        <v>#VALUE!</v>
      </c>
      <c r="GV24" s="22" t="e">
        <f aca="false">AND('Current Index'!G608,"AAAAAC//lss=")</f>
        <v>#VALUE!</v>
      </c>
      <c r="GW24" s="22" t="e">
        <f aca="false">AND('Current Index'!H608,"AAAAAC//lsw=")</f>
        <v>#VALUE!</v>
      </c>
      <c r="GX24" s="22" t="e">
        <f aca="false">AND('Current Index'!I608,"AAAAAC//ls0=")</f>
        <v>#VALUE!</v>
      </c>
      <c r="GY24" s="22" t="e">
        <f aca="false">IF('current index'!#ref!,"AAAAAC//ls4=",0)</f>
        <v>#VALUE!</v>
      </c>
      <c r="GZ24" s="22" t="e">
        <f aca="false">AND('current index'!#ref!,"AAAAAC//ls8=")</f>
        <v>#VALUE!</v>
      </c>
      <c r="HA24" s="22" t="e">
        <f aca="false">AND('current index'!#ref!,"AAAAAC//ltA=")</f>
        <v>#VALUE!</v>
      </c>
      <c r="HB24" s="22" t="e">
        <f aca="false">AND('current index'!#ref!,"AAAAAC//ltE=")</f>
        <v>#VALUE!</v>
      </c>
      <c r="HC24" s="22" t="e">
        <f aca="false">AND('current index'!#ref!,"AAAAAC//ltI=")</f>
        <v>#VALUE!</v>
      </c>
      <c r="HD24" s="22" t="e">
        <f aca="false">AND('current index'!#ref!,"AAAAAC//ltM=")</f>
        <v>#VALUE!</v>
      </c>
      <c r="HE24" s="22" t="e">
        <f aca="false">AND('current index'!#ref!,"AAAAAC//ltQ=")</f>
        <v>#VALUE!</v>
      </c>
      <c r="HF24" s="22" t="e">
        <f aca="false">AND('current index'!#ref!,"AAAAAC//ltU=")</f>
        <v>#VALUE!</v>
      </c>
      <c r="HG24" s="22" t="e">
        <f aca="false">AND('current index'!#ref!,"AAAAAC//ltY=")</f>
        <v>#VALUE!</v>
      </c>
      <c r="HH24" s="22" t="e">
        <f aca="false">AND('current index'!#ref!,"AAAAAC//ltc=")</f>
        <v>#VALUE!</v>
      </c>
      <c r="HI24" s="22" t="e">
        <f aca="false">AND('current index'!#ref!,"AAAAAC//ltg=")</f>
        <v>#VALUE!</v>
      </c>
      <c r="HJ24" s="22" t="n">
        <f aca="false">IF('Current Index'!609:609,"AAAAAC//ltk=",0)</f>
        <v>0</v>
      </c>
      <c r="HK24" s="22" t="e">
        <f aca="false">AND('Current Index'!A609,"AAAAAC//lto=")</f>
        <v>#VALUE!</v>
      </c>
      <c r="HL24" s="22" t="e">
        <f aca="false">AND('current index'!#ref!,"AAAAAC//lts=")</f>
        <v>#VALUE!</v>
      </c>
      <c r="HM24" s="22" t="e">
        <f aca="false">AND('Current Index'!B609,"AAAAAC//ltw=")</f>
        <v>#VALUE!</v>
      </c>
      <c r="HN24" s="22" t="e">
        <f aca="false">AND('Current Index'!C609,"AAAAAC//lt0=")</f>
        <v>#VALUE!</v>
      </c>
      <c r="HO24" s="22" t="e">
        <f aca="false">AND('Current Index'!D609,"AAAAAC//lt4=")</f>
        <v>#VALUE!</v>
      </c>
      <c r="HP24" s="22" t="e">
        <f aca="false">AND('Current Index'!E609,"AAAAAC//lt8=")</f>
        <v>#VALUE!</v>
      </c>
      <c r="HQ24" s="22" t="e">
        <f aca="false">AND('Current Index'!F609,"AAAAAC//luA=")</f>
        <v>#VALUE!</v>
      </c>
      <c r="HR24" s="22" t="e">
        <f aca="false">AND('Current Index'!G609,"AAAAAC//luE=")</f>
        <v>#VALUE!</v>
      </c>
      <c r="HS24" s="22" t="e">
        <f aca="false">AND('Current Index'!H609,"AAAAAC//luI=")</f>
        <v>#VALUE!</v>
      </c>
      <c r="HT24" s="22" t="e">
        <f aca="false">AND('Current Index'!I609,"AAAAAC//luM=")</f>
        <v>#VALUE!</v>
      </c>
      <c r="HU24" s="22" t="n">
        <f aca="false">IF('Current Index'!610:610,"AAAAAC//luQ=",0)</f>
        <v>0</v>
      </c>
      <c r="HV24" s="22" t="e">
        <f aca="false">AND('Current Index'!A610,"AAAAAC//luU=")</f>
        <v>#VALUE!</v>
      </c>
      <c r="HW24" s="22" t="e">
        <f aca="false">AND('current index'!#ref!,"AAAAAC//luY=")</f>
        <v>#VALUE!</v>
      </c>
      <c r="HX24" s="22" t="e">
        <f aca="false">AND('Current Index'!B610,"AAAAAC//luc=")</f>
        <v>#VALUE!</v>
      </c>
      <c r="HY24" s="22" t="e">
        <f aca="false">AND('Current Index'!C610,"AAAAAC//lug=")</f>
        <v>#VALUE!</v>
      </c>
      <c r="HZ24" s="22" t="e">
        <f aca="false">AND('Current Index'!D610,"AAAAAC//luk=")</f>
        <v>#VALUE!</v>
      </c>
      <c r="IA24" s="22" t="e">
        <f aca="false">AND('Current Index'!E610,"AAAAAC//luo=")</f>
        <v>#VALUE!</v>
      </c>
      <c r="IB24" s="22" t="e">
        <f aca="false">AND('Current Index'!F610,"AAAAAC//lus=")</f>
        <v>#VALUE!</v>
      </c>
      <c r="IC24" s="22" t="e">
        <f aca="false">AND('Current Index'!G610,"AAAAAC//luw=")</f>
        <v>#VALUE!</v>
      </c>
      <c r="ID24" s="22" t="e">
        <f aca="false">AND('Current Index'!H610,"AAAAAC//lu0=")</f>
        <v>#VALUE!</v>
      </c>
      <c r="IE24" s="22" t="e">
        <f aca="false">AND('Current Index'!I610,"AAAAAC//lu4=")</f>
        <v>#VALUE!</v>
      </c>
      <c r="IF24" s="22" t="n">
        <f aca="false">IF('Current Index'!611:611,"AAAAAC//lu8=",0)</f>
        <v>0</v>
      </c>
      <c r="IG24" s="22" t="e">
        <f aca="false">AND('Current Index'!A611,"AAAAAC//lvA=")</f>
        <v>#VALUE!</v>
      </c>
      <c r="IH24" s="22" t="e">
        <f aca="false">AND('current index'!#ref!,"AAAAAC//lvE=")</f>
        <v>#VALUE!</v>
      </c>
      <c r="II24" s="22" t="e">
        <f aca="false">AND('Current Index'!B611,"AAAAAC//lvI=")</f>
        <v>#VALUE!</v>
      </c>
      <c r="IJ24" s="22" t="e">
        <f aca="false">AND('Current Index'!C611,"AAAAAC//lvM=")</f>
        <v>#VALUE!</v>
      </c>
      <c r="IK24" s="22" t="e">
        <f aca="false">AND('Current Index'!D611,"AAAAAC//lvQ=")</f>
        <v>#VALUE!</v>
      </c>
      <c r="IL24" s="22" t="e">
        <f aca="false">AND('Current Index'!E611,"AAAAAC//lvU=")</f>
        <v>#VALUE!</v>
      </c>
      <c r="IM24" s="22" t="e">
        <f aca="false">AND('Current Index'!F611,"AAAAAC//lvY=")</f>
        <v>#VALUE!</v>
      </c>
      <c r="IN24" s="22" t="e">
        <f aca="false">AND('Current Index'!G611,"AAAAAC//lvc=")</f>
        <v>#VALUE!</v>
      </c>
      <c r="IO24" s="22" t="e">
        <f aca="false">AND('Current Index'!H611,"AAAAAC//lvg=")</f>
        <v>#VALUE!</v>
      </c>
      <c r="IP24" s="22" t="e">
        <f aca="false">AND('Current Index'!I611,"AAAAAC//lvk=")</f>
        <v>#VALUE!</v>
      </c>
      <c r="IQ24" s="22" t="n">
        <f aca="false">IF('Current Index'!612:612,"AAAAAC//lvo=",0)</f>
        <v>0</v>
      </c>
      <c r="IR24" s="22" t="e">
        <f aca="false">AND('Current Index'!A612,"AAAAAC//lvs=")</f>
        <v>#VALUE!</v>
      </c>
      <c r="IS24" s="22" t="e">
        <f aca="false">AND('current index'!#ref!,"AAAAAC//lvw=")</f>
        <v>#VALUE!</v>
      </c>
      <c r="IT24" s="22" t="e">
        <f aca="false">AND('Current Index'!B612,"AAAAAC//lv0=")</f>
        <v>#VALUE!</v>
      </c>
      <c r="IU24" s="22" t="e">
        <f aca="false">AND('Current Index'!C612,"AAAAAC//lv4=")</f>
        <v>#VALUE!</v>
      </c>
      <c r="IV24" s="22" t="e">
        <f aca="false">AND('Current Index'!D612,"AAAAAC//lv8=")</f>
        <v>#VALUE!</v>
      </c>
    </row>
    <row r="25" customFormat="false" ht="12.75" hidden="false" customHeight="false" outlineLevel="0" collapsed="false">
      <c r="A25" s="22" t="e">
        <f aca="false">AND('Current Index'!E612,"AAAAAFWX/wA=")</f>
        <v>#VALUE!</v>
      </c>
      <c r="B25" s="22" t="e">
        <f aca="false">AND('Current Index'!F612,"AAAAAFWX/wE=")</f>
        <v>#VALUE!</v>
      </c>
      <c r="C25" s="22" t="e">
        <f aca="false">AND('Current Index'!G612,"AAAAAFWX/wI=")</f>
        <v>#VALUE!</v>
      </c>
      <c r="D25" s="22" t="e">
        <f aca="false">AND('Current Index'!H612,"AAAAAFWX/wM=")</f>
        <v>#VALUE!</v>
      </c>
      <c r="E25" s="22" t="e">
        <f aca="false">AND('Current Index'!I612,"AAAAAFWX/wQ=")</f>
        <v>#VALUE!</v>
      </c>
      <c r="F25" s="22" t="str">
        <f aca="false">IF('Current Index'!613:613,"AAAAAFWX/wU=",0)</f>
        <v>AAAAAFWX/wU=</v>
      </c>
      <c r="G25" s="22" t="e">
        <f aca="false">AND('Current Index'!A613,"AAAAAFWX/wY=")</f>
        <v>#VALUE!</v>
      </c>
      <c r="H25" s="22" t="e">
        <f aca="false">AND('current index'!#ref!,"AAAAAFWX/wc=")</f>
        <v>#VALUE!</v>
      </c>
      <c r="I25" s="22" t="e">
        <f aca="false">AND('Current Index'!B613,"AAAAAFWX/wg=")</f>
        <v>#VALUE!</v>
      </c>
      <c r="J25" s="22" t="e">
        <f aca="false">AND('Current Index'!C613,"AAAAAFWX/wk=")</f>
        <v>#VALUE!</v>
      </c>
      <c r="K25" s="22" t="e">
        <f aca="false">AND('Current Index'!D613,"AAAAAFWX/wo=")</f>
        <v>#VALUE!</v>
      </c>
      <c r="L25" s="22" t="e">
        <f aca="false">AND('Current Index'!E613,"AAAAAFWX/ws=")</f>
        <v>#VALUE!</v>
      </c>
      <c r="M25" s="22" t="e">
        <f aca="false">AND('Current Index'!F613,"AAAAAFWX/ww=")</f>
        <v>#VALUE!</v>
      </c>
      <c r="N25" s="22" t="e">
        <f aca="false">AND('Current Index'!G613,"AAAAAFWX/w0=")</f>
        <v>#VALUE!</v>
      </c>
      <c r="O25" s="22" t="e">
        <f aca="false">AND('Current Index'!H613,"AAAAAFWX/w4=")</f>
        <v>#VALUE!</v>
      </c>
      <c r="P25" s="22" t="e">
        <f aca="false">AND('Current Index'!I613,"AAAAAFWX/w8=")</f>
        <v>#VALUE!</v>
      </c>
      <c r="Q25" s="22" t="n">
        <f aca="false">IF('Current Index'!614:614,"AAAAAFWX/xA=",0)</f>
        <v>0</v>
      </c>
      <c r="R25" s="22" t="e">
        <f aca="false">AND('Current Index'!A614,"AAAAAFWX/xE=")</f>
        <v>#VALUE!</v>
      </c>
      <c r="S25" s="22" t="e">
        <f aca="false">AND('current index'!#ref!,"AAAAAFWX/xI=")</f>
        <v>#VALUE!</v>
      </c>
      <c r="T25" s="22" t="e">
        <f aca="false">AND('Current Index'!B614,"AAAAAFWX/xM=")</f>
        <v>#VALUE!</v>
      </c>
      <c r="U25" s="22" t="e">
        <f aca="false">AND('Current Index'!C614,"AAAAAFWX/xQ=")</f>
        <v>#VALUE!</v>
      </c>
      <c r="V25" s="22" t="e">
        <f aca="false">AND('Current Index'!D614,"AAAAAFWX/xU=")</f>
        <v>#VALUE!</v>
      </c>
      <c r="W25" s="22" t="e">
        <f aca="false">AND('Current Index'!E614,"AAAAAFWX/xY=")</f>
        <v>#VALUE!</v>
      </c>
      <c r="X25" s="22" t="e">
        <f aca="false">AND('Current Index'!F614,"AAAAAFWX/xc=")</f>
        <v>#VALUE!</v>
      </c>
      <c r="Y25" s="22" t="e">
        <f aca="false">AND('Current Index'!G614,"AAAAAFWX/xg=")</f>
        <v>#VALUE!</v>
      </c>
      <c r="Z25" s="22" t="e">
        <f aca="false">AND('Current Index'!H614,"AAAAAFWX/xk=")</f>
        <v>#VALUE!</v>
      </c>
      <c r="AA25" s="22" t="e">
        <f aca="false">AND('Current Index'!I614,"AAAAAFWX/xo=")</f>
        <v>#VALUE!</v>
      </c>
      <c r="AB25" s="22" t="n">
        <f aca="false">IF('Current Index'!615:615,"AAAAAFWX/xs=",0)</f>
        <v>0</v>
      </c>
      <c r="AC25" s="22" t="e">
        <f aca="false">AND('Current Index'!A615,"AAAAAFWX/xw=")</f>
        <v>#VALUE!</v>
      </c>
      <c r="AD25" s="22" t="e">
        <f aca="false">AND('current index'!#ref!,"AAAAAFWX/x0=")</f>
        <v>#VALUE!</v>
      </c>
      <c r="AE25" s="22" t="e">
        <f aca="false">AND('Current Index'!B615,"AAAAAFWX/x4=")</f>
        <v>#VALUE!</v>
      </c>
      <c r="AF25" s="22" t="e">
        <f aca="false">AND('Current Index'!C615,"AAAAAFWX/x8=")</f>
        <v>#VALUE!</v>
      </c>
      <c r="AG25" s="22" t="e">
        <f aca="false">AND('Current Index'!D615,"AAAAAFWX/yA=")</f>
        <v>#VALUE!</v>
      </c>
      <c r="AH25" s="22" t="e">
        <f aca="false">AND('Current Index'!E615,"AAAAAFWX/yE=")</f>
        <v>#VALUE!</v>
      </c>
      <c r="AI25" s="22" t="e">
        <f aca="false">AND('Current Index'!F615,"AAAAAFWX/yI=")</f>
        <v>#VALUE!</v>
      </c>
      <c r="AJ25" s="22" t="e">
        <f aca="false">AND('Current Index'!G615,"AAAAAFWX/yM=")</f>
        <v>#VALUE!</v>
      </c>
      <c r="AK25" s="22" t="e">
        <f aca="false">AND('Current Index'!H615,"AAAAAFWX/yQ=")</f>
        <v>#VALUE!</v>
      </c>
      <c r="AL25" s="22" t="e">
        <f aca="false">AND('Current Index'!I615,"AAAAAFWX/yU=")</f>
        <v>#VALUE!</v>
      </c>
      <c r="AM25" s="22" t="n">
        <f aca="false">IF('Current Index'!616:616,"AAAAAFWX/yY=",0)</f>
        <v>0</v>
      </c>
      <c r="AN25" s="22" t="e">
        <f aca="false">AND('Current Index'!A616,"AAAAAFWX/yc=")</f>
        <v>#VALUE!</v>
      </c>
      <c r="AO25" s="22" t="e">
        <f aca="false">AND('current index'!#ref!,"AAAAAFWX/yg=")</f>
        <v>#VALUE!</v>
      </c>
      <c r="AP25" s="22" t="e">
        <f aca="false">AND('Current Index'!B616,"AAAAAFWX/yk=")</f>
        <v>#VALUE!</v>
      </c>
      <c r="AQ25" s="22" t="e">
        <f aca="false">AND('Current Index'!C616,"AAAAAFWX/yo=")</f>
        <v>#VALUE!</v>
      </c>
      <c r="AR25" s="22" t="e">
        <f aca="false">AND('Current Index'!D616,"AAAAAFWX/ys=")</f>
        <v>#VALUE!</v>
      </c>
      <c r="AS25" s="22" t="e">
        <f aca="false">AND('Current Index'!E616,"AAAAAFWX/yw=")</f>
        <v>#VALUE!</v>
      </c>
      <c r="AT25" s="22" t="e">
        <f aca="false">AND('Current Index'!F616,"AAAAAFWX/y0=")</f>
        <v>#VALUE!</v>
      </c>
      <c r="AU25" s="22" t="e">
        <f aca="false">AND('Current Index'!G616,"AAAAAFWX/y4=")</f>
        <v>#VALUE!</v>
      </c>
      <c r="AV25" s="22" t="e">
        <f aca="false">AND('Current Index'!H616,"AAAAAFWX/y8=")</f>
        <v>#VALUE!</v>
      </c>
      <c r="AW25" s="22" t="e">
        <f aca="false">AND('Current Index'!I616,"AAAAAFWX/zA=")</f>
        <v>#VALUE!</v>
      </c>
      <c r="AX25" s="22" t="n">
        <f aca="false">IF('Current Index'!617:617,"AAAAAFWX/zE=",0)</f>
        <v>0</v>
      </c>
      <c r="AY25" s="22" t="e">
        <f aca="false">AND('Current Index'!A617,"AAAAAFWX/zI=")</f>
        <v>#VALUE!</v>
      </c>
      <c r="AZ25" s="22" t="e">
        <f aca="false">AND('current index'!#ref!,"AAAAAFWX/zM=")</f>
        <v>#VALUE!</v>
      </c>
      <c r="BA25" s="22" t="e">
        <f aca="false">AND('Current Index'!B617,"AAAAAFWX/zQ=")</f>
        <v>#VALUE!</v>
      </c>
      <c r="BB25" s="22" t="e">
        <f aca="false">AND('Current Index'!C617,"AAAAAFWX/zU=")</f>
        <v>#VALUE!</v>
      </c>
      <c r="BC25" s="22" t="e">
        <f aca="false">AND('Current Index'!D617,"AAAAAFWX/zY=")</f>
        <v>#VALUE!</v>
      </c>
      <c r="BD25" s="22" t="e">
        <f aca="false">AND('Current Index'!E617,"AAAAAFWX/zc=")</f>
        <v>#VALUE!</v>
      </c>
      <c r="BE25" s="22" t="e">
        <f aca="false">AND('Current Index'!F617,"AAAAAFWX/zg=")</f>
        <v>#VALUE!</v>
      </c>
      <c r="BF25" s="22" t="e">
        <f aca="false">AND('Current Index'!G617,"AAAAAFWX/zk=")</f>
        <v>#VALUE!</v>
      </c>
      <c r="BG25" s="22" t="e">
        <f aca="false">AND('Current Index'!H617,"AAAAAFWX/zo=")</f>
        <v>#VALUE!</v>
      </c>
      <c r="BH25" s="22" t="e">
        <f aca="false">AND('Current Index'!I617,"AAAAAFWX/zs=")</f>
        <v>#VALUE!</v>
      </c>
      <c r="BI25" s="22" t="n">
        <f aca="false">IF('Current Index'!618:618,"AAAAAFWX/zw=",0)</f>
        <v>0</v>
      </c>
      <c r="BJ25" s="22" t="e">
        <f aca="false">AND('Current Index'!A618,"AAAAAFWX/z0=")</f>
        <v>#VALUE!</v>
      </c>
      <c r="BK25" s="22" t="e">
        <f aca="false">AND('current index'!#ref!,"AAAAAFWX/z4=")</f>
        <v>#VALUE!</v>
      </c>
      <c r="BL25" s="22" t="e">
        <f aca="false">AND('Current Index'!B618,"AAAAAFWX/z8=")</f>
        <v>#VALUE!</v>
      </c>
      <c r="BM25" s="22" t="e">
        <f aca="false">AND('Current Index'!C618,"AAAAAFWX/0A=")</f>
        <v>#VALUE!</v>
      </c>
      <c r="BN25" s="22" t="e">
        <f aca="false">AND('Current Index'!D618,"AAAAAFWX/0E=")</f>
        <v>#VALUE!</v>
      </c>
      <c r="BO25" s="22" t="e">
        <f aca="false">AND('Current Index'!E618,"AAAAAFWX/0I=")</f>
        <v>#VALUE!</v>
      </c>
      <c r="BP25" s="22" t="e">
        <f aca="false">AND('Current Index'!F618,"AAAAAFWX/0M=")</f>
        <v>#VALUE!</v>
      </c>
      <c r="BQ25" s="22" t="e">
        <f aca="false">AND('Current Index'!G618,"AAAAAFWX/0Q=")</f>
        <v>#VALUE!</v>
      </c>
      <c r="BR25" s="22" t="e">
        <f aca="false">AND('Current Index'!H618,"AAAAAFWX/0U=")</f>
        <v>#VALUE!</v>
      </c>
      <c r="BS25" s="22" t="e">
        <f aca="false">AND('Current Index'!I618,"AAAAAFWX/0Y=")</f>
        <v>#VALUE!</v>
      </c>
      <c r="BT25" s="22" t="n">
        <f aca="false">IF('Current Index'!619:619,"AAAAAFWX/0c=",0)</f>
        <v>0</v>
      </c>
      <c r="BU25" s="22" t="e">
        <f aca="false">AND('Current Index'!A619,"AAAAAFWX/0g=")</f>
        <v>#VALUE!</v>
      </c>
      <c r="BV25" s="22" t="e">
        <f aca="false">AND('current index'!#ref!,"AAAAAFWX/0k=")</f>
        <v>#VALUE!</v>
      </c>
      <c r="BW25" s="22" t="e">
        <f aca="false">AND('Current Index'!B619,"AAAAAFWX/0o=")</f>
        <v>#VALUE!</v>
      </c>
      <c r="BX25" s="22" t="e">
        <f aca="false">AND('Current Index'!C619,"AAAAAFWX/0s=")</f>
        <v>#VALUE!</v>
      </c>
      <c r="BY25" s="22" t="e">
        <f aca="false">AND('Current Index'!D619,"AAAAAFWX/0w=")</f>
        <v>#VALUE!</v>
      </c>
      <c r="BZ25" s="22" t="e">
        <f aca="false">AND('Current Index'!E619,"AAAAAFWX/00=")</f>
        <v>#VALUE!</v>
      </c>
      <c r="CA25" s="22" t="e">
        <f aca="false">AND('Current Index'!F619,"AAAAAFWX/04=")</f>
        <v>#VALUE!</v>
      </c>
      <c r="CB25" s="22" t="e">
        <f aca="false">AND('Current Index'!G619,"AAAAAFWX/08=")</f>
        <v>#VALUE!</v>
      </c>
      <c r="CC25" s="22" t="e">
        <f aca="false">AND('Current Index'!H619,"AAAAAFWX/1A=")</f>
        <v>#VALUE!</v>
      </c>
      <c r="CD25" s="22" t="e">
        <f aca="false">AND('Current Index'!I619,"AAAAAFWX/1E=")</f>
        <v>#VALUE!</v>
      </c>
      <c r="CE25" s="22" t="n">
        <f aca="false">IF('Current Index'!620:620,"AAAAAFWX/1I=",0)</f>
        <v>0</v>
      </c>
      <c r="CF25" s="22" t="e">
        <f aca="false">AND('Current Index'!A620,"AAAAAFWX/1M=")</f>
        <v>#VALUE!</v>
      </c>
      <c r="CG25" s="22" t="e">
        <f aca="false">AND('current index'!#ref!,"AAAAAFWX/1Q=")</f>
        <v>#VALUE!</v>
      </c>
      <c r="CH25" s="22" t="e">
        <f aca="false">AND('Current Index'!B620,"AAAAAFWX/1U=")</f>
        <v>#VALUE!</v>
      </c>
      <c r="CI25" s="22" t="e">
        <f aca="false">AND('Current Index'!C620,"AAAAAFWX/1Y=")</f>
        <v>#VALUE!</v>
      </c>
      <c r="CJ25" s="22" t="e">
        <f aca="false">AND('Current Index'!D620,"AAAAAFWX/1c=")</f>
        <v>#VALUE!</v>
      </c>
      <c r="CK25" s="22" t="e">
        <f aca="false">AND('Current Index'!E620,"AAAAAFWX/1g=")</f>
        <v>#VALUE!</v>
      </c>
      <c r="CL25" s="22" t="e">
        <f aca="false">AND('Current Index'!F620,"AAAAAFWX/1k=")</f>
        <v>#VALUE!</v>
      </c>
      <c r="CM25" s="22" t="e">
        <f aca="false">AND('Current Index'!G620,"AAAAAFWX/1o=")</f>
        <v>#VALUE!</v>
      </c>
      <c r="CN25" s="22" t="e">
        <f aca="false">AND('Current Index'!H620,"AAAAAFWX/1s=")</f>
        <v>#VALUE!</v>
      </c>
      <c r="CO25" s="22" t="e">
        <f aca="false">AND('Current Index'!I620,"AAAAAFWX/1w=")</f>
        <v>#VALUE!</v>
      </c>
      <c r="CP25" s="22" t="n">
        <f aca="false">IF('Current Index'!621:621,"AAAAAFWX/10=",0)</f>
        <v>0</v>
      </c>
      <c r="CQ25" s="22" t="e">
        <f aca="false">AND('Current Index'!A621,"AAAAAFWX/14=")</f>
        <v>#VALUE!</v>
      </c>
      <c r="CR25" s="22" t="e">
        <f aca="false">AND('current index'!#ref!,"AAAAAFWX/18=")</f>
        <v>#VALUE!</v>
      </c>
      <c r="CS25" s="22" t="e">
        <f aca="false">AND('Current Index'!B621,"AAAAAFWX/2A=")</f>
        <v>#VALUE!</v>
      </c>
      <c r="CT25" s="22" t="e">
        <f aca="false">AND('Current Index'!C621,"AAAAAFWX/2E=")</f>
        <v>#VALUE!</v>
      </c>
      <c r="CU25" s="22" t="e">
        <f aca="false">AND('Current Index'!D621,"AAAAAFWX/2I=")</f>
        <v>#VALUE!</v>
      </c>
      <c r="CV25" s="22" t="e">
        <f aca="false">AND('Current Index'!E621,"AAAAAFWX/2M=")</f>
        <v>#VALUE!</v>
      </c>
      <c r="CW25" s="22" t="e">
        <f aca="false">AND('Current Index'!F621,"AAAAAFWX/2Q=")</f>
        <v>#VALUE!</v>
      </c>
      <c r="CX25" s="22" t="e">
        <f aca="false">AND('Current Index'!G621,"AAAAAFWX/2U=")</f>
        <v>#VALUE!</v>
      </c>
      <c r="CY25" s="22" t="e">
        <f aca="false">AND('Current Index'!H621,"AAAAAFWX/2Y=")</f>
        <v>#VALUE!</v>
      </c>
      <c r="CZ25" s="22" t="e">
        <f aca="false">AND('Current Index'!I621,"AAAAAFWX/2c=")</f>
        <v>#VALUE!</v>
      </c>
      <c r="DA25" s="22" t="n">
        <f aca="false">IF('Current Index'!622:622,"AAAAAFWX/2g=",0)</f>
        <v>0</v>
      </c>
      <c r="DB25" s="22" t="e">
        <f aca="false">AND('Current Index'!A622,"AAAAAFWX/2k=")</f>
        <v>#VALUE!</v>
      </c>
      <c r="DC25" s="22" t="e">
        <f aca="false">AND('current index'!#ref!,"AAAAAFWX/2o=")</f>
        <v>#VALUE!</v>
      </c>
      <c r="DD25" s="22" t="e">
        <f aca="false">AND('Current Index'!B622,"AAAAAFWX/2s=")</f>
        <v>#VALUE!</v>
      </c>
      <c r="DE25" s="22" t="e">
        <f aca="false">AND('Current Index'!C622,"AAAAAFWX/2w=")</f>
        <v>#VALUE!</v>
      </c>
      <c r="DF25" s="22" t="e">
        <f aca="false">AND('Current Index'!D622,"AAAAAFWX/20=")</f>
        <v>#VALUE!</v>
      </c>
      <c r="DG25" s="22" t="e">
        <f aca="false">AND('Current Index'!E622,"AAAAAFWX/24=")</f>
        <v>#VALUE!</v>
      </c>
      <c r="DH25" s="22" t="e">
        <f aca="false">AND('Current Index'!F622,"AAAAAFWX/28=")</f>
        <v>#VALUE!</v>
      </c>
      <c r="DI25" s="22" t="e">
        <f aca="false">AND('Current Index'!G622,"AAAAAFWX/3A=")</f>
        <v>#VALUE!</v>
      </c>
      <c r="DJ25" s="22" t="e">
        <f aca="false">AND('Current Index'!H622,"AAAAAFWX/3E=")</f>
        <v>#VALUE!</v>
      </c>
      <c r="DK25" s="22" t="e">
        <f aca="false">AND('Current Index'!I622,"AAAAAFWX/3I=")</f>
        <v>#VALUE!</v>
      </c>
      <c r="DL25" s="22" t="n">
        <f aca="false">IF('Current Index'!623:623,"AAAAAFWX/3M=",0)</f>
        <v>0</v>
      </c>
      <c r="DM25" s="22" t="e">
        <f aca="false">AND('Current Index'!A623,"AAAAAFWX/3Q=")</f>
        <v>#VALUE!</v>
      </c>
      <c r="DN25" s="22" t="e">
        <f aca="false">AND('current index'!#ref!,"AAAAAFWX/3U=")</f>
        <v>#VALUE!</v>
      </c>
      <c r="DO25" s="22" t="e">
        <f aca="false">AND('Current Index'!B623,"AAAAAFWX/3Y=")</f>
        <v>#VALUE!</v>
      </c>
      <c r="DP25" s="22" t="e">
        <f aca="false">AND('Current Index'!C623,"AAAAAFWX/3c=")</f>
        <v>#VALUE!</v>
      </c>
      <c r="DQ25" s="22" t="e">
        <f aca="false">AND('Current Index'!D623,"AAAAAFWX/3g=")</f>
        <v>#VALUE!</v>
      </c>
      <c r="DR25" s="22" t="e">
        <f aca="false">AND('Current Index'!E623,"AAAAAFWX/3k=")</f>
        <v>#VALUE!</v>
      </c>
      <c r="DS25" s="22" t="e">
        <f aca="false">AND('Current Index'!F623,"AAAAAFWX/3o=")</f>
        <v>#VALUE!</v>
      </c>
      <c r="DT25" s="22" t="e">
        <f aca="false">AND('Current Index'!G623,"AAAAAFWX/3s=")</f>
        <v>#VALUE!</v>
      </c>
      <c r="DU25" s="22" t="e">
        <f aca="false">AND('Current Index'!H623,"AAAAAFWX/3w=")</f>
        <v>#VALUE!</v>
      </c>
      <c r="DV25" s="22" t="e">
        <f aca="false">AND('Current Index'!I623,"AAAAAFWX/30=")</f>
        <v>#VALUE!</v>
      </c>
      <c r="DW25" s="22" t="n">
        <f aca="false">IF('Current Index'!625:625,"AAAAAFWX/34=",0)</f>
        <v>0</v>
      </c>
      <c r="DX25" s="22" t="e">
        <f aca="false">AND('Current Index'!A625,"AAAAAFWX/38=")</f>
        <v>#VALUE!</v>
      </c>
      <c r="DY25" s="22" t="e">
        <f aca="false">AND('current index'!#ref!,"AAAAAFWX/4A=")</f>
        <v>#VALUE!</v>
      </c>
      <c r="DZ25" s="22" t="e">
        <f aca="false">AND('Current Index'!B625,"AAAAAFWX/4E=")</f>
        <v>#VALUE!</v>
      </c>
      <c r="EA25" s="22" t="e">
        <f aca="false">AND('Current Index'!C625,"AAAAAFWX/4I=")</f>
        <v>#VALUE!</v>
      </c>
      <c r="EB25" s="22" t="e">
        <f aca="false">AND('Current Index'!D625,"AAAAAFWX/4M=")</f>
        <v>#VALUE!</v>
      </c>
      <c r="EC25" s="22" t="e">
        <f aca="false">AND('Current Index'!E625,"AAAAAFWX/4Q=")</f>
        <v>#VALUE!</v>
      </c>
      <c r="ED25" s="22" t="e">
        <f aca="false">AND('Current Index'!F625,"AAAAAFWX/4U=")</f>
        <v>#VALUE!</v>
      </c>
      <c r="EE25" s="22" t="e">
        <f aca="false">AND('Current Index'!G625,"AAAAAFWX/4Y=")</f>
        <v>#VALUE!</v>
      </c>
      <c r="EF25" s="22" t="e">
        <f aca="false">AND('Current Index'!H625,"AAAAAFWX/4c=")</f>
        <v>#VALUE!</v>
      </c>
      <c r="EG25" s="22" t="e">
        <f aca="false">AND('Current Index'!I625,"AAAAAFWX/4g=")</f>
        <v>#VALUE!</v>
      </c>
      <c r="EH25" s="22" t="n">
        <f aca="false">IF('Current Index'!626:626,"AAAAAFWX/4k=",0)</f>
        <v>0</v>
      </c>
      <c r="EI25" s="22" t="e">
        <f aca="false">AND('Current Index'!A626,"AAAAAFWX/4o=")</f>
        <v>#VALUE!</v>
      </c>
      <c r="EJ25" s="22" t="e">
        <f aca="false">AND('current index'!#ref!,"AAAAAFWX/4s=")</f>
        <v>#VALUE!</v>
      </c>
      <c r="EK25" s="22" t="e">
        <f aca="false">AND('Current Index'!B626,"AAAAAFWX/4w=")</f>
        <v>#VALUE!</v>
      </c>
      <c r="EL25" s="22" t="e">
        <f aca="false">AND('Current Index'!C626,"AAAAAFWX/40=")</f>
        <v>#VALUE!</v>
      </c>
      <c r="EM25" s="22" t="e">
        <f aca="false">AND('Current Index'!D626,"AAAAAFWX/44=")</f>
        <v>#VALUE!</v>
      </c>
      <c r="EN25" s="22" t="e">
        <f aca="false">AND('Current Index'!E626,"AAAAAFWX/48=")</f>
        <v>#VALUE!</v>
      </c>
      <c r="EO25" s="22" t="e">
        <f aca="false">AND('Current Index'!F626,"AAAAAFWX/5A=")</f>
        <v>#VALUE!</v>
      </c>
      <c r="EP25" s="22" t="e">
        <f aca="false">AND('Current Index'!G626,"AAAAAFWX/5E=")</f>
        <v>#VALUE!</v>
      </c>
      <c r="EQ25" s="22" t="e">
        <f aca="false">AND('Current Index'!H626,"AAAAAFWX/5I=")</f>
        <v>#VALUE!</v>
      </c>
      <c r="ER25" s="22" t="e">
        <f aca="false">AND('Current Index'!I626,"AAAAAFWX/5M=")</f>
        <v>#VALUE!</v>
      </c>
      <c r="ES25" s="22" t="n">
        <f aca="false">IF('Current Index'!627:627,"AAAAAFWX/5Q=",0)</f>
        <v>0</v>
      </c>
      <c r="ET25" s="22" t="e">
        <f aca="false">AND('Current Index'!A627,"AAAAAFWX/5U=")</f>
        <v>#VALUE!</v>
      </c>
      <c r="EU25" s="22" t="e">
        <f aca="false">AND('current index'!#ref!,"AAAAAFWX/5Y=")</f>
        <v>#VALUE!</v>
      </c>
      <c r="EV25" s="22" t="e">
        <f aca="false">AND('Current Index'!B627,"AAAAAFWX/5c=")</f>
        <v>#VALUE!</v>
      </c>
      <c r="EW25" s="22" t="e">
        <f aca="false">AND('Current Index'!C627,"AAAAAFWX/5g=")</f>
        <v>#VALUE!</v>
      </c>
      <c r="EX25" s="22" t="e">
        <f aca="false">AND('Current Index'!D627,"AAAAAFWX/5k=")</f>
        <v>#VALUE!</v>
      </c>
      <c r="EY25" s="22" t="e">
        <f aca="false">AND('Current Index'!E627,"AAAAAFWX/5o=")</f>
        <v>#VALUE!</v>
      </c>
      <c r="EZ25" s="22" t="e">
        <f aca="false">AND('Current Index'!F627,"AAAAAFWX/5s=")</f>
        <v>#VALUE!</v>
      </c>
      <c r="FA25" s="22" t="e">
        <f aca="false">AND('Current Index'!G627,"AAAAAFWX/5w=")</f>
        <v>#VALUE!</v>
      </c>
      <c r="FB25" s="22" t="e">
        <f aca="false">AND('Current Index'!H627,"AAAAAFWX/50=")</f>
        <v>#VALUE!</v>
      </c>
      <c r="FC25" s="22" t="e">
        <f aca="false">AND('Current Index'!I627,"AAAAAFWX/54=")</f>
        <v>#VALUE!</v>
      </c>
      <c r="FD25" s="22" t="n">
        <f aca="false">IF('Current Index'!628:628,"AAAAAFWX/58=",0)</f>
        <v>0</v>
      </c>
      <c r="FE25" s="22" t="e">
        <f aca="false">AND('Current Index'!A628,"AAAAAFWX/6A=")</f>
        <v>#VALUE!</v>
      </c>
      <c r="FF25" s="22" t="e">
        <f aca="false">AND('current index'!#ref!,"AAAAAFWX/6E=")</f>
        <v>#VALUE!</v>
      </c>
      <c r="FG25" s="22" t="e">
        <f aca="false">AND('Current Index'!B628,"AAAAAFWX/6I=")</f>
        <v>#VALUE!</v>
      </c>
      <c r="FH25" s="22" t="e">
        <f aca="false">AND('Current Index'!C628,"AAAAAFWX/6M=")</f>
        <v>#VALUE!</v>
      </c>
      <c r="FI25" s="22" t="e">
        <f aca="false">AND('Current Index'!D628,"AAAAAFWX/6Q=")</f>
        <v>#VALUE!</v>
      </c>
      <c r="FJ25" s="22" t="e">
        <f aca="false">AND('Current Index'!E628,"AAAAAFWX/6U=")</f>
        <v>#VALUE!</v>
      </c>
      <c r="FK25" s="22" t="e">
        <f aca="false">AND('Current Index'!F628,"AAAAAFWX/6Y=")</f>
        <v>#VALUE!</v>
      </c>
      <c r="FL25" s="22" t="e">
        <f aca="false">AND('Current Index'!G628,"AAAAAFWX/6c=")</f>
        <v>#VALUE!</v>
      </c>
      <c r="FM25" s="22" t="e">
        <f aca="false">AND('Current Index'!H628,"AAAAAFWX/6g=")</f>
        <v>#VALUE!</v>
      </c>
      <c r="FN25" s="22" t="e">
        <f aca="false">AND('Current Index'!I628,"AAAAAFWX/6k=")</f>
        <v>#VALUE!</v>
      </c>
      <c r="FO25" s="22" t="n">
        <f aca="false">IF('Current Index'!629:629,"AAAAAFWX/6o=",0)</f>
        <v>0</v>
      </c>
      <c r="FP25" s="22" t="e">
        <f aca="false">AND('Current Index'!A629,"AAAAAFWX/6s=")</f>
        <v>#VALUE!</v>
      </c>
      <c r="FQ25" s="22" t="e">
        <f aca="false">AND('current index'!#ref!,"AAAAAFWX/6w=")</f>
        <v>#VALUE!</v>
      </c>
      <c r="FR25" s="22" t="e">
        <f aca="false">AND('Current Index'!B629,"AAAAAFWX/60=")</f>
        <v>#VALUE!</v>
      </c>
      <c r="FS25" s="22" t="e">
        <f aca="false">AND('Current Index'!C629,"AAAAAFWX/64=")</f>
        <v>#VALUE!</v>
      </c>
      <c r="FT25" s="22" t="e">
        <f aca="false">AND('Current Index'!D629,"AAAAAFWX/68=")</f>
        <v>#VALUE!</v>
      </c>
      <c r="FU25" s="22" t="e">
        <f aca="false">AND('Current Index'!E629,"AAAAAFWX/7A=")</f>
        <v>#VALUE!</v>
      </c>
      <c r="FV25" s="22" t="e">
        <f aca="false">AND('Current Index'!F629,"AAAAAFWX/7E=")</f>
        <v>#VALUE!</v>
      </c>
      <c r="FW25" s="22" t="e">
        <f aca="false">AND('Current Index'!G629,"AAAAAFWX/7I=")</f>
        <v>#VALUE!</v>
      </c>
      <c r="FX25" s="22" t="e">
        <f aca="false">AND('Current Index'!H629,"AAAAAFWX/7M=")</f>
        <v>#VALUE!</v>
      </c>
      <c r="FY25" s="22" t="e">
        <f aca="false">AND('Current Index'!I629,"AAAAAFWX/7Q=")</f>
        <v>#VALUE!</v>
      </c>
      <c r="FZ25" s="22" t="n">
        <f aca="false">IF('Current Index'!630:630,"AAAAAFWX/7U=",0)</f>
        <v>0</v>
      </c>
      <c r="GA25" s="22" t="e">
        <f aca="false">AND('Current Index'!A630,"AAAAAFWX/7Y=")</f>
        <v>#VALUE!</v>
      </c>
      <c r="GB25" s="22" t="e">
        <f aca="false">AND('current index'!#ref!,"AAAAAFWX/7c=")</f>
        <v>#VALUE!</v>
      </c>
      <c r="GC25" s="22" t="e">
        <f aca="false">AND('Current Index'!B630,"AAAAAFWX/7g=")</f>
        <v>#VALUE!</v>
      </c>
      <c r="GD25" s="22" t="e">
        <f aca="false">AND('Current Index'!C630,"AAAAAFWX/7k=")</f>
        <v>#VALUE!</v>
      </c>
      <c r="GE25" s="22" t="e">
        <f aca="false">AND('Current Index'!D630,"AAAAAFWX/7o=")</f>
        <v>#VALUE!</v>
      </c>
      <c r="GF25" s="22" t="e">
        <f aca="false">AND('Current Index'!E630,"AAAAAFWX/7s=")</f>
        <v>#VALUE!</v>
      </c>
      <c r="GG25" s="22" t="e">
        <f aca="false">AND('Current Index'!F630,"AAAAAFWX/7w=")</f>
        <v>#VALUE!</v>
      </c>
      <c r="GH25" s="22" t="e">
        <f aca="false">AND('Current Index'!G630,"AAAAAFWX/70=")</f>
        <v>#VALUE!</v>
      </c>
      <c r="GI25" s="22" t="e">
        <f aca="false">AND('Current Index'!H630,"AAAAAFWX/74=")</f>
        <v>#VALUE!</v>
      </c>
      <c r="GJ25" s="22" t="e">
        <f aca="false">AND('Current Index'!I630,"AAAAAFWX/78=")</f>
        <v>#VALUE!</v>
      </c>
      <c r="GK25" s="22" t="n">
        <f aca="false">IF('Current Index'!631:631,"AAAAAFWX/8A=",0)</f>
        <v>0</v>
      </c>
      <c r="GL25" s="22" t="e">
        <f aca="false">AND('Current Index'!A631,"AAAAAFWX/8E=")</f>
        <v>#VALUE!</v>
      </c>
      <c r="GM25" s="22" t="e">
        <f aca="false">AND('current index'!#ref!,"AAAAAFWX/8I=")</f>
        <v>#VALUE!</v>
      </c>
      <c r="GN25" s="22" t="e">
        <f aca="false">AND('Current Index'!B631,"AAAAAFWX/8M=")</f>
        <v>#VALUE!</v>
      </c>
      <c r="GO25" s="22" t="e">
        <f aca="false">AND('Current Index'!C631,"AAAAAFWX/8Q=")</f>
        <v>#VALUE!</v>
      </c>
      <c r="GP25" s="22" t="e">
        <f aca="false">AND('Current Index'!D631,"AAAAAFWX/8U=")</f>
        <v>#VALUE!</v>
      </c>
      <c r="GQ25" s="22" t="e">
        <f aca="false">AND('Current Index'!E631,"AAAAAFWX/8Y=")</f>
        <v>#VALUE!</v>
      </c>
      <c r="GR25" s="22" t="e">
        <f aca="false">AND('Current Index'!F631,"AAAAAFWX/8c=")</f>
        <v>#VALUE!</v>
      </c>
      <c r="GS25" s="22" t="e">
        <f aca="false">AND('Current Index'!G631,"AAAAAFWX/8g=")</f>
        <v>#VALUE!</v>
      </c>
      <c r="GT25" s="22" t="e">
        <f aca="false">AND('Current Index'!H631,"AAAAAFWX/8k=")</f>
        <v>#VALUE!</v>
      </c>
      <c r="GU25" s="22" t="e">
        <f aca="false">AND('Current Index'!I631,"AAAAAFWX/8o=")</f>
        <v>#VALUE!</v>
      </c>
      <c r="GV25" s="22" t="n">
        <f aca="false">IF('Current Index'!633:633,"AAAAAFWX/8s=",0)</f>
        <v>0</v>
      </c>
      <c r="GW25" s="22" t="e">
        <f aca="false">AND('Current Index'!A633,"AAAAAFWX/8w=")</f>
        <v>#VALUE!</v>
      </c>
      <c r="GX25" s="22" t="e">
        <f aca="false">AND('current index'!#ref!,"AAAAAFWX/80=")</f>
        <v>#VALUE!</v>
      </c>
      <c r="GY25" s="22" t="e">
        <f aca="false">AND('Current Index'!B633,"AAAAAFWX/84=")</f>
        <v>#VALUE!</v>
      </c>
      <c r="GZ25" s="22" t="e">
        <f aca="false">AND('Current Index'!C633,"AAAAAFWX/88=")</f>
        <v>#VALUE!</v>
      </c>
      <c r="HA25" s="22" t="e">
        <f aca="false">AND('Current Index'!D633,"AAAAAFWX/9A=")</f>
        <v>#VALUE!</v>
      </c>
      <c r="HB25" s="22" t="e">
        <f aca="false">AND('Current Index'!E633,"AAAAAFWX/9E=")</f>
        <v>#VALUE!</v>
      </c>
      <c r="HC25" s="22" t="e">
        <f aca="false">AND('Current Index'!F633,"AAAAAFWX/9I=")</f>
        <v>#VALUE!</v>
      </c>
      <c r="HD25" s="22" t="e">
        <f aca="false">AND('Current Index'!G633,"AAAAAFWX/9M=")</f>
        <v>#VALUE!</v>
      </c>
      <c r="HE25" s="22" t="e">
        <f aca="false">AND('Current Index'!H633,"AAAAAFWX/9Q=")</f>
        <v>#VALUE!</v>
      </c>
      <c r="HF25" s="22" t="e">
        <f aca="false">AND('Current Index'!I633,"AAAAAFWX/9U=")</f>
        <v>#VALUE!</v>
      </c>
      <c r="HG25" s="22" t="n">
        <f aca="false">IF('Current Index'!634:634,"AAAAAFWX/9Y=",0)</f>
        <v>0</v>
      </c>
      <c r="HH25" s="22" t="e">
        <f aca="false">AND('Current Index'!A634,"AAAAAFWX/9c=")</f>
        <v>#VALUE!</v>
      </c>
      <c r="HI25" s="22" t="e">
        <f aca="false">AND('current index'!#ref!,"AAAAAFWX/9g=")</f>
        <v>#VALUE!</v>
      </c>
      <c r="HJ25" s="22" t="e">
        <f aca="false">AND('Current Index'!B634,"AAAAAFWX/9k=")</f>
        <v>#VALUE!</v>
      </c>
      <c r="HK25" s="22" t="e">
        <f aca="false">AND('Current Index'!C634,"AAAAAFWX/9o=")</f>
        <v>#VALUE!</v>
      </c>
      <c r="HL25" s="22" t="e">
        <f aca="false">AND('Current Index'!D634,"AAAAAFWX/9s=")</f>
        <v>#VALUE!</v>
      </c>
      <c r="HM25" s="22" t="e">
        <f aca="false">AND('Current Index'!E634,"AAAAAFWX/9w=")</f>
        <v>#VALUE!</v>
      </c>
      <c r="HN25" s="22" t="e">
        <f aca="false">AND('Current Index'!F634,"AAAAAFWX/90=")</f>
        <v>#VALUE!</v>
      </c>
      <c r="HO25" s="22" t="e">
        <f aca="false">AND('Current Index'!G634,"AAAAAFWX/94=")</f>
        <v>#VALUE!</v>
      </c>
      <c r="HP25" s="22" t="e">
        <f aca="false">AND('Current Index'!H634,"AAAAAFWX/98=")</f>
        <v>#VALUE!</v>
      </c>
      <c r="HQ25" s="22" t="e">
        <f aca="false">AND('Current Index'!I634,"AAAAAFWX/+A=")</f>
        <v>#VALUE!</v>
      </c>
      <c r="HR25" s="22" t="n">
        <f aca="false">IF('Current Index'!635:635,"AAAAAFWX/+E=",0)</f>
        <v>0</v>
      </c>
      <c r="HS25" s="22" t="e">
        <f aca="false">AND('Current Index'!A635,"AAAAAFWX/+I=")</f>
        <v>#VALUE!</v>
      </c>
      <c r="HT25" s="22" t="e">
        <f aca="false">AND('current index'!#ref!,"AAAAAFWX/+M=")</f>
        <v>#VALUE!</v>
      </c>
      <c r="HU25" s="22" t="e">
        <f aca="false">AND('Current Index'!B635,"AAAAAFWX/+Q=")</f>
        <v>#VALUE!</v>
      </c>
      <c r="HV25" s="22" t="e">
        <f aca="false">AND('Current Index'!C635,"AAAAAFWX/+U=")</f>
        <v>#VALUE!</v>
      </c>
      <c r="HW25" s="22" t="e">
        <f aca="false">AND('Current Index'!D635,"AAAAAFWX/+Y=")</f>
        <v>#VALUE!</v>
      </c>
      <c r="HX25" s="22" t="e">
        <f aca="false">AND('Current Index'!E635,"AAAAAFWX/+c=")</f>
        <v>#VALUE!</v>
      </c>
      <c r="HY25" s="22" t="e">
        <f aca="false">AND('Current Index'!F635,"AAAAAFWX/+g=")</f>
        <v>#VALUE!</v>
      </c>
      <c r="HZ25" s="22" t="e">
        <f aca="false">AND('Current Index'!G635,"AAAAAFWX/+k=")</f>
        <v>#VALUE!</v>
      </c>
      <c r="IA25" s="22" t="e">
        <f aca="false">AND('Current Index'!H635,"AAAAAFWX/+o=")</f>
        <v>#VALUE!</v>
      </c>
      <c r="IB25" s="22" t="e">
        <f aca="false">AND('Current Index'!I635,"AAAAAFWX/+s=")</f>
        <v>#VALUE!</v>
      </c>
      <c r="IC25" s="22" t="e">
        <f aca="false">IF('current index'!#ref!,"AAAAAFWX/+w=",0)</f>
        <v>#VALUE!</v>
      </c>
      <c r="ID25" s="22" t="e">
        <f aca="false">AND('current index'!#ref!,"AAAAAFWX/+0=")</f>
        <v>#VALUE!</v>
      </c>
      <c r="IE25" s="22" t="e">
        <f aca="false">AND('current index'!#ref!,"AAAAAFWX/+4=")</f>
        <v>#VALUE!</v>
      </c>
      <c r="IF25" s="22" t="e">
        <f aca="false">AND('current index'!#ref!,"AAAAAFWX/+8=")</f>
        <v>#VALUE!</v>
      </c>
      <c r="IG25" s="22" t="e">
        <f aca="false">AND('current index'!#ref!,"AAAAAFWX//A=")</f>
        <v>#VALUE!</v>
      </c>
      <c r="IH25" s="22" t="e">
        <f aca="false">AND('current index'!#ref!,"AAAAAFWX//E=")</f>
        <v>#VALUE!</v>
      </c>
      <c r="II25" s="22" t="e">
        <f aca="false">AND('current index'!#ref!,"AAAAAFWX//I=")</f>
        <v>#VALUE!</v>
      </c>
      <c r="IJ25" s="22" t="e">
        <f aca="false">AND('current index'!#ref!,"AAAAAFWX//M=")</f>
        <v>#VALUE!</v>
      </c>
      <c r="IK25" s="22" t="e">
        <f aca="false">AND('current index'!#ref!,"AAAAAFWX//Q=")</f>
        <v>#VALUE!</v>
      </c>
      <c r="IL25" s="22" t="e">
        <f aca="false">AND('current index'!#ref!,"AAAAAFWX//U=")</f>
        <v>#VALUE!</v>
      </c>
      <c r="IM25" s="22" t="e">
        <f aca="false">AND('current index'!#ref!,"AAAAAFWX//Y=")</f>
        <v>#VALUE!</v>
      </c>
      <c r="IN25" s="22" t="n">
        <f aca="false">IF('Current Index'!636:636,"AAAAAFWX//c=",0)</f>
        <v>0</v>
      </c>
      <c r="IO25" s="22" t="e">
        <f aca="false">AND('Current Index'!A636,"AAAAAFWX//g=")</f>
        <v>#VALUE!</v>
      </c>
      <c r="IP25" s="22" t="e">
        <f aca="false">AND('current index'!#ref!,"AAAAAFWX//k=")</f>
        <v>#VALUE!</v>
      </c>
      <c r="IQ25" s="22" t="e">
        <f aca="false">AND('Current Index'!B636,"AAAAAFWX//o=")</f>
        <v>#VALUE!</v>
      </c>
      <c r="IR25" s="22" t="e">
        <f aca="false">AND('Current Index'!C636,"AAAAAFWX//s=")</f>
        <v>#VALUE!</v>
      </c>
      <c r="IS25" s="22" t="e">
        <f aca="false">AND('Current Index'!D636,"AAAAAFWX//w=")</f>
        <v>#VALUE!</v>
      </c>
      <c r="IT25" s="22" t="e">
        <f aca="false">AND('Current Index'!E636,"AAAAAFWX//0=")</f>
        <v>#VALUE!</v>
      </c>
      <c r="IU25" s="22" t="e">
        <f aca="false">AND('Current Index'!F636,"AAAAAFWX//4=")</f>
        <v>#VALUE!</v>
      </c>
      <c r="IV25" s="22" t="e">
        <f aca="false">AND('Current Index'!G636,"AAAAAFWX//8=")</f>
        <v>#VALUE!</v>
      </c>
    </row>
    <row r="26" customFormat="false" ht="12.75" hidden="false" customHeight="false" outlineLevel="0" collapsed="false">
      <c r="A26" s="22" t="e">
        <f aca="false">AND('Current Index'!H636,"AAAAAF+fvwA=")</f>
        <v>#VALUE!</v>
      </c>
      <c r="B26" s="22" t="e">
        <f aca="false">AND('Current Index'!I636,"AAAAAF+fvwE=")</f>
        <v>#VALUE!</v>
      </c>
      <c r="C26" s="22" t="e">
        <f aca="false">IF('Current Index'!637:637,"AAAAAF+fvwI=",0)</f>
        <v>#VALUE!</v>
      </c>
      <c r="D26" s="22" t="e">
        <f aca="false">AND('Current Index'!A637,"AAAAAF+fvwM=")</f>
        <v>#VALUE!</v>
      </c>
      <c r="E26" s="22" t="e">
        <f aca="false">AND('current index'!#ref!,"AAAAAF+fvwQ=")</f>
        <v>#VALUE!</v>
      </c>
      <c r="F26" s="22" t="e">
        <f aca="false">AND('Current Index'!B637,"AAAAAF+fvwU=")</f>
        <v>#VALUE!</v>
      </c>
      <c r="G26" s="22" t="e">
        <f aca="false">AND('Current Index'!C637,"AAAAAF+fvwY=")</f>
        <v>#VALUE!</v>
      </c>
      <c r="H26" s="22" t="e">
        <f aca="false">AND('Current Index'!D637,"AAAAAF+fvwc=")</f>
        <v>#VALUE!</v>
      </c>
      <c r="I26" s="22" t="e">
        <f aca="false">AND('Current Index'!E637,"AAAAAF+fvwg=")</f>
        <v>#VALUE!</v>
      </c>
      <c r="J26" s="22" t="e">
        <f aca="false">AND('Current Index'!F637,"AAAAAF+fvwk=")</f>
        <v>#VALUE!</v>
      </c>
      <c r="K26" s="22" t="e">
        <f aca="false">AND('Current Index'!G637,"AAAAAF+fvwo=")</f>
        <v>#VALUE!</v>
      </c>
      <c r="L26" s="22" t="e">
        <f aca="false">AND('Current Index'!H637,"AAAAAF+fvws=")</f>
        <v>#VALUE!</v>
      </c>
      <c r="M26" s="22" t="e">
        <f aca="false">AND('Current Index'!I637,"AAAAAF+fvww=")</f>
        <v>#VALUE!</v>
      </c>
      <c r="N26" s="22" t="n">
        <f aca="false">IF('Current Index'!638:638,"AAAAAF+fvw0=",0)</f>
        <v>0</v>
      </c>
      <c r="O26" s="22" t="e">
        <f aca="false">AND('Current Index'!A638,"AAAAAF+fvw4=")</f>
        <v>#VALUE!</v>
      </c>
      <c r="P26" s="22" t="e">
        <f aca="false">AND('current index'!#ref!,"AAAAAF+fvw8=")</f>
        <v>#VALUE!</v>
      </c>
      <c r="Q26" s="22" t="e">
        <f aca="false">AND('Current Index'!B638,"AAAAAF+fvxA=")</f>
        <v>#VALUE!</v>
      </c>
      <c r="R26" s="22" t="e">
        <f aca="false">AND('Current Index'!C638,"AAAAAF+fvxE=")</f>
        <v>#VALUE!</v>
      </c>
      <c r="S26" s="22" t="e">
        <f aca="false">AND('Current Index'!D638,"AAAAAF+fvxI=")</f>
        <v>#VALUE!</v>
      </c>
      <c r="T26" s="22" t="e">
        <f aca="false">AND('Current Index'!E638,"AAAAAF+fvxM=")</f>
        <v>#VALUE!</v>
      </c>
      <c r="U26" s="22" t="e">
        <f aca="false">AND('Current Index'!F638,"AAAAAF+fvxQ=")</f>
        <v>#VALUE!</v>
      </c>
      <c r="V26" s="22" t="e">
        <f aca="false">AND('Current Index'!G638,"AAAAAF+fvxU=")</f>
        <v>#VALUE!</v>
      </c>
      <c r="W26" s="22" t="e">
        <f aca="false">AND('Current Index'!H638,"AAAAAF+fvxY=")</f>
        <v>#VALUE!</v>
      </c>
      <c r="X26" s="22" t="e">
        <f aca="false">AND('Current Index'!I638,"AAAAAF+fvxc=")</f>
        <v>#VALUE!</v>
      </c>
      <c r="Y26" s="22" t="n">
        <f aca="false">IF('Current Index'!639:639,"AAAAAF+fvxg=",0)</f>
        <v>0</v>
      </c>
      <c r="Z26" s="22" t="e">
        <f aca="false">AND('Current Index'!A639,"AAAAAF+fvxk=")</f>
        <v>#VALUE!</v>
      </c>
      <c r="AA26" s="22" t="e">
        <f aca="false">AND('current index'!#ref!,"AAAAAF+fvxo=")</f>
        <v>#VALUE!</v>
      </c>
      <c r="AB26" s="22" t="e">
        <f aca="false">AND('Current Index'!B639,"AAAAAF+fvxs=")</f>
        <v>#VALUE!</v>
      </c>
      <c r="AC26" s="22" t="e">
        <f aca="false">AND('Current Index'!C639,"AAAAAF+fvxw=")</f>
        <v>#VALUE!</v>
      </c>
      <c r="AD26" s="22" t="e">
        <f aca="false">AND('Current Index'!D639,"AAAAAF+fvx0=")</f>
        <v>#VALUE!</v>
      </c>
      <c r="AE26" s="22" t="e">
        <f aca="false">AND('Current Index'!E639,"AAAAAF+fvx4=")</f>
        <v>#VALUE!</v>
      </c>
      <c r="AF26" s="22" t="e">
        <f aca="false">AND('Current Index'!F639,"AAAAAF+fvx8=")</f>
        <v>#VALUE!</v>
      </c>
      <c r="AG26" s="22" t="e">
        <f aca="false">AND('Current Index'!G639,"AAAAAF+fvyA=")</f>
        <v>#VALUE!</v>
      </c>
      <c r="AH26" s="22" t="e">
        <f aca="false">AND('Current Index'!H639,"AAAAAF+fvyE=")</f>
        <v>#VALUE!</v>
      </c>
      <c r="AI26" s="22" t="e">
        <f aca="false">AND('Current Index'!I639,"AAAAAF+fvyI=")</f>
        <v>#VALUE!</v>
      </c>
      <c r="AJ26" s="22" t="n">
        <f aca="false">IF('Current Index'!640:640,"AAAAAF+fvyM=",0)</f>
        <v>0</v>
      </c>
      <c r="AK26" s="22" t="e">
        <f aca="false">AND('Current Index'!A640,"AAAAAF+fvyQ=")</f>
        <v>#VALUE!</v>
      </c>
      <c r="AL26" s="22" t="e">
        <f aca="false">AND('current index'!#ref!,"AAAAAF+fvyU=")</f>
        <v>#VALUE!</v>
      </c>
      <c r="AM26" s="22" t="e">
        <f aca="false">AND('Current Index'!B640,"AAAAAF+fvyY=")</f>
        <v>#VALUE!</v>
      </c>
      <c r="AN26" s="22" t="e">
        <f aca="false">AND('Current Index'!C640,"AAAAAF+fvyc=")</f>
        <v>#VALUE!</v>
      </c>
      <c r="AO26" s="22" t="e">
        <f aca="false">AND('Current Index'!D640,"AAAAAF+fvyg=")</f>
        <v>#VALUE!</v>
      </c>
      <c r="AP26" s="22" t="e">
        <f aca="false">AND('Current Index'!E640,"AAAAAF+fvyk=")</f>
        <v>#VALUE!</v>
      </c>
      <c r="AQ26" s="22" t="e">
        <f aca="false">AND('Current Index'!F640,"AAAAAF+fvyo=")</f>
        <v>#VALUE!</v>
      </c>
      <c r="AR26" s="22" t="e">
        <f aca="false">AND('Current Index'!G640,"AAAAAF+fvys=")</f>
        <v>#VALUE!</v>
      </c>
      <c r="AS26" s="22" t="e">
        <f aca="false">AND('Current Index'!H640,"AAAAAF+fvyw=")</f>
        <v>#VALUE!</v>
      </c>
      <c r="AT26" s="22" t="e">
        <f aca="false">AND('Current Index'!I640,"AAAAAF+fvy0=")</f>
        <v>#VALUE!</v>
      </c>
      <c r="AU26" s="22" t="n">
        <f aca="false">IF('Current Index'!641:641,"AAAAAF+fvy4=",0)</f>
        <v>0</v>
      </c>
      <c r="AV26" s="22" t="e">
        <f aca="false">AND('Current Index'!A641,"AAAAAF+fvy8=")</f>
        <v>#VALUE!</v>
      </c>
      <c r="AW26" s="22" t="e">
        <f aca="false">AND('current index'!#ref!,"AAAAAF+fvzA=")</f>
        <v>#VALUE!</v>
      </c>
      <c r="AX26" s="22" t="e">
        <f aca="false">AND('Current Index'!B641,"AAAAAF+fvzE=")</f>
        <v>#VALUE!</v>
      </c>
      <c r="AY26" s="22" t="e">
        <f aca="false">AND('Current Index'!C641,"AAAAAF+fvzI=")</f>
        <v>#VALUE!</v>
      </c>
      <c r="AZ26" s="22" t="e">
        <f aca="false">AND('Current Index'!D641,"AAAAAF+fvzM=")</f>
        <v>#VALUE!</v>
      </c>
      <c r="BA26" s="22" t="e">
        <f aca="false">AND('Current Index'!E641,"AAAAAF+fvzQ=")</f>
        <v>#VALUE!</v>
      </c>
      <c r="BB26" s="22" t="e">
        <f aca="false">AND('Current Index'!F641,"AAAAAF+fvzU=")</f>
        <v>#VALUE!</v>
      </c>
      <c r="BC26" s="22" t="e">
        <f aca="false">AND('Current Index'!G641,"AAAAAF+fvzY=")</f>
        <v>#VALUE!</v>
      </c>
      <c r="BD26" s="22" t="e">
        <f aca="false">AND('Current Index'!H641,"AAAAAF+fvzc=")</f>
        <v>#VALUE!</v>
      </c>
      <c r="BE26" s="22" t="e">
        <f aca="false">AND('Current Index'!I641,"AAAAAF+fvzg=")</f>
        <v>#VALUE!</v>
      </c>
      <c r="BF26" s="22" t="n">
        <f aca="false">IF('Current Index'!642:642,"AAAAAF+fvzk=",0)</f>
        <v>0</v>
      </c>
      <c r="BG26" s="22" t="e">
        <f aca="false">AND('Current Index'!A642,"AAAAAF+fvzo=")</f>
        <v>#VALUE!</v>
      </c>
      <c r="BH26" s="22" t="e">
        <f aca="false">AND('current index'!#ref!,"AAAAAF+fvzs=")</f>
        <v>#VALUE!</v>
      </c>
      <c r="BI26" s="22" t="e">
        <f aca="false">AND('Current Index'!B642,"AAAAAF+fvzw=")</f>
        <v>#VALUE!</v>
      </c>
      <c r="BJ26" s="22" t="e">
        <f aca="false">AND('Current Index'!C642,"AAAAAF+fvz0=")</f>
        <v>#VALUE!</v>
      </c>
      <c r="BK26" s="22" t="e">
        <f aca="false">AND('Current Index'!D642,"AAAAAF+fvz4=")</f>
        <v>#VALUE!</v>
      </c>
      <c r="BL26" s="22" t="e">
        <f aca="false">AND('Current Index'!E642,"AAAAAF+fvz8=")</f>
        <v>#VALUE!</v>
      </c>
      <c r="BM26" s="22" t="e">
        <f aca="false">AND('Current Index'!F642,"AAAAAF+fv0A=")</f>
        <v>#VALUE!</v>
      </c>
      <c r="BN26" s="22" t="e">
        <f aca="false">AND('Current Index'!G642,"AAAAAF+fv0E=")</f>
        <v>#VALUE!</v>
      </c>
      <c r="BO26" s="22" t="e">
        <f aca="false">AND('Current Index'!H642,"AAAAAF+fv0I=")</f>
        <v>#VALUE!</v>
      </c>
      <c r="BP26" s="22" t="e">
        <f aca="false">AND('Current Index'!I642,"AAAAAF+fv0M=")</f>
        <v>#VALUE!</v>
      </c>
      <c r="BQ26" s="22" t="n">
        <f aca="false">IF('Current Index'!643:643,"AAAAAF+fv0Q=",0)</f>
        <v>0</v>
      </c>
      <c r="BR26" s="22" t="e">
        <f aca="false">AND('Current Index'!A643,"AAAAAF+fv0U=")</f>
        <v>#VALUE!</v>
      </c>
      <c r="BS26" s="22" t="e">
        <f aca="false">AND('current index'!#ref!,"AAAAAF+fv0Y=")</f>
        <v>#VALUE!</v>
      </c>
      <c r="BT26" s="22" t="e">
        <f aca="false">AND('Current Index'!B643,"AAAAAF+fv0c=")</f>
        <v>#VALUE!</v>
      </c>
      <c r="BU26" s="22" t="e">
        <f aca="false">AND('Current Index'!C643,"AAAAAF+fv0g=")</f>
        <v>#VALUE!</v>
      </c>
      <c r="BV26" s="22" t="e">
        <f aca="false">AND('Current Index'!D643,"AAAAAF+fv0k=")</f>
        <v>#VALUE!</v>
      </c>
      <c r="BW26" s="22" t="e">
        <f aca="false">AND('Current Index'!E643,"AAAAAF+fv0o=")</f>
        <v>#VALUE!</v>
      </c>
      <c r="BX26" s="22" t="e">
        <f aca="false">AND('Current Index'!F643,"AAAAAF+fv0s=")</f>
        <v>#VALUE!</v>
      </c>
      <c r="BY26" s="22" t="e">
        <f aca="false">AND('Current Index'!G643,"AAAAAF+fv0w=")</f>
        <v>#VALUE!</v>
      </c>
      <c r="BZ26" s="22" t="e">
        <f aca="false">AND('Current Index'!H643,"AAAAAF+fv00=")</f>
        <v>#VALUE!</v>
      </c>
      <c r="CA26" s="22" t="e">
        <f aca="false">AND('Current Index'!I643,"AAAAAF+fv04=")</f>
        <v>#VALUE!</v>
      </c>
      <c r="CB26" s="22" t="n">
        <f aca="false">IF('Current Index'!645:645,"AAAAAF+fv08=",0)</f>
        <v>0</v>
      </c>
      <c r="CC26" s="22" t="e">
        <f aca="false">AND('Current Index'!A645,"AAAAAF+fv1A=")</f>
        <v>#VALUE!</v>
      </c>
      <c r="CD26" s="22" t="e">
        <f aca="false">AND('current index'!#ref!,"AAAAAF+fv1E=")</f>
        <v>#VALUE!</v>
      </c>
      <c r="CE26" s="22" t="e">
        <f aca="false">AND('Current Index'!B645,"AAAAAF+fv1I=")</f>
        <v>#VALUE!</v>
      </c>
      <c r="CF26" s="22" t="e">
        <f aca="false">AND('Current Index'!C645,"AAAAAF+fv1M=")</f>
        <v>#VALUE!</v>
      </c>
      <c r="CG26" s="22" t="e">
        <f aca="false">AND('Current Index'!D645,"AAAAAF+fv1Q=")</f>
        <v>#VALUE!</v>
      </c>
      <c r="CH26" s="22" t="e">
        <f aca="false">AND('Current Index'!E645,"AAAAAF+fv1U=")</f>
        <v>#VALUE!</v>
      </c>
      <c r="CI26" s="22" t="e">
        <f aca="false">AND('Current Index'!F645,"AAAAAF+fv1Y=")</f>
        <v>#VALUE!</v>
      </c>
      <c r="CJ26" s="22" t="e">
        <f aca="false">AND('Current Index'!G645,"AAAAAF+fv1c=")</f>
        <v>#VALUE!</v>
      </c>
      <c r="CK26" s="22" t="e">
        <f aca="false">AND('Current Index'!H645,"AAAAAF+fv1g=")</f>
        <v>#VALUE!</v>
      </c>
      <c r="CL26" s="22" t="e">
        <f aca="false">AND('Current Index'!I645,"AAAAAF+fv1k=")</f>
        <v>#VALUE!</v>
      </c>
      <c r="CM26" s="22" t="n">
        <f aca="false">IF('Current Index'!646:646,"AAAAAF+fv1o=",0)</f>
        <v>0</v>
      </c>
      <c r="CN26" s="22" t="e">
        <f aca="false">AND('Current Index'!A646,"AAAAAF+fv1s=")</f>
        <v>#VALUE!</v>
      </c>
      <c r="CO26" s="22" t="e">
        <f aca="false">AND('current index'!#ref!,"AAAAAF+fv1w=")</f>
        <v>#VALUE!</v>
      </c>
      <c r="CP26" s="22" t="e">
        <f aca="false">AND('Current Index'!B646,"AAAAAF+fv10=")</f>
        <v>#VALUE!</v>
      </c>
      <c r="CQ26" s="22" t="e">
        <f aca="false">AND('Current Index'!C646,"AAAAAF+fv14=")</f>
        <v>#VALUE!</v>
      </c>
      <c r="CR26" s="22" t="e">
        <f aca="false">AND('Current Index'!D646,"AAAAAF+fv18=")</f>
        <v>#VALUE!</v>
      </c>
      <c r="CS26" s="22" t="e">
        <f aca="false">AND('Current Index'!E646,"AAAAAF+fv2A=")</f>
        <v>#VALUE!</v>
      </c>
      <c r="CT26" s="22" t="e">
        <f aca="false">AND('Current Index'!F646,"AAAAAF+fv2E=")</f>
        <v>#VALUE!</v>
      </c>
      <c r="CU26" s="22" t="e">
        <f aca="false">AND('Current Index'!G646,"AAAAAF+fv2I=")</f>
        <v>#VALUE!</v>
      </c>
      <c r="CV26" s="22" t="e">
        <f aca="false">AND('Current Index'!H646,"AAAAAF+fv2M=")</f>
        <v>#VALUE!</v>
      </c>
      <c r="CW26" s="22" t="e">
        <f aca="false">AND('Current Index'!I646,"AAAAAF+fv2Q=")</f>
        <v>#VALUE!</v>
      </c>
      <c r="CX26" s="22" t="n">
        <f aca="false">IF('Current Index'!647:647,"AAAAAF+fv2U=",0)</f>
        <v>0</v>
      </c>
      <c r="CY26" s="22" t="e">
        <f aca="false">AND('Current Index'!A647,"AAAAAF+fv2Y=")</f>
        <v>#VALUE!</v>
      </c>
      <c r="CZ26" s="22" t="e">
        <f aca="false">AND('current index'!#ref!,"AAAAAF+fv2c=")</f>
        <v>#VALUE!</v>
      </c>
      <c r="DA26" s="22" t="e">
        <f aca="false">AND('Current Index'!B647,"AAAAAF+fv2g=")</f>
        <v>#VALUE!</v>
      </c>
      <c r="DB26" s="22" t="e">
        <f aca="false">AND('Current Index'!C647,"AAAAAF+fv2k=")</f>
        <v>#VALUE!</v>
      </c>
      <c r="DC26" s="22" t="e">
        <f aca="false">AND('Current Index'!D647,"AAAAAF+fv2o=")</f>
        <v>#VALUE!</v>
      </c>
      <c r="DD26" s="22" t="e">
        <f aca="false">AND('Current Index'!E647,"AAAAAF+fv2s=")</f>
        <v>#VALUE!</v>
      </c>
      <c r="DE26" s="22" t="e">
        <f aca="false">AND('Current Index'!F647,"AAAAAF+fv2w=")</f>
        <v>#VALUE!</v>
      </c>
      <c r="DF26" s="22" t="e">
        <f aca="false">AND('Current Index'!G647,"AAAAAF+fv20=")</f>
        <v>#VALUE!</v>
      </c>
      <c r="DG26" s="22" t="e">
        <f aca="false">AND('Current Index'!H647,"AAAAAF+fv24=")</f>
        <v>#VALUE!</v>
      </c>
      <c r="DH26" s="22" t="e">
        <f aca="false">AND('Current Index'!I647,"AAAAAF+fv28=")</f>
        <v>#VALUE!</v>
      </c>
      <c r="DI26" s="22" t="n">
        <f aca="false">IF('Current Index'!648:648,"AAAAAF+fv3A=",0)</f>
        <v>0</v>
      </c>
      <c r="DJ26" s="22" t="e">
        <f aca="false">AND('Current Index'!A648,"AAAAAF+fv3E=")</f>
        <v>#VALUE!</v>
      </c>
      <c r="DK26" s="22" t="e">
        <f aca="false">AND('current index'!#ref!,"AAAAAF+fv3I=")</f>
        <v>#VALUE!</v>
      </c>
      <c r="DL26" s="22" t="e">
        <f aca="false">AND('Current Index'!B648,"AAAAAF+fv3M=")</f>
        <v>#VALUE!</v>
      </c>
      <c r="DM26" s="22" t="e">
        <f aca="false">AND('Current Index'!C648,"AAAAAF+fv3Q=")</f>
        <v>#VALUE!</v>
      </c>
      <c r="DN26" s="22" t="e">
        <f aca="false">AND('Current Index'!D648,"AAAAAF+fv3U=")</f>
        <v>#VALUE!</v>
      </c>
      <c r="DO26" s="22" t="e">
        <f aca="false">AND('Current Index'!E648,"AAAAAF+fv3Y=")</f>
        <v>#VALUE!</v>
      </c>
      <c r="DP26" s="22" t="e">
        <f aca="false">AND('Current Index'!F648,"AAAAAF+fv3c=")</f>
        <v>#VALUE!</v>
      </c>
      <c r="DQ26" s="22" t="e">
        <f aca="false">AND('Current Index'!G648,"AAAAAF+fv3g=")</f>
        <v>#VALUE!</v>
      </c>
      <c r="DR26" s="22" t="e">
        <f aca="false">AND('Current Index'!H648,"AAAAAF+fv3k=")</f>
        <v>#VALUE!</v>
      </c>
      <c r="DS26" s="22" t="e">
        <f aca="false">AND('Current Index'!I648,"AAAAAF+fv3o=")</f>
        <v>#VALUE!</v>
      </c>
      <c r="DT26" s="22" t="n">
        <f aca="false">IF('Current Index'!649:649,"AAAAAF+fv3s=",0)</f>
        <v>0</v>
      </c>
      <c r="DU26" s="22" t="e">
        <f aca="false">AND('Current Index'!A649,"AAAAAF+fv3w=")</f>
        <v>#VALUE!</v>
      </c>
      <c r="DV26" s="22" t="e">
        <f aca="false">AND('current index'!#ref!,"AAAAAF+fv30=")</f>
        <v>#VALUE!</v>
      </c>
      <c r="DW26" s="22" t="e">
        <f aca="false">AND('Current Index'!B649,"AAAAAF+fv34=")</f>
        <v>#VALUE!</v>
      </c>
      <c r="DX26" s="22" t="e">
        <f aca="false">AND('Current Index'!C649,"AAAAAF+fv38=")</f>
        <v>#VALUE!</v>
      </c>
      <c r="DY26" s="22" t="e">
        <f aca="false">AND('Current Index'!D649,"AAAAAF+fv4A=")</f>
        <v>#VALUE!</v>
      </c>
      <c r="DZ26" s="22" t="e">
        <f aca="false">AND('Current Index'!E649,"AAAAAF+fv4E=")</f>
        <v>#VALUE!</v>
      </c>
      <c r="EA26" s="22" t="e">
        <f aca="false">AND('Current Index'!F649,"AAAAAF+fv4I=")</f>
        <v>#VALUE!</v>
      </c>
      <c r="EB26" s="22" t="e">
        <f aca="false">AND('Current Index'!G649,"AAAAAF+fv4M=")</f>
        <v>#VALUE!</v>
      </c>
      <c r="EC26" s="22" t="e">
        <f aca="false">AND('Current Index'!H649,"AAAAAF+fv4Q=")</f>
        <v>#VALUE!</v>
      </c>
      <c r="ED26" s="22" t="e">
        <f aca="false">AND('Current Index'!I649,"AAAAAF+fv4U=")</f>
        <v>#VALUE!</v>
      </c>
      <c r="EE26" s="22" t="n">
        <f aca="false">IF('Current Index'!650:650,"AAAAAF+fv4Y=",0)</f>
        <v>0</v>
      </c>
      <c r="EF26" s="22" t="e">
        <f aca="false">AND('Current Index'!A650,"AAAAAF+fv4c=")</f>
        <v>#VALUE!</v>
      </c>
      <c r="EG26" s="22" t="e">
        <f aca="false">AND('current index'!#ref!,"AAAAAF+fv4g=")</f>
        <v>#VALUE!</v>
      </c>
      <c r="EH26" s="22" t="e">
        <f aca="false">AND('Current Index'!B650,"AAAAAF+fv4k=")</f>
        <v>#VALUE!</v>
      </c>
      <c r="EI26" s="22" t="e">
        <f aca="false">AND('Current Index'!C650,"AAAAAF+fv4o=")</f>
        <v>#VALUE!</v>
      </c>
      <c r="EJ26" s="22" t="e">
        <f aca="false">AND('Current Index'!D650,"AAAAAF+fv4s=")</f>
        <v>#VALUE!</v>
      </c>
      <c r="EK26" s="22" t="e">
        <f aca="false">AND('Current Index'!E650,"AAAAAF+fv4w=")</f>
        <v>#VALUE!</v>
      </c>
      <c r="EL26" s="22" t="e">
        <f aca="false">AND('Current Index'!F650,"AAAAAF+fv40=")</f>
        <v>#VALUE!</v>
      </c>
      <c r="EM26" s="22" t="e">
        <f aca="false">AND('Current Index'!G650,"AAAAAF+fv44=")</f>
        <v>#VALUE!</v>
      </c>
      <c r="EN26" s="22" t="e">
        <f aca="false">AND('Current Index'!H650,"AAAAAF+fv48=")</f>
        <v>#VALUE!</v>
      </c>
      <c r="EO26" s="22" t="e">
        <f aca="false">AND('Current Index'!I650,"AAAAAF+fv5A=")</f>
        <v>#VALUE!</v>
      </c>
      <c r="EP26" s="22" t="n">
        <f aca="false">IF('Current Index'!651:651,"AAAAAF+fv5E=",0)</f>
        <v>0</v>
      </c>
      <c r="EQ26" s="22" t="e">
        <f aca="false">AND('Current Index'!A651,"AAAAAF+fv5I=")</f>
        <v>#VALUE!</v>
      </c>
      <c r="ER26" s="22" t="e">
        <f aca="false">AND('current index'!#ref!,"AAAAAF+fv5M=")</f>
        <v>#VALUE!</v>
      </c>
      <c r="ES26" s="22" t="e">
        <f aca="false">AND('Current Index'!B651,"AAAAAF+fv5Q=")</f>
        <v>#VALUE!</v>
      </c>
      <c r="ET26" s="22" t="e">
        <f aca="false">AND('Current Index'!C651,"AAAAAF+fv5U=")</f>
        <v>#VALUE!</v>
      </c>
      <c r="EU26" s="22" t="e">
        <f aca="false">AND('Current Index'!D651,"AAAAAF+fv5Y=")</f>
        <v>#VALUE!</v>
      </c>
      <c r="EV26" s="22" t="e">
        <f aca="false">AND('Current Index'!E651,"AAAAAF+fv5c=")</f>
        <v>#VALUE!</v>
      </c>
      <c r="EW26" s="22" t="e">
        <f aca="false">AND('Current Index'!F651,"AAAAAF+fv5g=")</f>
        <v>#VALUE!</v>
      </c>
      <c r="EX26" s="22" t="e">
        <f aca="false">AND('Current Index'!G651,"AAAAAF+fv5k=")</f>
        <v>#VALUE!</v>
      </c>
      <c r="EY26" s="22" t="e">
        <f aca="false">AND('Current Index'!H651,"AAAAAF+fv5o=")</f>
        <v>#VALUE!</v>
      </c>
      <c r="EZ26" s="22" t="e">
        <f aca="false">AND('Current Index'!I651,"AAAAAF+fv5s=")</f>
        <v>#VALUE!</v>
      </c>
      <c r="FA26" s="22" t="n">
        <f aca="false">IF('Current Index'!652:652,"AAAAAF+fv5w=",0)</f>
        <v>0</v>
      </c>
      <c r="FB26" s="22" t="e">
        <f aca="false">AND('Current Index'!A652,"AAAAAF+fv50=")</f>
        <v>#VALUE!</v>
      </c>
      <c r="FC26" s="22" t="e">
        <f aca="false">AND('current index'!#ref!,"AAAAAF+fv54=")</f>
        <v>#VALUE!</v>
      </c>
      <c r="FD26" s="22" t="e">
        <f aca="false">AND('Current Index'!B652,"AAAAAF+fv58=")</f>
        <v>#VALUE!</v>
      </c>
      <c r="FE26" s="22" t="e">
        <f aca="false">AND('Current Index'!C652,"AAAAAF+fv6A=")</f>
        <v>#VALUE!</v>
      </c>
      <c r="FF26" s="22" t="e">
        <f aca="false">AND('Current Index'!D652,"AAAAAF+fv6E=")</f>
        <v>#VALUE!</v>
      </c>
      <c r="FG26" s="22" t="e">
        <f aca="false">AND('Current Index'!E652,"AAAAAF+fv6I=")</f>
        <v>#VALUE!</v>
      </c>
      <c r="FH26" s="22" t="e">
        <f aca="false">AND('Current Index'!F652,"AAAAAF+fv6M=")</f>
        <v>#VALUE!</v>
      </c>
      <c r="FI26" s="22" t="e">
        <f aca="false">AND('Current Index'!G652,"AAAAAF+fv6Q=")</f>
        <v>#VALUE!</v>
      </c>
      <c r="FJ26" s="22" t="e">
        <f aca="false">AND('Current Index'!H652,"AAAAAF+fv6U=")</f>
        <v>#VALUE!</v>
      </c>
      <c r="FK26" s="22" t="e">
        <f aca="false">AND('Current Index'!I652,"AAAAAF+fv6Y=")</f>
        <v>#VALUE!</v>
      </c>
      <c r="FL26" s="22" t="n">
        <f aca="false">IF('Current Index'!653:653,"AAAAAF+fv6c=",0)</f>
        <v>0</v>
      </c>
      <c r="FM26" s="22" t="e">
        <f aca="false">AND('Current Index'!A653,"AAAAAF+fv6g=")</f>
        <v>#VALUE!</v>
      </c>
      <c r="FN26" s="22" t="e">
        <f aca="false">AND('current index'!#ref!,"AAAAAF+fv6k=")</f>
        <v>#VALUE!</v>
      </c>
      <c r="FO26" s="22" t="e">
        <f aca="false">AND('Current Index'!B653,"AAAAAF+fv6o=")</f>
        <v>#VALUE!</v>
      </c>
      <c r="FP26" s="22" t="e">
        <f aca="false">AND('Current Index'!C653,"AAAAAF+fv6s=")</f>
        <v>#VALUE!</v>
      </c>
      <c r="FQ26" s="22" t="e">
        <f aca="false">AND('Current Index'!D653,"AAAAAF+fv6w=")</f>
        <v>#VALUE!</v>
      </c>
      <c r="FR26" s="22" t="e">
        <f aca="false">AND('Current Index'!E653,"AAAAAF+fv60=")</f>
        <v>#VALUE!</v>
      </c>
      <c r="FS26" s="22" t="e">
        <f aca="false">AND('Current Index'!F653,"AAAAAF+fv64=")</f>
        <v>#VALUE!</v>
      </c>
      <c r="FT26" s="22" t="e">
        <f aca="false">AND('Current Index'!G653,"AAAAAF+fv68=")</f>
        <v>#VALUE!</v>
      </c>
      <c r="FU26" s="22" t="e">
        <f aca="false">AND('Current Index'!H653,"AAAAAF+fv7A=")</f>
        <v>#VALUE!</v>
      </c>
      <c r="FV26" s="22" t="e">
        <f aca="false">AND('Current Index'!I653,"AAAAAF+fv7E=")</f>
        <v>#VALUE!</v>
      </c>
      <c r="FW26" s="22" t="n">
        <f aca="false">IF('Current Index'!654:654,"AAAAAF+fv7I=",0)</f>
        <v>0</v>
      </c>
      <c r="FX26" s="22" t="e">
        <f aca="false">AND('Current Index'!A654,"AAAAAF+fv7M=")</f>
        <v>#VALUE!</v>
      </c>
      <c r="FY26" s="22" t="e">
        <f aca="false">AND('current index'!#ref!,"AAAAAF+fv7Q=")</f>
        <v>#VALUE!</v>
      </c>
      <c r="FZ26" s="22" t="e">
        <f aca="false">AND('Current Index'!B654,"AAAAAF+fv7U=")</f>
        <v>#VALUE!</v>
      </c>
      <c r="GA26" s="22" t="e">
        <f aca="false">AND('Current Index'!C654,"AAAAAF+fv7Y=")</f>
        <v>#VALUE!</v>
      </c>
      <c r="GB26" s="22" t="e">
        <f aca="false">AND('Current Index'!D654,"AAAAAF+fv7c=")</f>
        <v>#VALUE!</v>
      </c>
      <c r="GC26" s="22" t="e">
        <f aca="false">AND('Current Index'!E654,"AAAAAF+fv7g=")</f>
        <v>#VALUE!</v>
      </c>
      <c r="GD26" s="22" t="e">
        <f aca="false">AND('Current Index'!F654,"AAAAAF+fv7k=")</f>
        <v>#VALUE!</v>
      </c>
      <c r="GE26" s="22" t="e">
        <f aca="false">AND('Current Index'!G654,"AAAAAF+fv7o=")</f>
        <v>#VALUE!</v>
      </c>
      <c r="GF26" s="22" t="e">
        <f aca="false">AND('Current Index'!H654,"AAAAAF+fv7s=")</f>
        <v>#VALUE!</v>
      </c>
      <c r="GG26" s="22" t="e">
        <f aca="false">AND('Current Index'!I654,"AAAAAF+fv7w=")</f>
        <v>#VALUE!</v>
      </c>
      <c r="GH26" s="22" t="n">
        <f aca="false">IF('Current Index'!655:655,"AAAAAF+fv70=",0)</f>
        <v>0</v>
      </c>
      <c r="GI26" s="22" t="e">
        <f aca="false">AND('Current Index'!A655,"AAAAAF+fv74=")</f>
        <v>#VALUE!</v>
      </c>
      <c r="GJ26" s="22" t="e">
        <f aca="false">AND('current index'!#ref!,"AAAAAF+fv78=")</f>
        <v>#VALUE!</v>
      </c>
      <c r="GK26" s="22" t="e">
        <f aca="false">AND('Current Index'!B655,"AAAAAF+fv8A=")</f>
        <v>#VALUE!</v>
      </c>
      <c r="GL26" s="22" t="e">
        <f aca="false">AND('Current Index'!C655,"AAAAAF+fv8E=")</f>
        <v>#VALUE!</v>
      </c>
      <c r="GM26" s="22" t="e">
        <f aca="false">AND('Current Index'!D655,"AAAAAF+fv8I=")</f>
        <v>#VALUE!</v>
      </c>
      <c r="GN26" s="22" t="e">
        <f aca="false">AND('Current Index'!E655,"AAAAAF+fv8M=")</f>
        <v>#VALUE!</v>
      </c>
      <c r="GO26" s="22" t="e">
        <f aca="false">AND('Current Index'!F655,"AAAAAF+fv8Q=")</f>
        <v>#VALUE!</v>
      </c>
      <c r="GP26" s="22" t="e">
        <f aca="false">AND('Current Index'!G655,"AAAAAF+fv8U=")</f>
        <v>#VALUE!</v>
      </c>
      <c r="GQ26" s="22" t="e">
        <f aca="false">AND('Current Index'!H655,"AAAAAF+fv8Y=")</f>
        <v>#VALUE!</v>
      </c>
      <c r="GR26" s="22" t="e">
        <f aca="false">AND('Current Index'!I655,"AAAAAF+fv8c=")</f>
        <v>#VALUE!</v>
      </c>
      <c r="GS26" s="22" t="n">
        <f aca="false">IF('Current Index'!656:656,"AAAAAF+fv8g=",0)</f>
        <v>0</v>
      </c>
      <c r="GT26" s="22" t="e">
        <f aca="false">AND('Current Index'!A656,"AAAAAF+fv8k=")</f>
        <v>#VALUE!</v>
      </c>
      <c r="GU26" s="22" t="e">
        <f aca="false">AND('current index'!#ref!,"AAAAAF+fv8o=")</f>
        <v>#VALUE!</v>
      </c>
      <c r="GV26" s="22" t="e">
        <f aca="false">AND('Current Index'!B656,"AAAAAF+fv8s=")</f>
        <v>#VALUE!</v>
      </c>
      <c r="GW26" s="22" t="e">
        <f aca="false">AND('Current Index'!C656,"AAAAAF+fv8w=")</f>
        <v>#VALUE!</v>
      </c>
      <c r="GX26" s="22" t="e">
        <f aca="false">AND('Current Index'!D656,"AAAAAF+fv80=")</f>
        <v>#VALUE!</v>
      </c>
      <c r="GY26" s="22" t="e">
        <f aca="false">AND('Current Index'!E656,"AAAAAF+fv84=")</f>
        <v>#VALUE!</v>
      </c>
      <c r="GZ26" s="22" t="e">
        <f aca="false">AND('Current Index'!F656,"AAAAAF+fv88=")</f>
        <v>#VALUE!</v>
      </c>
      <c r="HA26" s="22" t="e">
        <f aca="false">AND('Current Index'!G656,"AAAAAF+fv9A=")</f>
        <v>#VALUE!</v>
      </c>
      <c r="HB26" s="22" t="e">
        <f aca="false">AND('Current Index'!H656,"AAAAAF+fv9E=")</f>
        <v>#VALUE!</v>
      </c>
      <c r="HC26" s="22" t="e">
        <f aca="false">AND('Current Index'!I656,"AAAAAF+fv9I=")</f>
        <v>#VALUE!</v>
      </c>
      <c r="HD26" s="22" t="n">
        <f aca="false">IF('Current Index'!657:657,"AAAAAF+fv9M=",0)</f>
        <v>0</v>
      </c>
      <c r="HE26" s="22" t="e">
        <f aca="false">AND('Current Index'!A657,"AAAAAF+fv9Q=")</f>
        <v>#VALUE!</v>
      </c>
      <c r="HF26" s="22" t="e">
        <f aca="false">AND('current index'!#ref!,"AAAAAF+fv9U=")</f>
        <v>#VALUE!</v>
      </c>
      <c r="HG26" s="22" t="e">
        <f aca="false">AND('Current Index'!B657,"AAAAAF+fv9Y=")</f>
        <v>#VALUE!</v>
      </c>
      <c r="HH26" s="22" t="e">
        <f aca="false">AND('Current Index'!C657,"AAAAAF+fv9c=")</f>
        <v>#VALUE!</v>
      </c>
      <c r="HI26" s="22" t="e">
        <f aca="false">AND('Current Index'!D657,"AAAAAF+fv9g=")</f>
        <v>#VALUE!</v>
      </c>
      <c r="HJ26" s="22" t="e">
        <f aca="false">AND('Current Index'!E657,"AAAAAF+fv9k=")</f>
        <v>#VALUE!</v>
      </c>
      <c r="HK26" s="22" t="e">
        <f aca="false">AND('Current Index'!F657,"AAAAAF+fv9o=")</f>
        <v>#VALUE!</v>
      </c>
      <c r="HL26" s="22" t="e">
        <f aca="false">AND('Current Index'!G657,"AAAAAF+fv9s=")</f>
        <v>#VALUE!</v>
      </c>
      <c r="HM26" s="22" t="e">
        <f aca="false">AND('Current Index'!H657,"AAAAAF+fv9w=")</f>
        <v>#VALUE!</v>
      </c>
      <c r="HN26" s="22" t="e">
        <f aca="false">AND('Current Index'!I657,"AAAAAF+fv90=")</f>
        <v>#VALUE!</v>
      </c>
      <c r="HO26" s="22" t="e">
        <f aca="false">IF('current index'!#ref!,"AAAAAF+fv94=",0)</f>
        <v>#VALUE!</v>
      </c>
      <c r="HP26" s="22" t="e">
        <f aca="false">AND('current index'!#ref!,"AAAAAF+fv98=")</f>
        <v>#VALUE!</v>
      </c>
      <c r="HQ26" s="22" t="e">
        <f aca="false">AND('current index'!#ref!,"AAAAAF+fv+A=")</f>
        <v>#VALUE!</v>
      </c>
      <c r="HR26" s="22" t="e">
        <f aca="false">AND('current index'!#ref!,"AAAAAF+fv+E=")</f>
        <v>#VALUE!</v>
      </c>
      <c r="HS26" s="22" t="e">
        <f aca="false">AND('current index'!#ref!,"AAAAAF+fv+I=")</f>
        <v>#VALUE!</v>
      </c>
      <c r="HT26" s="22" t="e">
        <f aca="false">AND('current index'!#ref!,"AAAAAF+fv+M=")</f>
        <v>#VALUE!</v>
      </c>
      <c r="HU26" s="22" t="e">
        <f aca="false">AND('current index'!#ref!,"AAAAAF+fv+Q=")</f>
        <v>#VALUE!</v>
      </c>
      <c r="HV26" s="22" t="e">
        <f aca="false">AND('current index'!#ref!,"AAAAAF+fv+U=")</f>
        <v>#VALUE!</v>
      </c>
      <c r="HW26" s="22" t="e">
        <f aca="false">AND('current index'!#ref!,"AAAAAF+fv+Y=")</f>
        <v>#VALUE!</v>
      </c>
      <c r="HX26" s="22" t="e">
        <f aca="false">AND('current index'!#ref!,"AAAAAF+fv+c=")</f>
        <v>#VALUE!</v>
      </c>
      <c r="HY26" s="22" t="e">
        <f aca="false">AND('current index'!#ref!,"AAAAAF+fv+g=")</f>
        <v>#VALUE!</v>
      </c>
      <c r="HZ26" s="22" t="n">
        <f aca="false">IF('Current Index'!658:658,"AAAAAF+fv+k=",0)</f>
        <v>0</v>
      </c>
      <c r="IA26" s="22" t="e">
        <f aca="false">AND('Current Index'!A658,"AAAAAF+fv+o=")</f>
        <v>#VALUE!</v>
      </c>
      <c r="IB26" s="22" t="e">
        <f aca="false">AND('current index'!#ref!,"AAAAAF+fv+s=")</f>
        <v>#VALUE!</v>
      </c>
      <c r="IC26" s="22" t="e">
        <f aca="false">AND('Current Index'!B658,"AAAAAF+fv+w=")</f>
        <v>#VALUE!</v>
      </c>
      <c r="ID26" s="22" t="e">
        <f aca="false">AND('Current Index'!C658,"AAAAAF+fv+0=")</f>
        <v>#VALUE!</v>
      </c>
      <c r="IE26" s="22" t="e">
        <f aca="false">AND('Current Index'!D658,"AAAAAF+fv+4=")</f>
        <v>#VALUE!</v>
      </c>
      <c r="IF26" s="22" t="e">
        <f aca="false">AND('Current Index'!E658,"AAAAAF+fv+8=")</f>
        <v>#VALUE!</v>
      </c>
      <c r="IG26" s="22" t="e">
        <f aca="false">AND('Current Index'!F658,"AAAAAF+fv/A=")</f>
        <v>#VALUE!</v>
      </c>
      <c r="IH26" s="22" t="e">
        <f aca="false">AND('Current Index'!G658,"AAAAAF+fv/E=")</f>
        <v>#VALUE!</v>
      </c>
      <c r="II26" s="22" t="e">
        <f aca="false">AND('Current Index'!H658,"AAAAAF+fv/I=")</f>
        <v>#VALUE!</v>
      </c>
      <c r="IJ26" s="22" t="e">
        <f aca="false">AND('Current Index'!I658,"AAAAAF+fv/M=")</f>
        <v>#VALUE!</v>
      </c>
      <c r="IK26" s="22" t="n">
        <f aca="false">IF('Current Index'!659:659,"AAAAAF+fv/Q=",0)</f>
        <v>0</v>
      </c>
      <c r="IL26" s="22" t="e">
        <f aca="false">AND('Current Index'!A659,"AAAAAF+fv/U=")</f>
        <v>#VALUE!</v>
      </c>
      <c r="IM26" s="22" t="e">
        <f aca="false">AND('current index'!#ref!,"AAAAAF+fv/Y=")</f>
        <v>#VALUE!</v>
      </c>
      <c r="IN26" s="22" t="e">
        <f aca="false">AND('Current Index'!B659,"AAAAAF+fv/c=")</f>
        <v>#VALUE!</v>
      </c>
      <c r="IO26" s="22" t="e">
        <f aca="false">AND('Current Index'!C659,"AAAAAF+fv/g=")</f>
        <v>#VALUE!</v>
      </c>
      <c r="IP26" s="22" t="e">
        <f aca="false">AND('Current Index'!D659,"AAAAAF+fv/k=")</f>
        <v>#VALUE!</v>
      </c>
      <c r="IQ26" s="22" t="e">
        <f aca="false">AND('Current Index'!E659,"AAAAAF+fv/o=")</f>
        <v>#VALUE!</v>
      </c>
      <c r="IR26" s="22" t="e">
        <f aca="false">AND('Current Index'!F659,"AAAAAF+fv/s=")</f>
        <v>#VALUE!</v>
      </c>
      <c r="IS26" s="22" t="e">
        <f aca="false">AND('Current Index'!G659,"AAAAAF+fv/w=")</f>
        <v>#VALUE!</v>
      </c>
      <c r="IT26" s="22" t="e">
        <f aca="false">AND('Current Index'!H659,"AAAAAF+fv/0=")</f>
        <v>#VALUE!</v>
      </c>
      <c r="IU26" s="22" t="e">
        <f aca="false">AND('Current Index'!I659,"AAAAAF+fv/4=")</f>
        <v>#VALUE!</v>
      </c>
      <c r="IV26" s="22" t="n">
        <f aca="false">IF('Current Index'!660:660,"AAAAAF+fv/8=",0)</f>
        <v>0</v>
      </c>
    </row>
    <row r="27" customFormat="false" ht="12.75" hidden="false" customHeight="false" outlineLevel="0" collapsed="false">
      <c r="A27" s="22" t="e">
        <f aca="false">AND('Current Index'!A660,"AAAAADr//wA=")</f>
        <v>#VALUE!</v>
      </c>
      <c r="B27" s="22" t="e">
        <f aca="false">AND('current index'!#ref!,"AAAAADr//wE=")</f>
        <v>#VALUE!</v>
      </c>
      <c r="C27" s="22" t="e">
        <f aca="false">AND('Current Index'!B660,"AAAAADr//wI=")</f>
        <v>#VALUE!</v>
      </c>
      <c r="D27" s="22" t="e">
        <f aca="false">AND('Current Index'!C660,"AAAAADr//wM=")</f>
        <v>#VALUE!</v>
      </c>
      <c r="E27" s="22" t="e">
        <f aca="false">AND('Current Index'!D660,"AAAAADr//wQ=")</f>
        <v>#VALUE!</v>
      </c>
      <c r="F27" s="22" t="e">
        <f aca="false">AND('Current Index'!E660,"AAAAADr//wU=")</f>
        <v>#VALUE!</v>
      </c>
      <c r="G27" s="22" t="e">
        <f aca="false">AND('Current Index'!F660,"AAAAADr//wY=")</f>
        <v>#VALUE!</v>
      </c>
      <c r="H27" s="22" t="e">
        <f aca="false">AND('Current Index'!G660,"AAAAADr//wc=")</f>
        <v>#VALUE!</v>
      </c>
      <c r="I27" s="22" t="e">
        <f aca="false">AND('Current Index'!H660,"AAAAADr//wg=")</f>
        <v>#VALUE!</v>
      </c>
      <c r="J27" s="22" t="e">
        <f aca="false">AND('Current Index'!I660,"AAAAADr//wk=")</f>
        <v>#VALUE!</v>
      </c>
      <c r="K27" s="22" t="n">
        <f aca="false">IF('Current Index'!661:661,"AAAAADr//wo=",0)</f>
        <v>0</v>
      </c>
      <c r="L27" s="22" t="e">
        <f aca="false">AND('Current Index'!A661,"AAAAADr//ws=")</f>
        <v>#VALUE!</v>
      </c>
      <c r="M27" s="22" t="e">
        <f aca="false">AND('current index'!#ref!,"AAAAADr//ww=")</f>
        <v>#VALUE!</v>
      </c>
      <c r="N27" s="22" t="e">
        <f aca="false">AND('Current Index'!B661,"AAAAADr//w0=")</f>
        <v>#VALUE!</v>
      </c>
      <c r="O27" s="22" t="e">
        <f aca="false">AND('Current Index'!C661,"AAAAADr//w4=")</f>
        <v>#VALUE!</v>
      </c>
      <c r="P27" s="22" t="e">
        <f aca="false">AND('Current Index'!D661,"AAAAADr//w8=")</f>
        <v>#VALUE!</v>
      </c>
      <c r="Q27" s="22" t="e">
        <f aca="false">AND('Current Index'!E661,"AAAAADr//xA=")</f>
        <v>#VALUE!</v>
      </c>
      <c r="R27" s="22" t="e">
        <f aca="false">AND('Current Index'!F661,"AAAAADr//xE=")</f>
        <v>#VALUE!</v>
      </c>
      <c r="S27" s="22" t="e">
        <f aca="false">AND('Current Index'!G661,"AAAAADr//xI=")</f>
        <v>#VALUE!</v>
      </c>
      <c r="T27" s="22" t="e">
        <f aca="false">AND('Current Index'!H661,"AAAAADr//xM=")</f>
        <v>#VALUE!</v>
      </c>
      <c r="U27" s="22" t="e">
        <f aca="false">AND('Current Index'!I661,"AAAAADr//xQ=")</f>
        <v>#VALUE!</v>
      </c>
      <c r="V27" s="22" t="n">
        <f aca="false">IF('Current Index'!663:663,"AAAAADr//xU=",0)</f>
        <v>0</v>
      </c>
      <c r="W27" s="22" t="e">
        <f aca="false">AND('Current Index'!A663,"AAAAADr//xY=")</f>
        <v>#VALUE!</v>
      </c>
      <c r="X27" s="22" t="e">
        <f aca="false">AND('current index'!#ref!,"AAAAADr//xc=")</f>
        <v>#VALUE!</v>
      </c>
      <c r="Y27" s="22" t="e">
        <f aca="false">AND('Current Index'!B663,"AAAAADr//xg=")</f>
        <v>#VALUE!</v>
      </c>
      <c r="Z27" s="22" t="e">
        <f aca="false">AND('Current Index'!C663,"AAAAADr//xk=")</f>
        <v>#VALUE!</v>
      </c>
      <c r="AA27" s="22" t="e">
        <f aca="false">AND('Current Index'!D663,"AAAAADr//xo=")</f>
        <v>#VALUE!</v>
      </c>
      <c r="AB27" s="22" t="e">
        <f aca="false">AND('Current Index'!E663,"AAAAADr//xs=")</f>
        <v>#VALUE!</v>
      </c>
      <c r="AC27" s="22" t="e">
        <f aca="false">AND('Current Index'!F663,"AAAAADr//xw=")</f>
        <v>#VALUE!</v>
      </c>
      <c r="AD27" s="22" t="e">
        <f aca="false">AND('Current Index'!G663,"AAAAADr//x0=")</f>
        <v>#VALUE!</v>
      </c>
      <c r="AE27" s="22" t="e">
        <f aca="false">AND('Current Index'!H663,"AAAAADr//x4=")</f>
        <v>#VALUE!</v>
      </c>
      <c r="AF27" s="22" t="e">
        <f aca="false">AND('Current Index'!I663,"AAAAADr//x8=")</f>
        <v>#VALUE!</v>
      </c>
      <c r="AG27" s="22" t="n">
        <f aca="false">IF('Current Index'!664:664,"AAAAADr//yA=",0)</f>
        <v>0</v>
      </c>
      <c r="AH27" s="22" t="e">
        <f aca="false">AND('Current Index'!A664,"AAAAADr//yE=")</f>
        <v>#VALUE!</v>
      </c>
      <c r="AI27" s="22" t="e">
        <f aca="false">AND('current index'!#ref!,"AAAAADr//yI=")</f>
        <v>#VALUE!</v>
      </c>
      <c r="AJ27" s="22" t="e">
        <f aca="false">AND('Current Index'!B664,"AAAAADr//yM=")</f>
        <v>#VALUE!</v>
      </c>
      <c r="AK27" s="22" t="e">
        <f aca="false">AND('Current Index'!C664,"AAAAADr//yQ=")</f>
        <v>#VALUE!</v>
      </c>
      <c r="AL27" s="22" t="e">
        <f aca="false">AND('Current Index'!D664,"AAAAADr//yU=")</f>
        <v>#VALUE!</v>
      </c>
      <c r="AM27" s="22" t="e">
        <f aca="false">AND('Current Index'!E664,"AAAAADr//yY=")</f>
        <v>#VALUE!</v>
      </c>
      <c r="AN27" s="22" t="e">
        <f aca="false">AND('Current Index'!F664,"AAAAADr//yc=")</f>
        <v>#VALUE!</v>
      </c>
      <c r="AO27" s="22" t="e">
        <f aca="false">AND('Current Index'!G664,"AAAAADr//yg=")</f>
        <v>#VALUE!</v>
      </c>
      <c r="AP27" s="22" t="e">
        <f aca="false">AND('Current Index'!H664,"AAAAADr//yk=")</f>
        <v>#VALUE!</v>
      </c>
      <c r="AQ27" s="22" t="e">
        <f aca="false">AND('Current Index'!I664,"AAAAADr//yo=")</f>
        <v>#VALUE!</v>
      </c>
      <c r="AR27" s="22" t="n">
        <f aca="false">IF('Current Index'!666:666,"AAAAADr//ys=",0)</f>
        <v>0</v>
      </c>
      <c r="AS27" s="22" t="e">
        <f aca="false">AND('Current Index'!A666,"AAAAADr//yw=")</f>
        <v>#VALUE!</v>
      </c>
      <c r="AT27" s="22" t="e">
        <f aca="false">AND('current index'!#ref!,"AAAAADr//y0=")</f>
        <v>#VALUE!</v>
      </c>
      <c r="AU27" s="22" t="e">
        <f aca="false">AND('Current Index'!B666,"AAAAADr//y4=")</f>
        <v>#VALUE!</v>
      </c>
      <c r="AV27" s="22" t="e">
        <f aca="false">AND('Current Index'!C666,"AAAAADr//y8=")</f>
        <v>#VALUE!</v>
      </c>
      <c r="AW27" s="22" t="e">
        <f aca="false">AND('Current Index'!D666,"AAAAADr//zA=")</f>
        <v>#VALUE!</v>
      </c>
      <c r="AX27" s="22" t="e">
        <f aca="false">AND('Current Index'!E666,"AAAAADr//zE=")</f>
        <v>#VALUE!</v>
      </c>
      <c r="AY27" s="22" t="e">
        <f aca="false">AND('Current Index'!F666,"AAAAADr//zI=")</f>
        <v>#VALUE!</v>
      </c>
      <c r="AZ27" s="22" t="e">
        <f aca="false">AND('Current Index'!G666,"AAAAADr//zM=")</f>
        <v>#VALUE!</v>
      </c>
      <c r="BA27" s="22" t="e">
        <f aca="false">AND('Current Index'!H666,"AAAAADr//zQ=")</f>
        <v>#VALUE!</v>
      </c>
      <c r="BB27" s="22" t="e">
        <f aca="false">AND('Current Index'!I666,"AAAAADr//zU=")</f>
        <v>#VALUE!</v>
      </c>
      <c r="BC27" s="22" t="n">
        <f aca="false">IF('Current Index'!667:667,"AAAAADr//zY=",0)</f>
        <v>0</v>
      </c>
      <c r="BD27" s="22" t="e">
        <f aca="false">AND('Current Index'!A667,"AAAAADr//zc=")</f>
        <v>#VALUE!</v>
      </c>
      <c r="BE27" s="22" t="e">
        <f aca="false">AND('current index'!#ref!,"AAAAADr//zg=")</f>
        <v>#VALUE!</v>
      </c>
      <c r="BF27" s="22" t="e">
        <f aca="false">AND('Current Index'!B667,"AAAAADr//zk=")</f>
        <v>#VALUE!</v>
      </c>
      <c r="BG27" s="22" t="e">
        <f aca="false">AND('Current Index'!C667,"AAAAADr//zo=")</f>
        <v>#VALUE!</v>
      </c>
      <c r="BH27" s="22" t="e">
        <f aca="false">AND('Current Index'!D667,"AAAAADr//zs=")</f>
        <v>#VALUE!</v>
      </c>
      <c r="BI27" s="22" t="e">
        <f aca="false">AND('Current Index'!E667,"AAAAADr//zw=")</f>
        <v>#VALUE!</v>
      </c>
      <c r="BJ27" s="22" t="e">
        <f aca="false">AND('Current Index'!F667,"AAAAADr//z0=")</f>
        <v>#VALUE!</v>
      </c>
      <c r="BK27" s="22" t="e">
        <f aca="false">AND('Current Index'!G667,"AAAAADr//z4=")</f>
        <v>#VALUE!</v>
      </c>
      <c r="BL27" s="22" t="e">
        <f aca="false">AND('Current Index'!H667,"AAAAADr//z8=")</f>
        <v>#VALUE!</v>
      </c>
      <c r="BM27" s="22" t="e">
        <f aca="false">AND('Current Index'!I667,"AAAAADr//0A=")</f>
        <v>#VALUE!</v>
      </c>
      <c r="BN27" s="22" t="n">
        <f aca="false">IF('Current Index'!668:668,"AAAAADr//0E=",0)</f>
        <v>0</v>
      </c>
      <c r="BO27" s="22" t="e">
        <f aca="false">AND('Current Index'!A668,"AAAAADr//0I=")</f>
        <v>#VALUE!</v>
      </c>
      <c r="BP27" s="22" t="e">
        <f aca="false">AND('current index'!#ref!,"AAAAADr//0M=")</f>
        <v>#VALUE!</v>
      </c>
      <c r="BQ27" s="22" t="e">
        <f aca="false">AND('Current Index'!B668,"AAAAADr//0Q=")</f>
        <v>#VALUE!</v>
      </c>
      <c r="BR27" s="22" t="e">
        <f aca="false">AND('Current Index'!C668,"AAAAADr//0U=")</f>
        <v>#VALUE!</v>
      </c>
      <c r="BS27" s="22" t="e">
        <f aca="false">AND('Current Index'!D668,"AAAAADr//0Y=")</f>
        <v>#VALUE!</v>
      </c>
      <c r="BT27" s="22" t="e">
        <f aca="false">AND('Current Index'!E668,"AAAAADr//0c=")</f>
        <v>#VALUE!</v>
      </c>
      <c r="BU27" s="22" t="e">
        <f aca="false">AND('Current Index'!F668,"AAAAADr//0g=")</f>
        <v>#VALUE!</v>
      </c>
      <c r="BV27" s="22" t="e">
        <f aca="false">AND('Current Index'!G668,"AAAAADr//0k=")</f>
        <v>#VALUE!</v>
      </c>
      <c r="BW27" s="22" t="e">
        <f aca="false">AND('Current Index'!H668,"AAAAADr//0o=")</f>
        <v>#VALUE!</v>
      </c>
      <c r="BX27" s="22" t="e">
        <f aca="false">AND('Current Index'!I668,"AAAAADr//0s=")</f>
        <v>#VALUE!</v>
      </c>
      <c r="BY27" s="22" t="n">
        <f aca="false">IF('Current Index'!669:669,"AAAAADr//0w=",0)</f>
        <v>0</v>
      </c>
      <c r="BZ27" s="22" t="e">
        <f aca="false">AND('Current Index'!A669,"AAAAADr//00=")</f>
        <v>#VALUE!</v>
      </c>
      <c r="CA27" s="22" t="e">
        <f aca="false">AND('current index'!#ref!,"AAAAADr//04=")</f>
        <v>#VALUE!</v>
      </c>
      <c r="CB27" s="22" t="e">
        <f aca="false">AND('Current Index'!B669,"AAAAADr//08=")</f>
        <v>#VALUE!</v>
      </c>
      <c r="CC27" s="22" t="e">
        <f aca="false">AND('Current Index'!C669,"AAAAADr//1A=")</f>
        <v>#VALUE!</v>
      </c>
      <c r="CD27" s="22" t="e">
        <f aca="false">AND('Current Index'!D669,"AAAAADr//1E=")</f>
        <v>#VALUE!</v>
      </c>
      <c r="CE27" s="22" t="e">
        <f aca="false">AND('Current Index'!E669,"AAAAADr//1I=")</f>
        <v>#VALUE!</v>
      </c>
      <c r="CF27" s="22" t="e">
        <f aca="false">AND('Current Index'!F669,"AAAAADr//1M=")</f>
        <v>#VALUE!</v>
      </c>
      <c r="CG27" s="22" t="e">
        <f aca="false">AND('Current Index'!G669,"AAAAADr//1Q=")</f>
        <v>#VALUE!</v>
      </c>
      <c r="CH27" s="22" t="e">
        <f aca="false">AND('Current Index'!H669,"AAAAADr//1U=")</f>
        <v>#VALUE!</v>
      </c>
      <c r="CI27" s="22" t="e">
        <f aca="false">AND('Current Index'!I669,"AAAAADr//1Y=")</f>
        <v>#VALUE!</v>
      </c>
      <c r="CJ27" s="22" t="n">
        <f aca="false">IF('Current Index'!670:670,"AAAAADr//1c=",0)</f>
        <v>0</v>
      </c>
      <c r="CK27" s="22" t="e">
        <f aca="false">AND('Current Index'!A670,"AAAAADr//1g=")</f>
        <v>#VALUE!</v>
      </c>
      <c r="CL27" s="22" t="e">
        <f aca="false">AND('current index'!#ref!,"AAAAADr//1k=")</f>
        <v>#VALUE!</v>
      </c>
      <c r="CM27" s="22" t="e">
        <f aca="false">AND('Current Index'!B670,"AAAAADr//1o=")</f>
        <v>#VALUE!</v>
      </c>
      <c r="CN27" s="22" t="e">
        <f aca="false">AND('Current Index'!C670,"AAAAADr//1s=")</f>
        <v>#VALUE!</v>
      </c>
      <c r="CO27" s="22" t="e">
        <f aca="false">AND('Current Index'!D670,"AAAAADr//1w=")</f>
        <v>#VALUE!</v>
      </c>
      <c r="CP27" s="22" t="e">
        <f aca="false">AND('Current Index'!E670,"AAAAADr//10=")</f>
        <v>#VALUE!</v>
      </c>
      <c r="CQ27" s="22" t="e">
        <f aca="false">AND('Current Index'!F670,"AAAAADr//14=")</f>
        <v>#VALUE!</v>
      </c>
      <c r="CR27" s="22" t="e">
        <f aca="false">AND('Current Index'!G670,"AAAAADr//18=")</f>
        <v>#VALUE!</v>
      </c>
      <c r="CS27" s="22" t="e">
        <f aca="false">AND('Current Index'!H670,"AAAAADr//2A=")</f>
        <v>#VALUE!</v>
      </c>
      <c r="CT27" s="22" t="e">
        <f aca="false">AND('Current Index'!I670,"AAAAADr//2E=")</f>
        <v>#VALUE!</v>
      </c>
      <c r="CU27" s="22" t="n">
        <f aca="false">IF('Current Index'!671:671,"AAAAADr//2I=",0)</f>
        <v>0</v>
      </c>
      <c r="CV27" s="22" t="e">
        <f aca="false">AND('Current Index'!A671,"AAAAADr//2M=")</f>
        <v>#VALUE!</v>
      </c>
      <c r="CW27" s="22" t="e">
        <f aca="false">AND('current index'!#ref!,"AAAAADr//2Q=")</f>
        <v>#VALUE!</v>
      </c>
      <c r="CX27" s="22" t="e">
        <f aca="false">AND('Current Index'!B671,"AAAAADr//2U=")</f>
        <v>#VALUE!</v>
      </c>
      <c r="CY27" s="22" t="e">
        <f aca="false">AND('Current Index'!C671,"AAAAADr//2Y=")</f>
        <v>#VALUE!</v>
      </c>
      <c r="CZ27" s="22" t="e">
        <f aca="false">AND('Current Index'!D671,"AAAAADr//2c=")</f>
        <v>#VALUE!</v>
      </c>
      <c r="DA27" s="22" t="e">
        <f aca="false">AND('Current Index'!E671,"AAAAADr//2g=")</f>
        <v>#VALUE!</v>
      </c>
      <c r="DB27" s="22" t="e">
        <f aca="false">AND('Current Index'!F671,"AAAAADr//2k=")</f>
        <v>#VALUE!</v>
      </c>
      <c r="DC27" s="22" t="e">
        <f aca="false">AND('Current Index'!G671,"AAAAADr//2o=")</f>
        <v>#VALUE!</v>
      </c>
      <c r="DD27" s="22" t="e">
        <f aca="false">AND('Current Index'!H671,"AAAAADr//2s=")</f>
        <v>#VALUE!</v>
      </c>
      <c r="DE27" s="22" t="e">
        <f aca="false">AND('Current Index'!I671,"AAAAADr//2w=")</f>
        <v>#VALUE!</v>
      </c>
      <c r="DF27" s="22" t="n">
        <f aca="false">IF('Current Index'!672:672,"AAAAADr//20=",0)</f>
        <v>0</v>
      </c>
      <c r="DG27" s="22" t="e">
        <f aca="false">AND('Current Index'!A672,"AAAAADr//24=")</f>
        <v>#VALUE!</v>
      </c>
      <c r="DH27" s="22" t="e">
        <f aca="false">AND('current index'!#ref!,"AAAAADr//28=")</f>
        <v>#VALUE!</v>
      </c>
      <c r="DI27" s="22" t="e">
        <f aca="false">AND('Current Index'!B672,"AAAAADr//3A=")</f>
        <v>#VALUE!</v>
      </c>
      <c r="DJ27" s="22" t="e">
        <f aca="false">AND('Current Index'!C672,"AAAAADr//3E=")</f>
        <v>#VALUE!</v>
      </c>
      <c r="DK27" s="22" t="e">
        <f aca="false">AND('Current Index'!D672,"AAAAADr//3I=")</f>
        <v>#VALUE!</v>
      </c>
      <c r="DL27" s="22" t="e">
        <f aca="false">AND('Current Index'!E672,"AAAAADr//3M=")</f>
        <v>#VALUE!</v>
      </c>
      <c r="DM27" s="22" t="e">
        <f aca="false">AND('Current Index'!F672,"AAAAADr//3Q=")</f>
        <v>#VALUE!</v>
      </c>
      <c r="DN27" s="22" t="e">
        <f aca="false">AND('Current Index'!G672,"AAAAADr//3U=")</f>
        <v>#VALUE!</v>
      </c>
      <c r="DO27" s="22" t="e">
        <f aca="false">AND('Current Index'!H672,"AAAAADr//3Y=")</f>
        <v>#VALUE!</v>
      </c>
      <c r="DP27" s="22" t="e">
        <f aca="false">AND('Current Index'!I672,"AAAAADr//3c=")</f>
        <v>#VALUE!</v>
      </c>
      <c r="DQ27" s="22" t="n">
        <f aca="false">IF('Current Index'!673:673,"AAAAADr//3g=",0)</f>
        <v>0</v>
      </c>
      <c r="DR27" s="22" t="e">
        <f aca="false">AND('Current Index'!A673,"AAAAADr//3k=")</f>
        <v>#VALUE!</v>
      </c>
      <c r="DS27" s="22" t="e">
        <f aca="false">AND('current index'!#ref!,"AAAAADr//3o=")</f>
        <v>#VALUE!</v>
      </c>
      <c r="DT27" s="22" t="e">
        <f aca="false">AND('Current Index'!B673,"AAAAADr//3s=")</f>
        <v>#VALUE!</v>
      </c>
      <c r="DU27" s="22" t="e">
        <f aca="false">AND('Current Index'!C673,"AAAAADr//3w=")</f>
        <v>#VALUE!</v>
      </c>
      <c r="DV27" s="22" t="e">
        <f aca="false">AND('Current Index'!D673,"AAAAADr//30=")</f>
        <v>#VALUE!</v>
      </c>
      <c r="DW27" s="22" t="e">
        <f aca="false">AND('Current Index'!E673,"AAAAADr//34=")</f>
        <v>#VALUE!</v>
      </c>
      <c r="DX27" s="22" t="e">
        <f aca="false">AND('Current Index'!F673,"AAAAADr//38=")</f>
        <v>#VALUE!</v>
      </c>
      <c r="DY27" s="22" t="e">
        <f aca="false">AND('Current Index'!G673,"AAAAADr//4A=")</f>
        <v>#VALUE!</v>
      </c>
      <c r="DZ27" s="22" t="e">
        <f aca="false">AND('Current Index'!H673,"AAAAADr//4E=")</f>
        <v>#VALUE!</v>
      </c>
      <c r="EA27" s="22" t="e">
        <f aca="false">AND('Current Index'!I673,"AAAAADr//4I=")</f>
        <v>#VALUE!</v>
      </c>
      <c r="EB27" s="22" t="n">
        <f aca="false">IF('Current Index'!674:674,"AAAAADr//4M=",0)</f>
        <v>0</v>
      </c>
      <c r="EC27" s="22" t="e">
        <f aca="false">AND('Current Index'!A674,"AAAAADr//4Q=")</f>
        <v>#VALUE!</v>
      </c>
      <c r="ED27" s="22" t="e">
        <f aca="false">AND('current index'!#ref!,"AAAAADr//4U=")</f>
        <v>#VALUE!</v>
      </c>
      <c r="EE27" s="22" t="e">
        <f aca="false">AND('Current Index'!B674,"AAAAADr//4Y=")</f>
        <v>#VALUE!</v>
      </c>
      <c r="EF27" s="22" t="e">
        <f aca="false">AND('Current Index'!C674,"AAAAADr//4c=")</f>
        <v>#VALUE!</v>
      </c>
      <c r="EG27" s="22" t="e">
        <f aca="false">AND('Current Index'!D674,"AAAAADr//4g=")</f>
        <v>#VALUE!</v>
      </c>
      <c r="EH27" s="22" t="e">
        <f aca="false">AND('Current Index'!E674,"AAAAADr//4k=")</f>
        <v>#VALUE!</v>
      </c>
      <c r="EI27" s="22" t="e">
        <f aca="false">AND('Current Index'!F674,"AAAAADr//4o=")</f>
        <v>#VALUE!</v>
      </c>
      <c r="EJ27" s="22" t="e">
        <f aca="false">AND('Current Index'!G674,"AAAAADr//4s=")</f>
        <v>#VALUE!</v>
      </c>
      <c r="EK27" s="22" t="e">
        <f aca="false">AND('Current Index'!H674,"AAAAADr//4w=")</f>
        <v>#VALUE!</v>
      </c>
      <c r="EL27" s="22" t="e">
        <f aca="false">AND('Current Index'!I674,"AAAAADr//40=")</f>
        <v>#VALUE!</v>
      </c>
      <c r="EM27" s="22" t="e">
        <f aca="false">IF('current index'!#ref!,"AAAAADr//44=",0)</f>
        <v>#VALUE!</v>
      </c>
      <c r="EN27" s="22" t="e">
        <f aca="false">AND('current index'!#ref!,"AAAAADr//48=")</f>
        <v>#VALUE!</v>
      </c>
      <c r="EO27" s="22" t="e">
        <f aca="false">AND('current index'!#ref!,"AAAAADr//5A=")</f>
        <v>#VALUE!</v>
      </c>
      <c r="EP27" s="22" t="e">
        <f aca="false">AND('current index'!#ref!,"AAAAADr//5E=")</f>
        <v>#VALUE!</v>
      </c>
      <c r="EQ27" s="22" t="e">
        <f aca="false">AND('current index'!#ref!,"AAAAADr//5I=")</f>
        <v>#VALUE!</v>
      </c>
      <c r="ER27" s="22" t="e">
        <f aca="false">AND('current index'!#ref!,"AAAAADr//5M=")</f>
        <v>#VALUE!</v>
      </c>
      <c r="ES27" s="22" t="e">
        <f aca="false">AND('current index'!#ref!,"AAAAADr//5Q=")</f>
        <v>#VALUE!</v>
      </c>
      <c r="ET27" s="22" t="e">
        <f aca="false">AND('current index'!#ref!,"AAAAADr//5U=")</f>
        <v>#VALUE!</v>
      </c>
      <c r="EU27" s="22" t="e">
        <f aca="false">AND('current index'!#ref!,"AAAAADr//5Y=")</f>
        <v>#VALUE!</v>
      </c>
      <c r="EV27" s="22" t="e">
        <f aca="false">AND('current index'!#ref!,"AAAAADr//5c=")</f>
        <v>#VALUE!</v>
      </c>
      <c r="EW27" s="22" t="e">
        <f aca="false">AND('current index'!#ref!,"AAAAADr//5g=")</f>
        <v>#VALUE!</v>
      </c>
      <c r="EX27" s="22" t="e">
        <f aca="false">IF('current index'!#ref!,"AAAAADr//5k=",0)</f>
        <v>#VALUE!</v>
      </c>
      <c r="EY27" s="22" t="e">
        <f aca="false">AND('current index'!#ref!,"AAAAADr//5o=")</f>
        <v>#VALUE!</v>
      </c>
      <c r="EZ27" s="22" t="e">
        <f aca="false">AND('current index'!#ref!,"AAAAADr//5s=")</f>
        <v>#VALUE!</v>
      </c>
      <c r="FA27" s="22" t="e">
        <f aca="false">AND('current index'!#ref!,"AAAAADr//5w=")</f>
        <v>#VALUE!</v>
      </c>
      <c r="FB27" s="22" t="e">
        <f aca="false">AND('current index'!#ref!,"AAAAADr//50=")</f>
        <v>#VALUE!</v>
      </c>
      <c r="FC27" s="22" t="e">
        <f aca="false">AND('current index'!#ref!,"AAAAADr//54=")</f>
        <v>#VALUE!</v>
      </c>
      <c r="FD27" s="22" t="e">
        <f aca="false">AND('current index'!#ref!,"AAAAADr//58=")</f>
        <v>#VALUE!</v>
      </c>
      <c r="FE27" s="22" t="e">
        <f aca="false">AND('current index'!#ref!,"AAAAADr//6A=")</f>
        <v>#VALUE!</v>
      </c>
      <c r="FF27" s="22" t="e">
        <f aca="false">AND('current index'!#ref!,"AAAAADr//6E=")</f>
        <v>#VALUE!</v>
      </c>
      <c r="FG27" s="22" t="e">
        <f aca="false">AND('current index'!#ref!,"AAAAADr//6I=")</f>
        <v>#VALUE!</v>
      </c>
      <c r="FH27" s="22" t="e">
        <f aca="false">AND('current index'!#ref!,"AAAAADr//6M=")</f>
        <v>#VALUE!</v>
      </c>
      <c r="FI27" s="22" t="e">
        <f aca="false">IF('current index'!#ref!,"AAAAADr//6Q=",0)</f>
        <v>#VALUE!</v>
      </c>
      <c r="FJ27" s="22" t="e">
        <f aca="false">AND('current index'!#ref!,"AAAAADr//6U=")</f>
        <v>#VALUE!</v>
      </c>
      <c r="FK27" s="22" t="e">
        <f aca="false">AND('current index'!#ref!,"AAAAADr//6Y=")</f>
        <v>#VALUE!</v>
      </c>
      <c r="FL27" s="22" t="e">
        <f aca="false">AND('current index'!#ref!,"AAAAADr//6c=")</f>
        <v>#VALUE!</v>
      </c>
      <c r="FM27" s="22" t="e">
        <f aca="false">AND('current index'!#ref!,"AAAAADr//6g=")</f>
        <v>#VALUE!</v>
      </c>
      <c r="FN27" s="22" t="e">
        <f aca="false">AND('current index'!#ref!,"AAAAADr//6k=")</f>
        <v>#VALUE!</v>
      </c>
      <c r="FO27" s="22" t="e">
        <f aca="false">AND('current index'!#ref!,"AAAAADr//6o=")</f>
        <v>#VALUE!</v>
      </c>
      <c r="FP27" s="22" t="e">
        <f aca="false">AND('current index'!#ref!,"AAAAADr//6s=")</f>
        <v>#VALUE!</v>
      </c>
      <c r="FQ27" s="22" t="e">
        <f aca="false">AND('current index'!#ref!,"AAAAADr//6w=")</f>
        <v>#VALUE!</v>
      </c>
      <c r="FR27" s="22" t="e">
        <f aca="false">AND('current index'!#ref!,"AAAAADr//60=")</f>
        <v>#VALUE!</v>
      </c>
      <c r="FS27" s="22" t="e">
        <f aca="false">AND('current index'!#ref!,"AAAAADr//64=")</f>
        <v>#VALUE!</v>
      </c>
      <c r="FT27" s="22" t="e">
        <f aca="false">IF('current index'!#ref!,"AAAAADr//68=",0)</f>
        <v>#VALUE!</v>
      </c>
      <c r="FU27" s="22" t="e">
        <f aca="false">AND('current index'!#ref!,"AAAAADr//7A=")</f>
        <v>#VALUE!</v>
      </c>
      <c r="FV27" s="22" t="e">
        <f aca="false">AND('current index'!#ref!,"AAAAADr//7E=")</f>
        <v>#VALUE!</v>
      </c>
      <c r="FW27" s="22" t="e">
        <f aca="false">AND('current index'!#ref!,"AAAAADr//7I=")</f>
        <v>#VALUE!</v>
      </c>
      <c r="FX27" s="22" t="e">
        <f aca="false">AND('current index'!#ref!,"AAAAADr//7M=")</f>
        <v>#VALUE!</v>
      </c>
      <c r="FY27" s="22" t="e">
        <f aca="false">AND('current index'!#ref!,"AAAAADr//7Q=")</f>
        <v>#VALUE!</v>
      </c>
      <c r="FZ27" s="22" t="e">
        <f aca="false">AND('current index'!#ref!,"AAAAADr//7U=")</f>
        <v>#VALUE!</v>
      </c>
      <c r="GA27" s="22" t="e">
        <f aca="false">AND('current index'!#ref!,"AAAAADr//7Y=")</f>
        <v>#VALUE!</v>
      </c>
      <c r="GB27" s="22" t="e">
        <f aca="false">AND('current index'!#ref!,"AAAAADr//7c=")</f>
        <v>#VALUE!</v>
      </c>
      <c r="GC27" s="22" t="e">
        <f aca="false">AND('current index'!#ref!,"AAAAADr//7g=")</f>
        <v>#VALUE!</v>
      </c>
      <c r="GD27" s="22" t="e">
        <f aca="false">AND('current index'!#ref!,"AAAAADr//7k=")</f>
        <v>#VALUE!</v>
      </c>
      <c r="GE27" s="22" t="e">
        <f aca="false">IF('current index'!#ref!,"AAAAADr//7o=",0)</f>
        <v>#VALUE!</v>
      </c>
      <c r="GF27" s="22" t="e">
        <f aca="false">AND('current index'!#ref!,"AAAAADr//7s=")</f>
        <v>#VALUE!</v>
      </c>
      <c r="GG27" s="22" t="e">
        <f aca="false">AND('current index'!#ref!,"AAAAADr//7w=")</f>
        <v>#VALUE!</v>
      </c>
      <c r="GH27" s="22" t="e">
        <f aca="false">AND('current index'!#ref!,"AAAAADr//70=")</f>
        <v>#VALUE!</v>
      </c>
      <c r="GI27" s="22" t="e">
        <f aca="false">AND('current index'!#ref!,"AAAAADr//74=")</f>
        <v>#VALUE!</v>
      </c>
      <c r="GJ27" s="22" t="e">
        <f aca="false">AND('current index'!#ref!,"AAAAADr//78=")</f>
        <v>#VALUE!</v>
      </c>
      <c r="GK27" s="22" t="e">
        <f aca="false">AND('current index'!#ref!,"AAAAADr//8A=")</f>
        <v>#VALUE!</v>
      </c>
      <c r="GL27" s="22" t="e">
        <f aca="false">AND('current index'!#ref!,"AAAAADr//8E=")</f>
        <v>#VALUE!</v>
      </c>
      <c r="GM27" s="22" t="e">
        <f aca="false">AND('current index'!#ref!,"AAAAADr//8I=")</f>
        <v>#VALUE!</v>
      </c>
      <c r="GN27" s="22" t="e">
        <f aca="false">AND('current index'!#ref!,"AAAAADr//8M=")</f>
        <v>#VALUE!</v>
      </c>
      <c r="GO27" s="22" t="e">
        <f aca="false">AND('current index'!#ref!,"AAAAADr//8Q=")</f>
        <v>#VALUE!</v>
      </c>
      <c r="GP27" s="22" t="e">
        <f aca="false">IF(#REF!,"AAAAADr//8U=",0)</f>
        <v>#REF!</v>
      </c>
      <c r="GQ27" s="22" t="e">
        <f aca="false">AND(#REF!,"AAAAADr//8Y=")</f>
        <v>#VALUE!</v>
      </c>
      <c r="GR27" s="22" t="e">
        <f aca="false">AND('current index'!#ref!,"AAAAADr//8c=")</f>
        <v>#VALUE!</v>
      </c>
      <c r="GS27" s="22" t="e">
        <f aca="false">AND(#REF!,"AAAAADr//8g=")</f>
        <v>#VALUE!</v>
      </c>
      <c r="GT27" s="22" t="e">
        <f aca="false">AND(#REF!,"AAAAADr//8k=")</f>
        <v>#VALUE!</v>
      </c>
      <c r="GU27" s="22" t="e">
        <f aca="false">AND(#REF!,"AAAAADr//8o=")</f>
        <v>#VALUE!</v>
      </c>
      <c r="GV27" s="22" t="e">
        <f aca="false">AND(#REF!,"AAAAADr//8s=")</f>
        <v>#VALUE!</v>
      </c>
      <c r="GW27" s="22" t="e">
        <f aca="false">AND(#REF!,"AAAAADr//8w=")</f>
        <v>#VALUE!</v>
      </c>
      <c r="GX27" s="22" t="e">
        <f aca="false">AND(#REF!,"AAAAADr//80=")</f>
        <v>#VALUE!</v>
      </c>
      <c r="GY27" s="22" t="e">
        <f aca="false">AND(#REF!,"AAAAADr//84=")</f>
        <v>#VALUE!</v>
      </c>
      <c r="GZ27" s="22" t="e">
        <f aca="false">AND(#REF!,"AAAAADr//88=")</f>
        <v>#VALUE!</v>
      </c>
      <c r="HA27" s="22" t="e">
        <f aca="false">IF(#REF!,"AAAAADr//9A=",0)</f>
        <v>#REF!</v>
      </c>
      <c r="HB27" s="22" t="e">
        <f aca="false">AND(#REF!,"AAAAADr//9E=")</f>
        <v>#VALUE!</v>
      </c>
      <c r="HC27" s="22" t="e">
        <f aca="false">AND('current index'!#ref!,"AAAAADr//9I=")</f>
        <v>#VALUE!</v>
      </c>
      <c r="HD27" s="22" t="e">
        <f aca="false">AND(#REF!,"AAAAADr//9M=")</f>
        <v>#VALUE!</v>
      </c>
      <c r="HE27" s="22" t="e">
        <f aca="false">AND(#REF!,"AAAAADr//9Q=")</f>
        <v>#VALUE!</v>
      </c>
      <c r="HF27" s="22" t="e">
        <f aca="false">AND(#REF!,"AAAAADr//9U=")</f>
        <v>#VALUE!</v>
      </c>
      <c r="HG27" s="22" t="e">
        <f aca="false">AND(#REF!,"AAAAADr//9Y=")</f>
        <v>#VALUE!</v>
      </c>
      <c r="HH27" s="22" t="e">
        <f aca="false">AND(#REF!,"AAAAADr//9c=")</f>
        <v>#VALUE!</v>
      </c>
      <c r="HI27" s="22" t="e">
        <f aca="false">AND(#REF!,"AAAAADr//9g=")</f>
        <v>#VALUE!</v>
      </c>
      <c r="HJ27" s="22" t="e">
        <f aca="false">AND(#REF!,"AAAAADr//9k=")</f>
        <v>#VALUE!</v>
      </c>
      <c r="HK27" s="22" t="e">
        <f aca="false">AND(#REF!,"AAAAADr//9o=")</f>
        <v>#VALUE!</v>
      </c>
      <c r="HL27" s="22" t="e">
        <f aca="false">IF('current index'!#ref!,"AAAAADr//9s=",0)</f>
        <v>#VALUE!</v>
      </c>
      <c r="HM27" s="22" t="e">
        <f aca="false">AND('current index'!#ref!,"AAAAADr//9w=")</f>
        <v>#VALUE!</v>
      </c>
      <c r="HN27" s="22" t="e">
        <f aca="false">AND('current index'!#ref!,"AAAAADr//90=")</f>
        <v>#VALUE!</v>
      </c>
      <c r="HO27" s="22" t="e">
        <f aca="false">AND('current index'!#ref!,"AAAAADr//94=")</f>
        <v>#VALUE!</v>
      </c>
      <c r="HP27" s="22" t="e">
        <f aca="false">AND('current index'!#ref!,"AAAAADr//98=")</f>
        <v>#VALUE!</v>
      </c>
      <c r="HQ27" s="22" t="e">
        <f aca="false">AND('current index'!#ref!,"AAAAADr//+A=")</f>
        <v>#VALUE!</v>
      </c>
      <c r="HR27" s="22" t="e">
        <f aca="false">AND('current index'!#ref!,"AAAAADr//+E=")</f>
        <v>#VALUE!</v>
      </c>
      <c r="HS27" s="22" t="e">
        <f aca="false">AND('current index'!#ref!,"AAAAADr//+I=")</f>
        <v>#VALUE!</v>
      </c>
      <c r="HT27" s="22" t="e">
        <f aca="false">AND('current index'!#ref!,"AAAAADr//+M=")</f>
        <v>#VALUE!</v>
      </c>
      <c r="HU27" s="22" t="e">
        <f aca="false">AND('current index'!#ref!,"AAAAADr//+Q=")</f>
        <v>#VALUE!</v>
      </c>
      <c r="HV27" s="22" t="e">
        <f aca="false">AND('current index'!#ref!,"AAAAADr//+U=")</f>
        <v>#VALUE!</v>
      </c>
      <c r="HW27" s="22" t="n">
        <f aca="false">IF('Current Index'!675:675,"AAAAADr//+Y=",0)</f>
        <v>0</v>
      </c>
      <c r="HX27" s="22" t="e">
        <f aca="false">AND('Current Index'!A675,"AAAAADr//+c=")</f>
        <v>#VALUE!</v>
      </c>
      <c r="HY27" s="22" t="e">
        <f aca="false">AND('current index'!#ref!,"AAAAADr//+g=")</f>
        <v>#VALUE!</v>
      </c>
      <c r="HZ27" s="22" t="e">
        <f aca="false">AND('Current Index'!B675,"AAAAADr//+k=")</f>
        <v>#VALUE!</v>
      </c>
      <c r="IA27" s="22" t="e">
        <f aca="false">AND('Current Index'!C675,"AAAAADr//+o=")</f>
        <v>#VALUE!</v>
      </c>
      <c r="IB27" s="22" t="e">
        <f aca="false">AND('Current Index'!D675,"AAAAADr//+s=")</f>
        <v>#VALUE!</v>
      </c>
      <c r="IC27" s="22" t="e">
        <f aca="false">AND('Current Index'!E675,"AAAAADr//+w=")</f>
        <v>#VALUE!</v>
      </c>
      <c r="ID27" s="22" t="e">
        <f aca="false">AND('Current Index'!F675,"AAAAADr//+0=")</f>
        <v>#VALUE!</v>
      </c>
      <c r="IE27" s="22" t="e">
        <f aca="false">AND('Current Index'!G675,"AAAAADr//+4=")</f>
        <v>#VALUE!</v>
      </c>
      <c r="IF27" s="22" t="e">
        <f aca="false">AND('Current Index'!H675,"AAAAADr//+8=")</f>
        <v>#VALUE!</v>
      </c>
      <c r="IG27" s="22" t="e">
        <f aca="false">AND('Current Index'!I675,"AAAAADr///A=")</f>
        <v>#VALUE!</v>
      </c>
      <c r="IH27" s="22" t="e">
        <f aca="false">IF('current index'!#ref!,"AAAAADr///E=",0)</f>
        <v>#VALUE!</v>
      </c>
      <c r="II27" s="22" t="e">
        <f aca="false">AND('current index'!#ref!,"AAAAADr///I=")</f>
        <v>#VALUE!</v>
      </c>
      <c r="IJ27" s="22" t="e">
        <f aca="false">AND('current index'!#ref!,"AAAAADr///M=")</f>
        <v>#VALUE!</v>
      </c>
      <c r="IK27" s="22" t="e">
        <f aca="false">AND('current index'!#ref!,"AAAAADr///Q=")</f>
        <v>#VALUE!</v>
      </c>
      <c r="IL27" s="22" t="e">
        <f aca="false">AND('current index'!#ref!,"AAAAADr///U=")</f>
        <v>#VALUE!</v>
      </c>
      <c r="IM27" s="22" t="e">
        <f aca="false">AND('current index'!#ref!,"AAAAADr///Y=")</f>
        <v>#VALUE!</v>
      </c>
      <c r="IN27" s="22" t="e">
        <f aca="false">AND('current index'!#ref!,"AAAAADr///c=")</f>
        <v>#VALUE!</v>
      </c>
      <c r="IO27" s="22" t="e">
        <f aca="false">AND('current index'!#ref!,"AAAAADr///g=")</f>
        <v>#VALUE!</v>
      </c>
      <c r="IP27" s="22" t="e">
        <f aca="false">AND('current index'!#ref!,"AAAAADr///k=")</f>
        <v>#VALUE!</v>
      </c>
      <c r="IQ27" s="22" t="e">
        <f aca="false">AND('current index'!#ref!,"AAAAADr///o=")</f>
        <v>#VALUE!</v>
      </c>
      <c r="IR27" s="22" t="e">
        <f aca="false">AND('current index'!#ref!,"AAAAADr///s=")</f>
        <v>#VALUE!</v>
      </c>
      <c r="IS27" s="22" t="e">
        <f aca="false">IF('current index'!#ref!,"AAAAADr///w=",0)</f>
        <v>#VALUE!</v>
      </c>
      <c r="IT27" s="22" t="e">
        <f aca="false">AND('current index'!#ref!,"AAAAADr///0=")</f>
        <v>#VALUE!</v>
      </c>
      <c r="IU27" s="22" t="e">
        <f aca="false">AND('current index'!#ref!,"AAAAADr///4=")</f>
        <v>#VALUE!</v>
      </c>
      <c r="IV27" s="22" t="e">
        <f aca="false">AND('current index'!#ref!,"AAAAADr///8=")</f>
        <v>#VALUE!</v>
      </c>
    </row>
    <row r="28" customFormat="false" ht="12.75" hidden="false" customHeight="false" outlineLevel="0" collapsed="false">
      <c r="A28" s="22" t="e">
        <f aca="false">AND('current index'!#ref!,"AAAAAFf2JgA=")</f>
        <v>#VALUE!</v>
      </c>
      <c r="B28" s="22" t="e">
        <f aca="false">AND('current index'!#ref!,"AAAAAFf2JgE=")</f>
        <v>#VALUE!</v>
      </c>
      <c r="C28" s="22" t="e">
        <f aca="false">AND('current index'!#ref!,"AAAAAFf2JgI=")</f>
        <v>#VALUE!</v>
      </c>
      <c r="D28" s="22" t="e">
        <f aca="false">AND('current index'!#ref!,"AAAAAFf2JgM=")</f>
        <v>#VALUE!</v>
      </c>
      <c r="E28" s="22" t="e">
        <f aca="false">AND('current index'!#ref!,"AAAAAFf2JgQ=")</f>
        <v>#VALUE!</v>
      </c>
      <c r="F28" s="22" t="e">
        <f aca="false">AND('current index'!#ref!,"AAAAAFf2JgU=")</f>
        <v>#VALUE!</v>
      </c>
      <c r="G28" s="22" t="e">
        <f aca="false">AND('current index'!#ref!,"AAAAAFf2JgY=")</f>
        <v>#VALUE!</v>
      </c>
      <c r="H28" s="22" t="e">
        <f aca="false">IF('current index'!#ref!,"AAAAAFf2Jgc=",0)</f>
        <v>#VALUE!</v>
      </c>
      <c r="I28" s="22" t="e">
        <f aca="false">AND('current index'!#ref!,"AAAAAFf2Jgg=")</f>
        <v>#VALUE!</v>
      </c>
      <c r="J28" s="22" t="e">
        <f aca="false">AND('current index'!#ref!,"AAAAAFf2Jgk=")</f>
        <v>#VALUE!</v>
      </c>
      <c r="K28" s="22" t="e">
        <f aca="false">AND('current index'!#ref!,"AAAAAFf2Jgo=")</f>
        <v>#VALUE!</v>
      </c>
      <c r="L28" s="22" t="e">
        <f aca="false">AND('current index'!#ref!,"AAAAAFf2Jgs=")</f>
        <v>#VALUE!</v>
      </c>
      <c r="M28" s="22" t="e">
        <f aca="false">AND('current index'!#ref!,"AAAAAFf2Jgw=")</f>
        <v>#VALUE!</v>
      </c>
      <c r="N28" s="22" t="e">
        <f aca="false">AND('current index'!#ref!,"AAAAAFf2Jg0=")</f>
        <v>#VALUE!</v>
      </c>
      <c r="O28" s="22" t="e">
        <f aca="false">AND('current index'!#ref!,"AAAAAFf2Jg4=")</f>
        <v>#VALUE!</v>
      </c>
      <c r="P28" s="22" t="e">
        <f aca="false">AND('current index'!#ref!,"AAAAAFf2Jg8=")</f>
        <v>#VALUE!</v>
      </c>
      <c r="Q28" s="22" t="e">
        <f aca="false">AND('current index'!#ref!,"AAAAAFf2JhA=")</f>
        <v>#VALUE!</v>
      </c>
      <c r="R28" s="22" t="e">
        <f aca="false">AND('current index'!#ref!,"AAAAAFf2JhE=")</f>
        <v>#VALUE!</v>
      </c>
      <c r="S28" s="22" t="e">
        <f aca="false">IF('current index'!#ref!,"AAAAAFf2JhI=",0)</f>
        <v>#VALUE!</v>
      </c>
      <c r="T28" s="22" t="e">
        <f aca="false">AND('current index'!#ref!,"AAAAAFf2JhM=")</f>
        <v>#VALUE!</v>
      </c>
      <c r="U28" s="22" t="e">
        <f aca="false">AND('current index'!#ref!,"AAAAAFf2JhQ=")</f>
        <v>#VALUE!</v>
      </c>
      <c r="V28" s="22" t="e">
        <f aca="false">AND('current index'!#ref!,"AAAAAFf2JhU=")</f>
        <v>#VALUE!</v>
      </c>
      <c r="W28" s="22" t="e">
        <f aca="false">AND('current index'!#ref!,"AAAAAFf2JhY=")</f>
        <v>#VALUE!</v>
      </c>
      <c r="X28" s="22" t="e">
        <f aca="false">AND('current index'!#ref!,"AAAAAFf2Jhc=")</f>
        <v>#VALUE!</v>
      </c>
      <c r="Y28" s="22" t="e">
        <f aca="false">AND('current index'!#ref!,"AAAAAFf2Jhg=")</f>
        <v>#VALUE!</v>
      </c>
      <c r="Z28" s="22" t="e">
        <f aca="false">AND('current index'!#ref!,"AAAAAFf2Jhk=")</f>
        <v>#VALUE!</v>
      </c>
      <c r="AA28" s="22" t="e">
        <f aca="false">AND('current index'!#ref!,"AAAAAFf2Jho=")</f>
        <v>#VALUE!</v>
      </c>
      <c r="AB28" s="22" t="e">
        <f aca="false">AND('current index'!#ref!,"AAAAAFf2Jhs=")</f>
        <v>#VALUE!</v>
      </c>
      <c r="AC28" s="22" t="e">
        <f aca="false">AND('current index'!#ref!,"AAAAAFf2Jhw=")</f>
        <v>#VALUE!</v>
      </c>
      <c r="AD28" s="22" t="e">
        <f aca="false">IF('current index'!#ref!,"AAAAAFf2Jh0=",0)</f>
        <v>#VALUE!</v>
      </c>
      <c r="AE28" s="22" t="e">
        <f aca="false">AND('current index'!#ref!,"AAAAAFf2Jh4=")</f>
        <v>#VALUE!</v>
      </c>
      <c r="AF28" s="22" t="e">
        <f aca="false">AND('current index'!#ref!,"AAAAAFf2Jh8=")</f>
        <v>#VALUE!</v>
      </c>
      <c r="AG28" s="22" t="e">
        <f aca="false">AND('current index'!#ref!,"AAAAAFf2JiA=")</f>
        <v>#VALUE!</v>
      </c>
      <c r="AH28" s="22" t="e">
        <f aca="false">AND('current index'!#ref!,"AAAAAFf2JiE=")</f>
        <v>#VALUE!</v>
      </c>
      <c r="AI28" s="22" t="e">
        <f aca="false">AND('current index'!#ref!,"AAAAAFf2JiI=")</f>
        <v>#VALUE!</v>
      </c>
      <c r="AJ28" s="22" t="e">
        <f aca="false">AND('current index'!#ref!,"AAAAAFf2JiM=")</f>
        <v>#VALUE!</v>
      </c>
      <c r="AK28" s="22" t="e">
        <f aca="false">AND('current index'!#ref!,"AAAAAFf2JiQ=")</f>
        <v>#VALUE!</v>
      </c>
      <c r="AL28" s="22" t="e">
        <f aca="false">AND('current index'!#ref!,"AAAAAFf2JiU=")</f>
        <v>#VALUE!</v>
      </c>
      <c r="AM28" s="22" t="e">
        <f aca="false">AND('current index'!#ref!,"AAAAAFf2JiY=")</f>
        <v>#VALUE!</v>
      </c>
      <c r="AN28" s="22" t="e">
        <f aca="false">AND('current index'!#ref!,"AAAAAFf2Jic=")</f>
        <v>#VALUE!</v>
      </c>
      <c r="AO28" s="22" t="e">
        <f aca="false">IF('current index'!#ref!,"AAAAAFf2Jig=",0)</f>
        <v>#VALUE!</v>
      </c>
      <c r="AP28" s="22" t="e">
        <f aca="false">AND('current index'!#ref!,"AAAAAFf2Jik=")</f>
        <v>#VALUE!</v>
      </c>
      <c r="AQ28" s="22" t="e">
        <f aca="false">AND('current index'!#ref!,"AAAAAFf2Jio=")</f>
        <v>#VALUE!</v>
      </c>
      <c r="AR28" s="22" t="e">
        <f aca="false">AND('current index'!#ref!,"AAAAAFf2Jis=")</f>
        <v>#VALUE!</v>
      </c>
      <c r="AS28" s="22" t="e">
        <f aca="false">AND('current index'!#ref!,"AAAAAFf2Jiw=")</f>
        <v>#VALUE!</v>
      </c>
      <c r="AT28" s="22" t="e">
        <f aca="false">AND('current index'!#ref!,"AAAAAFf2Ji0=")</f>
        <v>#VALUE!</v>
      </c>
      <c r="AU28" s="22" t="e">
        <f aca="false">AND('current index'!#ref!,"AAAAAFf2Ji4=")</f>
        <v>#VALUE!</v>
      </c>
      <c r="AV28" s="22" t="e">
        <f aca="false">AND('current index'!#ref!,"AAAAAFf2Ji8=")</f>
        <v>#VALUE!</v>
      </c>
      <c r="AW28" s="22" t="e">
        <f aca="false">AND('current index'!#ref!,"AAAAAFf2JjA=")</f>
        <v>#VALUE!</v>
      </c>
      <c r="AX28" s="22" t="e">
        <f aca="false">AND('current index'!#ref!,"AAAAAFf2JjE=")</f>
        <v>#VALUE!</v>
      </c>
      <c r="AY28" s="22" t="e">
        <f aca="false">AND('current index'!#ref!,"AAAAAFf2JjI=")</f>
        <v>#VALUE!</v>
      </c>
      <c r="AZ28" s="22" t="e">
        <f aca="false">IF('current index'!#ref!,"AAAAAFf2JjM=",0)</f>
        <v>#VALUE!</v>
      </c>
      <c r="BA28" s="22" t="e">
        <f aca="false">AND('current index'!#ref!,"AAAAAFf2JjQ=")</f>
        <v>#VALUE!</v>
      </c>
      <c r="BB28" s="22" t="e">
        <f aca="false">AND('current index'!#ref!,"AAAAAFf2JjU=")</f>
        <v>#VALUE!</v>
      </c>
      <c r="BC28" s="22" t="e">
        <f aca="false">AND('current index'!#ref!,"AAAAAFf2JjY=")</f>
        <v>#VALUE!</v>
      </c>
      <c r="BD28" s="22" t="e">
        <f aca="false">AND('current index'!#ref!,"AAAAAFf2Jjc=")</f>
        <v>#VALUE!</v>
      </c>
      <c r="BE28" s="22" t="e">
        <f aca="false">AND('current index'!#ref!,"AAAAAFf2Jjg=")</f>
        <v>#VALUE!</v>
      </c>
      <c r="BF28" s="22" t="e">
        <f aca="false">AND('current index'!#ref!,"AAAAAFf2Jjk=")</f>
        <v>#VALUE!</v>
      </c>
      <c r="BG28" s="22" t="e">
        <f aca="false">AND('current index'!#ref!,"AAAAAFf2Jjo=")</f>
        <v>#VALUE!</v>
      </c>
      <c r="BH28" s="22" t="e">
        <f aca="false">AND('current index'!#ref!,"AAAAAFf2Jjs=")</f>
        <v>#VALUE!</v>
      </c>
      <c r="BI28" s="22" t="e">
        <f aca="false">AND('current index'!#ref!,"AAAAAFf2Jjw=")</f>
        <v>#VALUE!</v>
      </c>
      <c r="BJ28" s="22" t="e">
        <f aca="false">AND('current index'!#ref!,"AAAAAFf2Jj0=")</f>
        <v>#VALUE!</v>
      </c>
      <c r="BK28" s="22" t="e">
        <f aca="false">IF('current index'!#ref!,"AAAAAFf2Jj4=",0)</f>
        <v>#VALUE!</v>
      </c>
      <c r="BL28" s="22" t="e">
        <f aca="false">AND('current index'!#ref!,"AAAAAFf2Jj8=")</f>
        <v>#VALUE!</v>
      </c>
      <c r="BM28" s="22" t="e">
        <f aca="false">AND('current index'!#ref!,"AAAAAFf2JkA=")</f>
        <v>#VALUE!</v>
      </c>
      <c r="BN28" s="22" t="e">
        <f aca="false">AND('current index'!#ref!,"AAAAAFf2JkE=")</f>
        <v>#VALUE!</v>
      </c>
      <c r="BO28" s="22" t="e">
        <f aca="false">AND('current index'!#ref!,"AAAAAFf2JkI=")</f>
        <v>#VALUE!</v>
      </c>
      <c r="BP28" s="22" t="e">
        <f aca="false">AND('current index'!#ref!,"AAAAAFf2JkM=")</f>
        <v>#VALUE!</v>
      </c>
      <c r="BQ28" s="22" t="e">
        <f aca="false">AND('current index'!#ref!,"AAAAAFf2JkQ=")</f>
        <v>#VALUE!</v>
      </c>
      <c r="BR28" s="22" t="e">
        <f aca="false">AND('current index'!#ref!,"AAAAAFf2JkU=")</f>
        <v>#VALUE!</v>
      </c>
      <c r="BS28" s="22" t="e">
        <f aca="false">AND('current index'!#ref!,"AAAAAFf2JkY=")</f>
        <v>#VALUE!</v>
      </c>
      <c r="BT28" s="22" t="e">
        <f aca="false">AND('current index'!#ref!,"AAAAAFf2Jkc=")</f>
        <v>#VALUE!</v>
      </c>
      <c r="BU28" s="22" t="e">
        <f aca="false">AND('current index'!#ref!,"AAAAAFf2Jkg=")</f>
        <v>#VALUE!</v>
      </c>
      <c r="BV28" s="22" t="n">
        <f aca="false">IF('Current Index'!676:676,"AAAAAFf2Jkk=",0)</f>
        <v>0</v>
      </c>
      <c r="BW28" s="22" t="e">
        <f aca="false">AND('Current Index'!A676,"AAAAAFf2Jko=")</f>
        <v>#VALUE!</v>
      </c>
      <c r="BX28" s="22" t="e">
        <f aca="false">AND('current index'!#ref!,"AAAAAFf2Jks=")</f>
        <v>#VALUE!</v>
      </c>
      <c r="BY28" s="22" t="e">
        <f aca="false">AND('Current Index'!B676,"AAAAAFf2Jkw=")</f>
        <v>#VALUE!</v>
      </c>
      <c r="BZ28" s="22" t="e">
        <f aca="false">AND('Current Index'!C676,"AAAAAFf2Jk0=")</f>
        <v>#VALUE!</v>
      </c>
      <c r="CA28" s="22" t="e">
        <f aca="false">AND('Current Index'!D676,"AAAAAFf2Jk4=")</f>
        <v>#VALUE!</v>
      </c>
      <c r="CB28" s="22" t="e">
        <f aca="false">AND('Current Index'!E676,"AAAAAFf2Jk8=")</f>
        <v>#VALUE!</v>
      </c>
      <c r="CC28" s="22" t="e">
        <f aca="false">AND('Current Index'!F676,"AAAAAFf2JlA=")</f>
        <v>#VALUE!</v>
      </c>
      <c r="CD28" s="22" t="e">
        <f aca="false">AND('Current Index'!G676,"AAAAAFf2JlE=")</f>
        <v>#VALUE!</v>
      </c>
      <c r="CE28" s="22" t="e">
        <f aca="false">AND('Current Index'!H676,"AAAAAFf2JlI=")</f>
        <v>#VALUE!</v>
      </c>
      <c r="CF28" s="22" t="e">
        <f aca="false">AND('Current Index'!I676,"AAAAAFf2JlM=")</f>
        <v>#VALUE!</v>
      </c>
      <c r="CG28" s="22" t="n">
        <f aca="false">IF('Current Index'!677:677,"AAAAAFf2JlQ=",0)</f>
        <v>0</v>
      </c>
      <c r="CH28" s="22" t="e">
        <f aca="false">AND('Current Index'!A677,"AAAAAFf2JlU=")</f>
        <v>#VALUE!</v>
      </c>
      <c r="CI28" s="22" t="e">
        <f aca="false">AND('current index'!#ref!,"AAAAAFf2JlY=")</f>
        <v>#VALUE!</v>
      </c>
      <c r="CJ28" s="22" t="e">
        <f aca="false">AND('Current Index'!B677,"AAAAAFf2Jlc=")</f>
        <v>#VALUE!</v>
      </c>
      <c r="CK28" s="22" t="e">
        <f aca="false">AND('Current Index'!C677,"AAAAAFf2Jlg=")</f>
        <v>#VALUE!</v>
      </c>
      <c r="CL28" s="22" t="e">
        <f aca="false">AND('Current Index'!D677,"AAAAAFf2Jlk=")</f>
        <v>#VALUE!</v>
      </c>
      <c r="CM28" s="22" t="e">
        <f aca="false">AND('Current Index'!E677,"AAAAAFf2Jlo=")</f>
        <v>#VALUE!</v>
      </c>
      <c r="CN28" s="22" t="e">
        <f aca="false">AND('Current Index'!F677,"AAAAAFf2Jls=")</f>
        <v>#VALUE!</v>
      </c>
      <c r="CO28" s="22" t="e">
        <f aca="false">AND('Current Index'!G677,"AAAAAFf2Jlw=")</f>
        <v>#VALUE!</v>
      </c>
      <c r="CP28" s="22" t="e">
        <f aca="false">AND('Current Index'!H677,"AAAAAFf2Jl0=")</f>
        <v>#VALUE!</v>
      </c>
      <c r="CQ28" s="22" t="e">
        <f aca="false">AND('Current Index'!I677,"AAAAAFf2Jl4=")</f>
        <v>#VALUE!</v>
      </c>
      <c r="CR28" s="22" t="n">
        <f aca="false">IF('Current Index'!681:681,"AAAAAFf2Jl8=",0)</f>
        <v>0</v>
      </c>
      <c r="CS28" s="22" t="e">
        <f aca="false">AND('Current Index'!A681,"AAAAAFf2JmA=")</f>
        <v>#VALUE!</v>
      </c>
      <c r="CT28" s="22" t="e">
        <f aca="false">AND('current index'!#ref!,"AAAAAFf2JmE=")</f>
        <v>#VALUE!</v>
      </c>
      <c r="CU28" s="22" t="e">
        <f aca="false">AND('Current Index'!B681,"AAAAAFf2JmI=")</f>
        <v>#VALUE!</v>
      </c>
      <c r="CV28" s="22" t="e">
        <f aca="false">AND('Current Index'!C681,"AAAAAFf2JmM=")</f>
        <v>#VALUE!</v>
      </c>
      <c r="CW28" s="22" t="e">
        <f aca="false">AND('Current Index'!D681,"AAAAAFf2JmQ=")</f>
        <v>#VALUE!</v>
      </c>
      <c r="CX28" s="22" t="e">
        <f aca="false">AND('Current Index'!E681,"AAAAAFf2JmU=")</f>
        <v>#VALUE!</v>
      </c>
      <c r="CY28" s="22" t="e">
        <f aca="false">AND('Current Index'!F681,"AAAAAFf2JmY=")</f>
        <v>#VALUE!</v>
      </c>
      <c r="CZ28" s="22" t="e">
        <f aca="false">AND('Current Index'!G681,"AAAAAFf2Jmc=")</f>
        <v>#VALUE!</v>
      </c>
      <c r="DA28" s="22" t="e">
        <f aca="false">AND('Current Index'!H681,"AAAAAFf2Jmg=")</f>
        <v>#VALUE!</v>
      </c>
      <c r="DB28" s="22" t="e">
        <f aca="false">AND('Current Index'!I681,"AAAAAFf2Jmk=")</f>
        <v>#VALUE!</v>
      </c>
      <c r="DC28" s="22" t="n">
        <f aca="false">IF('Current Index'!682:682,"AAAAAFf2Jmo=",0)</f>
        <v>0</v>
      </c>
      <c r="DD28" s="22" t="e">
        <f aca="false">AND('Current Index'!A682,"AAAAAFf2Jms=")</f>
        <v>#VALUE!</v>
      </c>
      <c r="DE28" s="22" t="e">
        <f aca="false">AND('current index'!#ref!,"AAAAAFf2Jmw=")</f>
        <v>#VALUE!</v>
      </c>
      <c r="DF28" s="22" t="e">
        <f aca="false">AND('Current Index'!B682,"AAAAAFf2Jm0=")</f>
        <v>#VALUE!</v>
      </c>
      <c r="DG28" s="22" t="e">
        <f aca="false">AND('Current Index'!C682,"AAAAAFf2Jm4=")</f>
        <v>#VALUE!</v>
      </c>
      <c r="DH28" s="22" t="e">
        <f aca="false">AND('Current Index'!D682,"AAAAAFf2Jm8=")</f>
        <v>#VALUE!</v>
      </c>
      <c r="DI28" s="22" t="e">
        <f aca="false">AND('Current Index'!E682,"AAAAAFf2JnA=")</f>
        <v>#VALUE!</v>
      </c>
      <c r="DJ28" s="22" t="e">
        <f aca="false">AND('Current Index'!F682,"AAAAAFf2JnE=")</f>
        <v>#VALUE!</v>
      </c>
      <c r="DK28" s="22" t="e">
        <f aca="false">AND('Current Index'!G682,"AAAAAFf2JnI=")</f>
        <v>#VALUE!</v>
      </c>
      <c r="DL28" s="22" t="e">
        <f aca="false">AND('Current Index'!H682,"AAAAAFf2JnM=")</f>
        <v>#VALUE!</v>
      </c>
      <c r="DM28" s="22" t="e">
        <f aca="false">AND('Current Index'!I682,"AAAAAFf2JnQ=")</f>
        <v>#VALUE!</v>
      </c>
      <c r="DN28" s="22" t="e">
        <f aca="false">IF('current index'!#ref!,"AAAAAFf2JnU=",0)</f>
        <v>#VALUE!</v>
      </c>
      <c r="DO28" s="22" t="e">
        <f aca="false">AND('current index'!#ref!,"AAAAAFf2JnY=")</f>
        <v>#VALUE!</v>
      </c>
      <c r="DP28" s="22" t="e">
        <f aca="false">AND('current index'!#ref!,"AAAAAFf2Jnc=")</f>
        <v>#VALUE!</v>
      </c>
      <c r="DQ28" s="22" t="e">
        <f aca="false">AND('current index'!#ref!,"AAAAAFf2Jng=")</f>
        <v>#VALUE!</v>
      </c>
      <c r="DR28" s="22" t="e">
        <f aca="false">AND('current index'!#ref!,"AAAAAFf2Jnk=")</f>
        <v>#VALUE!</v>
      </c>
      <c r="DS28" s="22" t="e">
        <f aca="false">AND('current index'!#ref!,"AAAAAFf2Jno=")</f>
        <v>#VALUE!</v>
      </c>
      <c r="DT28" s="22" t="e">
        <f aca="false">AND('current index'!#ref!,"AAAAAFf2Jns=")</f>
        <v>#VALUE!</v>
      </c>
      <c r="DU28" s="22" t="e">
        <f aca="false">AND('current index'!#ref!,"AAAAAFf2Jnw=")</f>
        <v>#VALUE!</v>
      </c>
      <c r="DV28" s="22" t="e">
        <f aca="false">AND('current index'!#ref!,"AAAAAFf2Jn0=")</f>
        <v>#VALUE!</v>
      </c>
      <c r="DW28" s="22" t="e">
        <f aca="false">AND('current index'!#ref!,"AAAAAFf2Jn4=")</f>
        <v>#VALUE!</v>
      </c>
      <c r="DX28" s="22" t="e">
        <f aca="false">AND('current index'!#ref!,"AAAAAFf2Jn8=")</f>
        <v>#VALUE!</v>
      </c>
      <c r="DY28" s="22" t="e">
        <f aca="false">IF('current index'!#ref!,"AAAAAFf2JoA=",0)</f>
        <v>#VALUE!</v>
      </c>
      <c r="DZ28" s="22" t="e">
        <f aca="false">AND('current index'!#ref!,"AAAAAFf2JoE=")</f>
        <v>#VALUE!</v>
      </c>
      <c r="EA28" s="22" t="e">
        <f aca="false">AND('current index'!#ref!,"AAAAAFf2JoI=")</f>
        <v>#VALUE!</v>
      </c>
      <c r="EB28" s="22" t="e">
        <f aca="false">AND('current index'!#ref!,"AAAAAFf2JoM=")</f>
        <v>#VALUE!</v>
      </c>
      <c r="EC28" s="22" t="e">
        <f aca="false">AND('current index'!#ref!,"AAAAAFf2JoQ=")</f>
        <v>#VALUE!</v>
      </c>
      <c r="ED28" s="22" t="e">
        <f aca="false">AND('current index'!#ref!,"AAAAAFf2JoU=")</f>
        <v>#VALUE!</v>
      </c>
      <c r="EE28" s="22" t="e">
        <f aca="false">AND('current index'!#ref!,"AAAAAFf2JoY=")</f>
        <v>#VALUE!</v>
      </c>
      <c r="EF28" s="22" t="e">
        <f aca="false">AND('current index'!#ref!,"AAAAAFf2Joc=")</f>
        <v>#VALUE!</v>
      </c>
      <c r="EG28" s="22" t="e">
        <f aca="false">AND('current index'!#ref!,"AAAAAFf2Jog=")</f>
        <v>#VALUE!</v>
      </c>
      <c r="EH28" s="22" t="e">
        <f aca="false">AND('current index'!#ref!,"AAAAAFf2Jok=")</f>
        <v>#VALUE!</v>
      </c>
      <c r="EI28" s="22" t="e">
        <f aca="false">AND('current index'!#ref!,"AAAAAFf2Joo=")</f>
        <v>#VALUE!</v>
      </c>
      <c r="EJ28" s="22" t="e">
        <f aca="false">IF('current index'!#ref!,"AAAAAFf2Jos=",0)</f>
        <v>#VALUE!</v>
      </c>
      <c r="EK28" s="22" t="e">
        <f aca="false">AND('current index'!#ref!,"AAAAAFf2Jow=")</f>
        <v>#VALUE!</v>
      </c>
      <c r="EL28" s="22" t="e">
        <f aca="false">AND('current index'!#ref!,"AAAAAFf2Jo0=")</f>
        <v>#VALUE!</v>
      </c>
      <c r="EM28" s="22" t="e">
        <f aca="false">AND('current index'!#ref!,"AAAAAFf2Jo4=")</f>
        <v>#VALUE!</v>
      </c>
      <c r="EN28" s="22" t="e">
        <f aca="false">AND('current index'!#ref!,"AAAAAFf2Jo8=")</f>
        <v>#VALUE!</v>
      </c>
      <c r="EO28" s="22" t="e">
        <f aca="false">AND('current index'!#ref!,"AAAAAFf2JpA=")</f>
        <v>#VALUE!</v>
      </c>
      <c r="EP28" s="22" t="e">
        <f aca="false">AND('current index'!#ref!,"AAAAAFf2JpE=")</f>
        <v>#VALUE!</v>
      </c>
      <c r="EQ28" s="22" t="e">
        <f aca="false">AND('current index'!#ref!,"AAAAAFf2JpI=")</f>
        <v>#VALUE!</v>
      </c>
      <c r="ER28" s="22" t="e">
        <f aca="false">AND('current index'!#ref!,"AAAAAFf2JpM=")</f>
        <v>#VALUE!</v>
      </c>
      <c r="ES28" s="22" t="e">
        <f aca="false">AND('current index'!#ref!,"AAAAAFf2JpQ=")</f>
        <v>#VALUE!</v>
      </c>
      <c r="ET28" s="22" t="e">
        <f aca="false">AND('current index'!#ref!,"AAAAAFf2JpU=")</f>
        <v>#VALUE!</v>
      </c>
      <c r="EU28" s="22" t="e">
        <f aca="false">IF('current index'!#ref!,"AAAAAFf2JpY=",0)</f>
        <v>#VALUE!</v>
      </c>
      <c r="EV28" s="22" t="e">
        <f aca="false">AND('current index'!#ref!,"AAAAAFf2Jpc=")</f>
        <v>#VALUE!</v>
      </c>
      <c r="EW28" s="22" t="e">
        <f aca="false">AND('current index'!#ref!,"AAAAAFf2Jpg=")</f>
        <v>#VALUE!</v>
      </c>
      <c r="EX28" s="22" t="e">
        <f aca="false">AND('current index'!#ref!,"AAAAAFf2Jpk=")</f>
        <v>#VALUE!</v>
      </c>
      <c r="EY28" s="22" t="e">
        <f aca="false">AND('current index'!#ref!,"AAAAAFf2Jpo=")</f>
        <v>#VALUE!</v>
      </c>
      <c r="EZ28" s="22" t="e">
        <f aca="false">AND('current index'!#ref!,"AAAAAFf2Jps=")</f>
        <v>#VALUE!</v>
      </c>
      <c r="FA28" s="22" t="e">
        <f aca="false">AND('current index'!#ref!,"AAAAAFf2Jpw=")</f>
        <v>#VALUE!</v>
      </c>
      <c r="FB28" s="22" t="e">
        <f aca="false">AND('current index'!#ref!,"AAAAAFf2Jp0=")</f>
        <v>#VALUE!</v>
      </c>
      <c r="FC28" s="22" t="e">
        <f aca="false">AND('current index'!#ref!,"AAAAAFf2Jp4=")</f>
        <v>#VALUE!</v>
      </c>
      <c r="FD28" s="22" t="e">
        <f aca="false">AND('current index'!#ref!,"AAAAAFf2Jp8=")</f>
        <v>#VALUE!</v>
      </c>
      <c r="FE28" s="22" t="e">
        <f aca="false">AND('current index'!#ref!,"AAAAAFf2JqA=")</f>
        <v>#VALUE!</v>
      </c>
      <c r="FF28" s="22" t="n">
        <f aca="false">IF('Current Index'!683:683,"AAAAAFf2JqE=",0)</f>
        <v>0</v>
      </c>
      <c r="FG28" s="22" t="e">
        <f aca="false">AND('Current Index'!A683,"AAAAAFf2JqI=")</f>
        <v>#VALUE!</v>
      </c>
      <c r="FH28" s="22" t="e">
        <f aca="false">AND('current index'!#ref!,"AAAAAFf2JqM=")</f>
        <v>#VALUE!</v>
      </c>
      <c r="FI28" s="22" t="e">
        <f aca="false">AND('Current Index'!B683,"AAAAAFf2JqQ=")</f>
        <v>#VALUE!</v>
      </c>
      <c r="FJ28" s="22" t="e">
        <f aca="false">AND('Current Index'!C683,"AAAAAFf2JqU=")</f>
        <v>#VALUE!</v>
      </c>
      <c r="FK28" s="22" t="e">
        <f aca="false">AND('Current Index'!D683,"AAAAAFf2JqY=")</f>
        <v>#VALUE!</v>
      </c>
      <c r="FL28" s="22" t="e">
        <f aca="false">AND('Current Index'!E683,"AAAAAFf2Jqc=")</f>
        <v>#VALUE!</v>
      </c>
      <c r="FM28" s="22" t="e">
        <f aca="false">AND('Current Index'!F683,"AAAAAFf2Jqg=")</f>
        <v>#VALUE!</v>
      </c>
      <c r="FN28" s="22" t="e">
        <f aca="false">AND('Current Index'!G683,"AAAAAFf2Jqk=")</f>
        <v>#VALUE!</v>
      </c>
      <c r="FO28" s="22" t="e">
        <f aca="false">AND('Current Index'!H683,"AAAAAFf2Jqo=")</f>
        <v>#VALUE!</v>
      </c>
      <c r="FP28" s="22" t="e">
        <f aca="false">AND('Current Index'!I683,"AAAAAFf2Jqs=")</f>
        <v>#VALUE!</v>
      </c>
      <c r="FQ28" s="22" t="e">
        <f aca="false">IF('current index'!#ref!,"AAAAAFf2Jqw=",0)</f>
        <v>#VALUE!</v>
      </c>
      <c r="FR28" s="22" t="e">
        <f aca="false">AND('current index'!#ref!,"AAAAAFf2Jq0=")</f>
        <v>#VALUE!</v>
      </c>
      <c r="FS28" s="22" t="e">
        <f aca="false">AND('current index'!#ref!,"AAAAAFf2Jq4=")</f>
        <v>#VALUE!</v>
      </c>
      <c r="FT28" s="22" t="e">
        <f aca="false">AND('current index'!#ref!,"AAAAAFf2Jq8=")</f>
        <v>#VALUE!</v>
      </c>
      <c r="FU28" s="22" t="e">
        <f aca="false">AND('current index'!#ref!,"AAAAAFf2JrA=")</f>
        <v>#VALUE!</v>
      </c>
      <c r="FV28" s="22" t="e">
        <f aca="false">AND('current index'!#ref!,"AAAAAFf2JrE=")</f>
        <v>#VALUE!</v>
      </c>
      <c r="FW28" s="22" t="e">
        <f aca="false">AND('current index'!#ref!,"AAAAAFf2JrI=")</f>
        <v>#VALUE!</v>
      </c>
      <c r="FX28" s="22" t="e">
        <f aca="false">AND('current index'!#ref!,"AAAAAFf2JrM=")</f>
        <v>#VALUE!</v>
      </c>
      <c r="FY28" s="22" t="e">
        <f aca="false">AND('current index'!#ref!,"AAAAAFf2JrQ=")</f>
        <v>#VALUE!</v>
      </c>
      <c r="FZ28" s="22" t="e">
        <f aca="false">AND('current index'!#ref!,"AAAAAFf2JrU=")</f>
        <v>#VALUE!</v>
      </c>
      <c r="GA28" s="22" t="e">
        <f aca="false">AND('current index'!#ref!,"AAAAAFf2JrY=")</f>
        <v>#VALUE!</v>
      </c>
      <c r="GB28" s="22" t="n">
        <f aca="false">IF('Current Index'!684:684,"AAAAAFf2Jrc=",0)</f>
        <v>0</v>
      </c>
      <c r="GC28" s="22" t="e">
        <f aca="false">AND('Current Index'!A684,"AAAAAFf2Jrg=")</f>
        <v>#VALUE!</v>
      </c>
      <c r="GD28" s="22" t="e">
        <f aca="false">AND('current index'!#ref!,"AAAAAFf2Jrk=")</f>
        <v>#VALUE!</v>
      </c>
      <c r="GE28" s="22" t="e">
        <f aca="false">AND('Current Index'!B684,"AAAAAFf2Jro=")</f>
        <v>#VALUE!</v>
      </c>
      <c r="GF28" s="22" t="e">
        <f aca="false">AND('Current Index'!C684,"AAAAAFf2Jrs=")</f>
        <v>#VALUE!</v>
      </c>
      <c r="GG28" s="22" t="e">
        <f aca="false">AND('Current Index'!D684,"AAAAAFf2Jrw=")</f>
        <v>#VALUE!</v>
      </c>
      <c r="GH28" s="22" t="e">
        <f aca="false">AND('Current Index'!E684,"AAAAAFf2Jr0=")</f>
        <v>#VALUE!</v>
      </c>
      <c r="GI28" s="22" t="e">
        <f aca="false">AND('Current Index'!F684,"AAAAAFf2Jr4=")</f>
        <v>#VALUE!</v>
      </c>
      <c r="GJ28" s="22" t="e">
        <f aca="false">AND('Current Index'!G684,"AAAAAFf2Jr8=")</f>
        <v>#VALUE!</v>
      </c>
      <c r="GK28" s="22" t="e">
        <f aca="false">AND('Current Index'!H684,"AAAAAFf2JsA=")</f>
        <v>#VALUE!</v>
      </c>
      <c r="GL28" s="22" t="e">
        <f aca="false">AND('Current Index'!I684,"AAAAAFf2JsE=")</f>
        <v>#VALUE!</v>
      </c>
      <c r="GM28" s="22" t="e">
        <f aca="false">IF('current index'!#ref!,"AAAAAFf2JsI=",0)</f>
        <v>#VALUE!</v>
      </c>
      <c r="GN28" s="22" t="e">
        <f aca="false">AND('current index'!#ref!,"AAAAAFf2JsM=")</f>
        <v>#VALUE!</v>
      </c>
      <c r="GO28" s="22" t="e">
        <f aca="false">AND('current index'!#ref!,"AAAAAFf2JsQ=")</f>
        <v>#VALUE!</v>
      </c>
      <c r="GP28" s="22" t="e">
        <f aca="false">AND('current index'!#ref!,"AAAAAFf2JsU=")</f>
        <v>#VALUE!</v>
      </c>
      <c r="GQ28" s="22" t="e">
        <f aca="false">AND('current index'!#ref!,"AAAAAFf2JsY=")</f>
        <v>#VALUE!</v>
      </c>
      <c r="GR28" s="22" t="e">
        <f aca="false">AND('current index'!#ref!,"AAAAAFf2Jsc=")</f>
        <v>#VALUE!</v>
      </c>
      <c r="GS28" s="22" t="e">
        <f aca="false">AND('current index'!#ref!,"AAAAAFf2Jsg=")</f>
        <v>#VALUE!</v>
      </c>
      <c r="GT28" s="22" t="e">
        <f aca="false">AND('current index'!#ref!,"AAAAAFf2Jsk=")</f>
        <v>#VALUE!</v>
      </c>
      <c r="GU28" s="22" t="e">
        <f aca="false">AND('current index'!#ref!,"AAAAAFf2Jso=")</f>
        <v>#VALUE!</v>
      </c>
      <c r="GV28" s="22" t="e">
        <f aca="false">AND('current index'!#ref!,"AAAAAFf2Jss=")</f>
        <v>#VALUE!</v>
      </c>
      <c r="GW28" s="22" t="e">
        <f aca="false">AND('current index'!#ref!,"AAAAAFf2Jsw=")</f>
        <v>#VALUE!</v>
      </c>
      <c r="GX28" s="22" t="e">
        <f aca="false">IF('current index'!#ref!,"AAAAAFf2Js0=",0)</f>
        <v>#VALUE!</v>
      </c>
      <c r="GY28" s="22" t="e">
        <f aca="false">AND('current index'!#ref!,"AAAAAFf2Js4=")</f>
        <v>#VALUE!</v>
      </c>
      <c r="GZ28" s="22" t="e">
        <f aca="false">AND('current index'!#ref!,"AAAAAFf2Js8=")</f>
        <v>#VALUE!</v>
      </c>
      <c r="HA28" s="22" t="e">
        <f aca="false">AND('current index'!#ref!,"AAAAAFf2JtA=")</f>
        <v>#VALUE!</v>
      </c>
      <c r="HB28" s="22" t="e">
        <f aca="false">AND('current index'!#ref!,"AAAAAFf2JtE=")</f>
        <v>#VALUE!</v>
      </c>
      <c r="HC28" s="22" t="e">
        <f aca="false">AND('current index'!#ref!,"AAAAAFf2JtI=")</f>
        <v>#VALUE!</v>
      </c>
      <c r="HD28" s="22" t="e">
        <f aca="false">AND('current index'!#ref!,"AAAAAFf2JtM=")</f>
        <v>#VALUE!</v>
      </c>
      <c r="HE28" s="22" t="e">
        <f aca="false">AND('current index'!#ref!,"AAAAAFf2JtQ=")</f>
        <v>#VALUE!</v>
      </c>
      <c r="HF28" s="22" t="e">
        <f aca="false">AND('current index'!#ref!,"AAAAAFf2JtU=")</f>
        <v>#VALUE!</v>
      </c>
      <c r="HG28" s="22" t="e">
        <f aca="false">AND('current index'!#ref!,"AAAAAFf2JtY=")</f>
        <v>#VALUE!</v>
      </c>
      <c r="HH28" s="22" t="e">
        <f aca="false">AND('current index'!#ref!,"AAAAAFf2Jtc=")</f>
        <v>#VALUE!</v>
      </c>
      <c r="HI28" s="22" t="n">
        <f aca="false">IF('Current Index'!691:691,"AAAAAFf2Jtg=",0)</f>
        <v>0</v>
      </c>
      <c r="HJ28" s="22" t="e">
        <f aca="false">AND('Current Index'!A691,"AAAAAFf2Jtk=")</f>
        <v>#VALUE!</v>
      </c>
      <c r="HK28" s="22" t="e">
        <f aca="false">AND('current index'!#ref!,"AAAAAFf2Jto=")</f>
        <v>#VALUE!</v>
      </c>
      <c r="HL28" s="22" t="e">
        <f aca="false">AND('Current Index'!B691,"AAAAAFf2Jts=")</f>
        <v>#VALUE!</v>
      </c>
      <c r="HM28" s="22" t="e">
        <f aca="false">AND('Current Index'!C691,"AAAAAFf2Jtw=")</f>
        <v>#VALUE!</v>
      </c>
      <c r="HN28" s="22" t="e">
        <f aca="false">AND('Current Index'!D691,"AAAAAFf2Jt0=")</f>
        <v>#VALUE!</v>
      </c>
      <c r="HO28" s="22" t="e">
        <f aca="false">AND('Current Index'!E691,"AAAAAFf2Jt4=")</f>
        <v>#VALUE!</v>
      </c>
      <c r="HP28" s="22" t="e">
        <f aca="false">AND('Current Index'!F691,"AAAAAFf2Jt8=")</f>
        <v>#VALUE!</v>
      </c>
      <c r="HQ28" s="22" t="e">
        <f aca="false">AND('Current Index'!G691,"AAAAAFf2JuA=")</f>
        <v>#VALUE!</v>
      </c>
      <c r="HR28" s="22" t="e">
        <f aca="false">AND('Current Index'!H691,"AAAAAFf2JuE=")</f>
        <v>#VALUE!</v>
      </c>
      <c r="HS28" s="22" t="e">
        <f aca="false">AND('Current Index'!I691,"AAAAAFf2JuI=")</f>
        <v>#VALUE!</v>
      </c>
      <c r="HT28" s="22" t="n">
        <f aca="false">IF('Current Index'!692:692,"AAAAAFf2JuM=",0)</f>
        <v>0</v>
      </c>
      <c r="HU28" s="22" t="e">
        <f aca="false">AND('Current Index'!A692,"AAAAAFf2JuQ=")</f>
        <v>#VALUE!</v>
      </c>
      <c r="HV28" s="22" t="e">
        <f aca="false">AND('current index'!#ref!,"AAAAAFf2JuU=")</f>
        <v>#VALUE!</v>
      </c>
      <c r="HW28" s="22" t="e">
        <f aca="false">AND('Current Index'!B692,"AAAAAFf2JuY=")</f>
        <v>#VALUE!</v>
      </c>
      <c r="HX28" s="22" t="e">
        <f aca="false">AND('Current Index'!C692,"AAAAAFf2Juc=")</f>
        <v>#VALUE!</v>
      </c>
      <c r="HY28" s="22" t="e">
        <f aca="false">AND('Current Index'!D692,"AAAAAFf2Jug=")</f>
        <v>#VALUE!</v>
      </c>
      <c r="HZ28" s="22" t="e">
        <f aca="false">AND('Current Index'!E692,"AAAAAFf2Juk=")</f>
        <v>#VALUE!</v>
      </c>
      <c r="IA28" s="22" t="e">
        <f aca="false">AND('Current Index'!F692,"AAAAAFf2Juo=")</f>
        <v>#VALUE!</v>
      </c>
      <c r="IB28" s="22" t="e">
        <f aca="false">AND('Current Index'!G692,"AAAAAFf2Jus=")</f>
        <v>#VALUE!</v>
      </c>
      <c r="IC28" s="22" t="e">
        <f aca="false">AND('Current Index'!H692,"AAAAAFf2Juw=")</f>
        <v>#VALUE!</v>
      </c>
      <c r="ID28" s="22" t="e">
        <f aca="false">AND('Current Index'!I692,"AAAAAFf2Ju0=")</f>
        <v>#VALUE!</v>
      </c>
      <c r="IE28" s="22" t="e">
        <f aca="false">IF('current index'!#ref!,"AAAAAFf2Ju4=",0)</f>
        <v>#VALUE!</v>
      </c>
      <c r="IF28" s="22" t="e">
        <f aca="false">AND('current index'!#ref!,"AAAAAFf2Ju8=")</f>
        <v>#VALUE!</v>
      </c>
      <c r="IG28" s="22" t="e">
        <f aca="false">AND('current index'!#ref!,"AAAAAFf2JvA=")</f>
        <v>#VALUE!</v>
      </c>
      <c r="IH28" s="22" t="e">
        <f aca="false">AND('current index'!#ref!,"AAAAAFf2JvE=")</f>
        <v>#VALUE!</v>
      </c>
      <c r="II28" s="22" t="e">
        <f aca="false">AND('current index'!#ref!,"AAAAAFf2JvI=")</f>
        <v>#VALUE!</v>
      </c>
      <c r="IJ28" s="22" t="e">
        <f aca="false">AND('current index'!#ref!,"AAAAAFf2JvM=")</f>
        <v>#VALUE!</v>
      </c>
      <c r="IK28" s="22" t="e">
        <f aca="false">AND('current index'!#ref!,"AAAAAFf2JvQ=")</f>
        <v>#VALUE!</v>
      </c>
      <c r="IL28" s="22" t="e">
        <f aca="false">AND('current index'!#ref!,"AAAAAFf2JvU=")</f>
        <v>#VALUE!</v>
      </c>
      <c r="IM28" s="22" t="e">
        <f aca="false">AND('current index'!#ref!,"AAAAAFf2JvY=")</f>
        <v>#VALUE!</v>
      </c>
      <c r="IN28" s="22" t="e">
        <f aca="false">AND('current index'!#ref!,"AAAAAFf2Jvc=")</f>
        <v>#VALUE!</v>
      </c>
      <c r="IO28" s="22" t="e">
        <f aca="false">AND('current index'!#ref!,"AAAAAFf2Jvg=")</f>
        <v>#VALUE!</v>
      </c>
      <c r="IP28" s="22" t="n">
        <f aca="false">IF('Current Index'!707:707,"AAAAAFf2Jvk=",0)</f>
        <v>0</v>
      </c>
      <c r="IQ28" s="22" t="e">
        <f aca="false">AND('Current Index'!A707,"AAAAAFf2Jvo=")</f>
        <v>#VALUE!</v>
      </c>
      <c r="IR28" s="22" t="e">
        <f aca="false">AND('current index'!#ref!,"AAAAAFf2Jvs=")</f>
        <v>#VALUE!</v>
      </c>
      <c r="IS28" s="22" t="e">
        <f aca="false">AND('Current Index'!B707,"AAAAAFf2Jvw=")</f>
        <v>#VALUE!</v>
      </c>
      <c r="IT28" s="22" t="e">
        <f aca="false">AND('Current Index'!C707,"AAAAAFf2Jv0=")</f>
        <v>#VALUE!</v>
      </c>
      <c r="IU28" s="22" t="e">
        <f aca="false">AND('Current Index'!D707,"AAAAAFf2Jv4=")</f>
        <v>#VALUE!</v>
      </c>
      <c r="IV28" s="22" t="e">
        <f aca="false">AND('Current Index'!E707,"AAAAAFf2Jv8=")</f>
        <v>#VALUE!</v>
      </c>
    </row>
    <row r="29" customFormat="false" ht="12.75" hidden="false" customHeight="false" outlineLevel="0" collapsed="false">
      <c r="A29" s="22" t="e">
        <f aca="false">AND('Current Index'!F707,"AAAAAC/6ugA=")</f>
        <v>#VALUE!</v>
      </c>
      <c r="B29" s="22" t="e">
        <f aca="false">AND('Current Index'!G707,"AAAAAC/6ugE=")</f>
        <v>#VALUE!</v>
      </c>
      <c r="C29" s="22" t="e">
        <f aca="false">AND('Current Index'!H707,"AAAAAC/6ugI=")</f>
        <v>#VALUE!</v>
      </c>
      <c r="D29" s="22" t="e">
        <f aca="false">AND('Current Index'!I707,"AAAAAC/6ugM=")</f>
        <v>#VALUE!</v>
      </c>
      <c r="E29" s="22" t="e">
        <f aca="false">IF('Current Index'!708:708,"AAAAAC/6ugQ=",0)</f>
        <v>#VALUE!</v>
      </c>
      <c r="F29" s="22" t="e">
        <f aca="false">AND('Current Index'!A708,"AAAAAC/6ugU=")</f>
        <v>#VALUE!</v>
      </c>
      <c r="G29" s="22" t="e">
        <f aca="false">AND('current index'!#ref!,"AAAAAC/6ugY=")</f>
        <v>#VALUE!</v>
      </c>
      <c r="H29" s="22" t="e">
        <f aca="false">AND('Current Index'!B708,"AAAAAC/6ugc=")</f>
        <v>#VALUE!</v>
      </c>
      <c r="I29" s="22" t="e">
        <f aca="false">AND('Current Index'!C708,"AAAAAC/6ugg=")</f>
        <v>#VALUE!</v>
      </c>
      <c r="J29" s="22" t="e">
        <f aca="false">AND('Current Index'!D708,"AAAAAC/6ugk=")</f>
        <v>#VALUE!</v>
      </c>
      <c r="K29" s="22" t="e">
        <f aca="false">AND('Current Index'!E708,"AAAAAC/6ugo=")</f>
        <v>#VALUE!</v>
      </c>
      <c r="L29" s="22" t="e">
        <f aca="false">AND('Current Index'!F708,"AAAAAC/6ugs=")</f>
        <v>#VALUE!</v>
      </c>
      <c r="M29" s="22" t="e">
        <f aca="false">AND('Current Index'!G708,"AAAAAC/6ugw=")</f>
        <v>#VALUE!</v>
      </c>
      <c r="N29" s="22" t="e">
        <f aca="false">AND('Current Index'!H708,"AAAAAC/6ug0=")</f>
        <v>#VALUE!</v>
      </c>
      <c r="O29" s="22" t="e">
        <f aca="false">AND('Current Index'!I708,"AAAAAC/6ug4=")</f>
        <v>#VALUE!</v>
      </c>
      <c r="P29" s="22" t="n">
        <f aca="false">IF('Current Index'!709:709,"AAAAAC/6ug8=",0)</f>
        <v>0</v>
      </c>
      <c r="Q29" s="22" t="e">
        <f aca="false">AND('Current Index'!A709,"AAAAAC/6uhA=")</f>
        <v>#VALUE!</v>
      </c>
      <c r="R29" s="22" t="e">
        <f aca="false">AND('current index'!#ref!,"AAAAAC/6uhE=")</f>
        <v>#VALUE!</v>
      </c>
      <c r="S29" s="22" t="e">
        <f aca="false">AND('Current Index'!B709,"AAAAAC/6uhI=")</f>
        <v>#VALUE!</v>
      </c>
      <c r="T29" s="22" t="e">
        <f aca="false">AND('Current Index'!C709,"AAAAAC/6uhM=")</f>
        <v>#VALUE!</v>
      </c>
      <c r="U29" s="22" t="e">
        <f aca="false">AND('Current Index'!D709,"AAAAAC/6uhQ=")</f>
        <v>#VALUE!</v>
      </c>
      <c r="V29" s="22" t="e">
        <f aca="false">AND('Current Index'!E709,"AAAAAC/6uhU=")</f>
        <v>#VALUE!</v>
      </c>
      <c r="W29" s="22" t="e">
        <f aca="false">AND('Current Index'!F709,"AAAAAC/6uhY=")</f>
        <v>#VALUE!</v>
      </c>
      <c r="X29" s="22" t="e">
        <f aca="false">AND('Current Index'!G709,"AAAAAC/6uhc=")</f>
        <v>#VALUE!</v>
      </c>
      <c r="Y29" s="22" t="e">
        <f aca="false">AND('Current Index'!H709,"AAAAAC/6uhg=")</f>
        <v>#VALUE!</v>
      </c>
      <c r="Z29" s="22" t="e">
        <f aca="false">AND('Current Index'!I709,"AAAAAC/6uhk=")</f>
        <v>#VALUE!</v>
      </c>
      <c r="AA29" s="22" t="n">
        <f aca="false">IF('Current Index'!710:710,"AAAAAC/6uho=",0)</f>
        <v>0</v>
      </c>
      <c r="AB29" s="22" t="e">
        <f aca="false">AND('Current Index'!A710,"AAAAAC/6uhs=")</f>
        <v>#VALUE!</v>
      </c>
      <c r="AC29" s="22" t="e">
        <f aca="false">AND('current index'!#ref!,"AAAAAC/6uhw=")</f>
        <v>#VALUE!</v>
      </c>
      <c r="AD29" s="22" t="e">
        <f aca="false">AND('Current Index'!B710,"AAAAAC/6uh0=")</f>
        <v>#VALUE!</v>
      </c>
      <c r="AE29" s="22" t="e">
        <f aca="false">AND('Current Index'!C710,"AAAAAC/6uh4=")</f>
        <v>#VALUE!</v>
      </c>
      <c r="AF29" s="22" t="e">
        <f aca="false">AND('Current Index'!D710,"AAAAAC/6uh8=")</f>
        <v>#VALUE!</v>
      </c>
      <c r="AG29" s="22" t="e">
        <f aca="false">AND('Current Index'!E710,"AAAAAC/6uiA=")</f>
        <v>#VALUE!</v>
      </c>
      <c r="AH29" s="22" t="e">
        <f aca="false">AND('Current Index'!F710,"AAAAAC/6uiE=")</f>
        <v>#VALUE!</v>
      </c>
      <c r="AI29" s="22" t="e">
        <f aca="false">AND('Current Index'!G710,"AAAAAC/6uiI=")</f>
        <v>#VALUE!</v>
      </c>
      <c r="AJ29" s="22" t="e">
        <f aca="false">AND('Current Index'!H710,"AAAAAC/6uiM=")</f>
        <v>#VALUE!</v>
      </c>
      <c r="AK29" s="22" t="e">
        <f aca="false">AND('Current Index'!I710,"AAAAAC/6uiQ=")</f>
        <v>#VALUE!</v>
      </c>
      <c r="AL29" s="22" t="n">
        <f aca="false">IF('Current Index'!711:711,"AAAAAC/6uiU=",0)</f>
        <v>0</v>
      </c>
      <c r="AM29" s="22" t="e">
        <f aca="false">AND('Current Index'!A711,"AAAAAC/6uiY=")</f>
        <v>#VALUE!</v>
      </c>
      <c r="AN29" s="22" t="e">
        <f aca="false">AND('current index'!#ref!,"AAAAAC/6uic=")</f>
        <v>#VALUE!</v>
      </c>
      <c r="AO29" s="22" t="e">
        <f aca="false">AND('Current Index'!B711,"AAAAAC/6uig=")</f>
        <v>#VALUE!</v>
      </c>
      <c r="AP29" s="22" t="e">
        <f aca="false">AND('Current Index'!C711,"AAAAAC/6uik=")</f>
        <v>#VALUE!</v>
      </c>
      <c r="AQ29" s="22" t="e">
        <f aca="false">AND('Current Index'!D711,"AAAAAC/6uio=")</f>
        <v>#VALUE!</v>
      </c>
      <c r="AR29" s="22" t="e">
        <f aca="false">AND('Current Index'!E711,"AAAAAC/6uis=")</f>
        <v>#VALUE!</v>
      </c>
      <c r="AS29" s="22" t="e">
        <f aca="false">AND('Current Index'!F711,"AAAAAC/6uiw=")</f>
        <v>#VALUE!</v>
      </c>
      <c r="AT29" s="22" t="e">
        <f aca="false">AND('Current Index'!G711,"AAAAAC/6ui0=")</f>
        <v>#VALUE!</v>
      </c>
      <c r="AU29" s="22" t="e">
        <f aca="false">AND('Current Index'!H711,"AAAAAC/6ui4=")</f>
        <v>#VALUE!</v>
      </c>
      <c r="AV29" s="22" t="e">
        <f aca="false">AND('Current Index'!I711,"AAAAAC/6ui8=")</f>
        <v>#VALUE!</v>
      </c>
      <c r="AW29" s="22" t="n">
        <f aca="false">IF('Current Index'!712:712,"AAAAAC/6ujA=",0)</f>
        <v>0</v>
      </c>
      <c r="AX29" s="22" t="e">
        <f aca="false">AND('Current Index'!A712,"AAAAAC/6ujE=")</f>
        <v>#VALUE!</v>
      </c>
      <c r="AY29" s="22" t="e">
        <f aca="false">AND('current index'!#ref!,"AAAAAC/6ujI=")</f>
        <v>#VALUE!</v>
      </c>
      <c r="AZ29" s="22" t="e">
        <f aca="false">AND('Current Index'!B712,"AAAAAC/6ujM=")</f>
        <v>#VALUE!</v>
      </c>
      <c r="BA29" s="22" t="e">
        <f aca="false">AND('Current Index'!C712,"AAAAAC/6ujQ=")</f>
        <v>#VALUE!</v>
      </c>
      <c r="BB29" s="22" t="e">
        <f aca="false">AND('Current Index'!D712,"AAAAAC/6ujU=")</f>
        <v>#VALUE!</v>
      </c>
      <c r="BC29" s="22" t="e">
        <f aca="false">AND('Current Index'!E712,"AAAAAC/6ujY=")</f>
        <v>#VALUE!</v>
      </c>
      <c r="BD29" s="22" t="e">
        <f aca="false">AND('Current Index'!F712,"AAAAAC/6ujc=")</f>
        <v>#VALUE!</v>
      </c>
      <c r="BE29" s="22" t="e">
        <f aca="false">AND('Current Index'!G712,"AAAAAC/6ujg=")</f>
        <v>#VALUE!</v>
      </c>
      <c r="BF29" s="22" t="e">
        <f aca="false">AND('Current Index'!H712,"AAAAAC/6ujk=")</f>
        <v>#VALUE!</v>
      </c>
      <c r="BG29" s="22" t="e">
        <f aca="false">AND('Current Index'!I712,"AAAAAC/6ujo=")</f>
        <v>#VALUE!</v>
      </c>
      <c r="BH29" s="22" t="n">
        <f aca="false">IF('Current Index'!713:713,"AAAAAC/6ujs=",0)</f>
        <v>0</v>
      </c>
      <c r="BI29" s="22" t="e">
        <f aca="false">AND('Current Index'!A713,"AAAAAC/6ujw=")</f>
        <v>#VALUE!</v>
      </c>
      <c r="BJ29" s="22" t="e">
        <f aca="false">AND('current index'!#ref!,"AAAAAC/6uj0=")</f>
        <v>#VALUE!</v>
      </c>
      <c r="BK29" s="22" t="e">
        <f aca="false">AND('Current Index'!B713,"AAAAAC/6uj4=")</f>
        <v>#VALUE!</v>
      </c>
      <c r="BL29" s="22" t="e">
        <f aca="false">AND('Current Index'!C713,"AAAAAC/6uj8=")</f>
        <v>#VALUE!</v>
      </c>
      <c r="BM29" s="22" t="e">
        <f aca="false">AND('Current Index'!D713,"AAAAAC/6ukA=")</f>
        <v>#VALUE!</v>
      </c>
      <c r="BN29" s="22" t="e">
        <f aca="false">AND('Current Index'!E713,"AAAAAC/6ukE=")</f>
        <v>#VALUE!</v>
      </c>
      <c r="BO29" s="22" t="e">
        <f aca="false">AND('Current Index'!F713,"AAAAAC/6ukI=")</f>
        <v>#VALUE!</v>
      </c>
      <c r="BP29" s="22" t="e">
        <f aca="false">AND('Current Index'!G713,"AAAAAC/6ukM=")</f>
        <v>#VALUE!</v>
      </c>
      <c r="BQ29" s="22" t="e">
        <f aca="false">AND('Current Index'!H713,"AAAAAC/6ukQ=")</f>
        <v>#VALUE!</v>
      </c>
      <c r="BR29" s="22" t="e">
        <f aca="false">AND('Current Index'!I713,"AAAAAC/6ukU=")</f>
        <v>#VALUE!</v>
      </c>
      <c r="BS29" s="22" t="n">
        <f aca="false">IF('Current Index'!714:714,"AAAAAC/6ukY=",0)</f>
        <v>0</v>
      </c>
      <c r="BT29" s="22" t="e">
        <f aca="false">AND('Current Index'!A714,"AAAAAC/6ukc=")</f>
        <v>#VALUE!</v>
      </c>
      <c r="BU29" s="22" t="e">
        <f aca="false">AND('current index'!#ref!,"AAAAAC/6ukg=")</f>
        <v>#VALUE!</v>
      </c>
      <c r="BV29" s="22" t="e">
        <f aca="false">AND('Current Index'!B714,"AAAAAC/6ukk=")</f>
        <v>#VALUE!</v>
      </c>
      <c r="BW29" s="22" t="e">
        <f aca="false">AND('Current Index'!C714,"AAAAAC/6uko=")</f>
        <v>#VALUE!</v>
      </c>
      <c r="BX29" s="22" t="e">
        <f aca="false">AND('Current Index'!D714,"AAAAAC/6uks=")</f>
        <v>#VALUE!</v>
      </c>
      <c r="BY29" s="22" t="e">
        <f aca="false">AND('Current Index'!E714,"AAAAAC/6ukw=")</f>
        <v>#VALUE!</v>
      </c>
      <c r="BZ29" s="22" t="e">
        <f aca="false">AND('Current Index'!F714,"AAAAAC/6uk0=")</f>
        <v>#VALUE!</v>
      </c>
      <c r="CA29" s="22" t="e">
        <f aca="false">AND('Current Index'!G714,"AAAAAC/6uk4=")</f>
        <v>#VALUE!</v>
      </c>
      <c r="CB29" s="22" t="e">
        <f aca="false">AND('Current Index'!H714,"AAAAAC/6uk8=")</f>
        <v>#VALUE!</v>
      </c>
      <c r="CC29" s="22" t="e">
        <f aca="false">AND('Current Index'!I714,"AAAAAC/6ulA=")</f>
        <v>#VALUE!</v>
      </c>
      <c r="CD29" s="22" t="n">
        <f aca="false">IF('Current Index'!715:715,"AAAAAC/6ulE=",0)</f>
        <v>0</v>
      </c>
      <c r="CE29" s="22" t="e">
        <f aca="false">AND('Current Index'!A715,"AAAAAC/6ulI=")</f>
        <v>#VALUE!</v>
      </c>
      <c r="CF29" s="22" t="e">
        <f aca="false">AND('current index'!#ref!,"AAAAAC/6ulM=")</f>
        <v>#VALUE!</v>
      </c>
      <c r="CG29" s="22" t="e">
        <f aca="false">AND('Current Index'!B715,"AAAAAC/6ulQ=")</f>
        <v>#VALUE!</v>
      </c>
      <c r="CH29" s="22" t="e">
        <f aca="false">AND('Current Index'!C715,"AAAAAC/6ulU=")</f>
        <v>#VALUE!</v>
      </c>
      <c r="CI29" s="22" t="e">
        <f aca="false">AND('Current Index'!D715,"AAAAAC/6ulY=")</f>
        <v>#VALUE!</v>
      </c>
      <c r="CJ29" s="22" t="e">
        <f aca="false">AND('Current Index'!E715,"AAAAAC/6ulc=")</f>
        <v>#VALUE!</v>
      </c>
      <c r="CK29" s="22" t="e">
        <f aca="false">AND('Current Index'!F715,"AAAAAC/6ulg=")</f>
        <v>#VALUE!</v>
      </c>
      <c r="CL29" s="22" t="e">
        <f aca="false">AND('Current Index'!G715,"AAAAAC/6ulk=")</f>
        <v>#VALUE!</v>
      </c>
      <c r="CM29" s="22" t="e">
        <f aca="false">AND('Current Index'!H715,"AAAAAC/6ulo=")</f>
        <v>#VALUE!</v>
      </c>
      <c r="CN29" s="22" t="e">
        <f aca="false">AND('Current Index'!I715,"AAAAAC/6uls=")</f>
        <v>#VALUE!</v>
      </c>
      <c r="CO29" s="22" t="n">
        <f aca="false">IF('Current Index'!716:716,"AAAAAC/6ulw=",0)</f>
        <v>0</v>
      </c>
      <c r="CP29" s="22" t="e">
        <f aca="false">AND('Current Index'!A716,"AAAAAC/6ul0=")</f>
        <v>#VALUE!</v>
      </c>
      <c r="CQ29" s="22" t="e">
        <f aca="false">AND('current index'!#ref!,"AAAAAC/6ul4=")</f>
        <v>#VALUE!</v>
      </c>
      <c r="CR29" s="22" t="e">
        <f aca="false">AND('Current Index'!B716,"AAAAAC/6ul8=")</f>
        <v>#VALUE!</v>
      </c>
      <c r="CS29" s="22" t="e">
        <f aca="false">AND('Current Index'!C716,"AAAAAC/6umA=")</f>
        <v>#VALUE!</v>
      </c>
      <c r="CT29" s="22" t="e">
        <f aca="false">AND('Current Index'!D716,"AAAAAC/6umE=")</f>
        <v>#VALUE!</v>
      </c>
      <c r="CU29" s="22" t="e">
        <f aca="false">AND('Current Index'!E716,"AAAAAC/6umI=")</f>
        <v>#VALUE!</v>
      </c>
      <c r="CV29" s="22" t="e">
        <f aca="false">AND('Current Index'!F716,"AAAAAC/6umM=")</f>
        <v>#VALUE!</v>
      </c>
      <c r="CW29" s="22" t="e">
        <f aca="false">AND('Current Index'!G716,"AAAAAC/6umQ=")</f>
        <v>#VALUE!</v>
      </c>
      <c r="CX29" s="22" t="e">
        <f aca="false">AND('Current Index'!H716,"AAAAAC/6umU=")</f>
        <v>#VALUE!</v>
      </c>
      <c r="CY29" s="22" t="e">
        <f aca="false">AND('Current Index'!I716,"AAAAAC/6umY=")</f>
        <v>#VALUE!</v>
      </c>
      <c r="CZ29" s="22" t="n">
        <f aca="false">IF('Current Index'!717:717,"AAAAAC/6umc=",0)</f>
        <v>0</v>
      </c>
      <c r="DA29" s="22" t="e">
        <f aca="false">AND('Current Index'!A717,"AAAAAC/6umg=")</f>
        <v>#VALUE!</v>
      </c>
      <c r="DB29" s="22" t="e">
        <f aca="false">AND('current index'!#ref!,"AAAAAC/6umk=")</f>
        <v>#VALUE!</v>
      </c>
      <c r="DC29" s="22" t="e">
        <f aca="false">AND('Current Index'!B717,"AAAAAC/6umo=")</f>
        <v>#VALUE!</v>
      </c>
      <c r="DD29" s="22" t="e">
        <f aca="false">AND('Current Index'!C717,"AAAAAC/6ums=")</f>
        <v>#VALUE!</v>
      </c>
      <c r="DE29" s="22" t="e">
        <f aca="false">AND('Current Index'!D717,"AAAAAC/6umw=")</f>
        <v>#VALUE!</v>
      </c>
      <c r="DF29" s="22" t="e">
        <f aca="false">AND('Current Index'!E717,"AAAAAC/6um0=")</f>
        <v>#VALUE!</v>
      </c>
      <c r="DG29" s="22" t="e">
        <f aca="false">AND('Current Index'!F717,"AAAAAC/6um4=")</f>
        <v>#VALUE!</v>
      </c>
      <c r="DH29" s="22" t="e">
        <f aca="false">AND('Current Index'!G717,"AAAAAC/6um8=")</f>
        <v>#VALUE!</v>
      </c>
      <c r="DI29" s="22" t="e">
        <f aca="false">AND('Current Index'!H717,"AAAAAC/6unA=")</f>
        <v>#VALUE!</v>
      </c>
      <c r="DJ29" s="22" t="e">
        <f aca="false">AND('Current Index'!I717,"AAAAAC/6unE=")</f>
        <v>#VALUE!</v>
      </c>
      <c r="DK29" s="22" t="n">
        <f aca="false">IF('Current Index'!718:718,"AAAAAC/6unI=",0)</f>
        <v>0</v>
      </c>
      <c r="DL29" s="22" t="e">
        <f aca="false">AND('Current Index'!A718,"AAAAAC/6unM=")</f>
        <v>#VALUE!</v>
      </c>
      <c r="DM29" s="22" t="e">
        <f aca="false">AND('current index'!#ref!,"AAAAAC/6unQ=")</f>
        <v>#VALUE!</v>
      </c>
      <c r="DN29" s="22" t="e">
        <f aca="false">AND('Current Index'!B718,"AAAAAC/6unU=")</f>
        <v>#VALUE!</v>
      </c>
      <c r="DO29" s="22" t="e">
        <f aca="false">AND('Current Index'!C718,"AAAAAC/6unY=")</f>
        <v>#VALUE!</v>
      </c>
      <c r="DP29" s="22" t="e">
        <f aca="false">AND('Current Index'!D718,"AAAAAC/6unc=")</f>
        <v>#VALUE!</v>
      </c>
      <c r="DQ29" s="22" t="e">
        <f aca="false">AND('Current Index'!E718,"AAAAAC/6ung=")</f>
        <v>#VALUE!</v>
      </c>
      <c r="DR29" s="22" t="e">
        <f aca="false">AND('Current Index'!F718,"AAAAAC/6unk=")</f>
        <v>#VALUE!</v>
      </c>
      <c r="DS29" s="22" t="e">
        <f aca="false">AND('Current Index'!G718,"AAAAAC/6uno=")</f>
        <v>#VALUE!</v>
      </c>
      <c r="DT29" s="22" t="e">
        <f aca="false">AND('Current Index'!H718,"AAAAAC/6uns=")</f>
        <v>#VALUE!</v>
      </c>
      <c r="DU29" s="22" t="e">
        <f aca="false">AND('Current Index'!I718,"AAAAAC/6unw=")</f>
        <v>#VALUE!</v>
      </c>
      <c r="DV29" s="22" t="n">
        <f aca="false">IF('Current Index'!719:719,"AAAAAC/6un0=",0)</f>
        <v>0</v>
      </c>
      <c r="DW29" s="22" t="e">
        <f aca="false">AND('Current Index'!A719,"AAAAAC/6un4=")</f>
        <v>#VALUE!</v>
      </c>
      <c r="DX29" s="22" t="e">
        <f aca="false">AND('current index'!#ref!,"AAAAAC/6un8=")</f>
        <v>#VALUE!</v>
      </c>
      <c r="DY29" s="22" t="e">
        <f aca="false">AND('Current Index'!B719,"AAAAAC/6uoA=")</f>
        <v>#VALUE!</v>
      </c>
      <c r="DZ29" s="22" t="e">
        <f aca="false">AND('Current Index'!C719,"AAAAAC/6uoE=")</f>
        <v>#VALUE!</v>
      </c>
      <c r="EA29" s="22" t="e">
        <f aca="false">AND('Current Index'!D719,"AAAAAC/6uoI=")</f>
        <v>#VALUE!</v>
      </c>
      <c r="EB29" s="22" t="e">
        <f aca="false">AND('Current Index'!E719,"AAAAAC/6uoM=")</f>
        <v>#VALUE!</v>
      </c>
      <c r="EC29" s="22" t="e">
        <f aca="false">AND('Current Index'!F719,"AAAAAC/6uoQ=")</f>
        <v>#VALUE!</v>
      </c>
      <c r="ED29" s="22" t="e">
        <f aca="false">AND('Current Index'!G719,"AAAAAC/6uoU=")</f>
        <v>#VALUE!</v>
      </c>
      <c r="EE29" s="22" t="e">
        <f aca="false">AND('Current Index'!H719,"AAAAAC/6uoY=")</f>
        <v>#VALUE!</v>
      </c>
      <c r="EF29" s="22" t="e">
        <f aca="false">AND('Current Index'!I719,"AAAAAC/6uoc=")</f>
        <v>#VALUE!</v>
      </c>
      <c r="EG29" s="22" t="n">
        <f aca="false">IF('Current Index'!720:720,"AAAAAC/6uog=",0)</f>
        <v>0</v>
      </c>
      <c r="EH29" s="22" t="e">
        <f aca="false">AND('Current Index'!A720,"AAAAAC/6uok=")</f>
        <v>#VALUE!</v>
      </c>
      <c r="EI29" s="22" t="e">
        <f aca="false">AND('current index'!#ref!,"AAAAAC/6uoo=")</f>
        <v>#VALUE!</v>
      </c>
      <c r="EJ29" s="22" t="e">
        <f aca="false">AND('Current Index'!B720,"AAAAAC/6uos=")</f>
        <v>#VALUE!</v>
      </c>
      <c r="EK29" s="22" t="e">
        <f aca="false">AND('Current Index'!C720,"AAAAAC/6uow=")</f>
        <v>#VALUE!</v>
      </c>
      <c r="EL29" s="22" t="e">
        <f aca="false">AND('Current Index'!D720,"AAAAAC/6uo0=")</f>
        <v>#VALUE!</v>
      </c>
      <c r="EM29" s="22" t="e">
        <f aca="false">AND('Current Index'!E720,"AAAAAC/6uo4=")</f>
        <v>#VALUE!</v>
      </c>
      <c r="EN29" s="22" t="e">
        <f aca="false">AND('Current Index'!F720,"AAAAAC/6uo8=")</f>
        <v>#VALUE!</v>
      </c>
      <c r="EO29" s="22" t="e">
        <f aca="false">AND('Current Index'!G720,"AAAAAC/6upA=")</f>
        <v>#VALUE!</v>
      </c>
      <c r="EP29" s="22" t="e">
        <f aca="false">AND('Current Index'!H720,"AAAAAC/6upE=")</f>
        <v>#VALUE!</v>
      </c>
      <c r="EQ29" s="22" t="e">
        <f aca="false">AND('Current Index'!I720,"AAAAAC/6upI=")</f>
        <v>#VALUE!</v>
      </c>
      <c r="ER29" s="22" t="n">
        <f aca="false">IF('Current Index'!721:721,"AAAAAC/6upM=",0)</f>
        <v>0</v>
      </c>
      <c r="ES29" s="22" t="e">
        <f aca="false">AND('Current Index'!A721,"AAAAAC/6upQ=")</f>
        <v>#VALUE!</v>
      </c>
      <c r="ET29" s="22" t="e">
        <f aca="false">AND('current index'!#ref!,"AAAAAC/6upU=")</f>
        <v>#VALUE!</v>
      </c>
      <c r="EU29" s="22" t="e">
        <f aca="false">AND('Current Index'!B721,"AAAAAC/6upY=")</f>
        <v>#VALUE!</v>
      </c>
      <c r="EV29" s="22" t="e">
        <f aca="false">AND('Current Index'!C721,"AAAAAC/6upc=")</f>
        <v>#VALUE!</v>
      </c>
      <c r="EW29" s="22" t="e">
        <f aca="false">AND('Current Index'!D721,"AAAAAC/6upg=")</f>
        <v>#VALUE!</v>
      </c>
      <c r="EX29" s="22" t="e">
        <f aca="false">AND('Current Index'!E721,"AAAAAC/6upk=")</f>
        <v>#VALUE!</v>
      </c>
      <c r="EY29" s="22" t="e">
        <f aca="false">AND('Current Index'!F721,"AAAAAC/6upo=")</f>
        <v>#VALUE!</v>
      </c>
      <c r="EZ29" s="22" t="e">
        <f aca="false">AND('Current Index'!G721,"AAAAAC/6ups=")</f>
        <v>#VALUE!</v>
      </c>
      <c r="FA29" s="22" t="e">
        <f aca="false">AND('Current Index'!H721,"AAAAAC/6upw=")</f>
        <v>#VALUE!</v>
      </c>
      <c r="FB29" s="22" t="e">
        <f aca="false">AND('Current Index'!I721,"AAAAAC/6up0=")</f>
        <v>#VALUE!</v>
      </c>
      <c r="FC29" s="22" t="n">
        <f aca="false">IF('Current Index'!722:722,"AAAAAC/6up4=",0)</f>
        <v>0</v>
      </c>
      <c r="FD29" s="22" t="e">
        <f aca="false">AND('Current Index'!A722,"AAAAAC/6up8=")</f>
        <v>#VALUE!</v>
      </c>
      <c r="FE29" s="22" t="e">
        <f aca="false">AND('current index'!#ref!,"AAAAAC/6uqA=")</f>
        <v>#VALUE!</v>
      </c>
      <c r="FF29" s="22" t="e">
        <f aca="false">AND('Current Index'!B722,"AAAAAC/6uqE=")</f>
        <v>#VALUE!</v>
      </c>
      <c r="FG29" s="22" t="e">
        <f aca="false">AND('Current Index'!C722,"AAAAAC/6uqI=")</f>
        <v>#VALUE!</v>
      </c>
      <c r="FH29" s="22" t="e">
        <f aca="false">AND('Current Index'!D722,"AAAAAC/6uqM=")</f>
        <v>#VALUE!</v>
      </c>
      <c r="FI29" s="22" t="e">
        <f aca="false">AND('Current Index'!E722,"AAAAAC/6uqQ=")</f>
        <v>#VALUE!</v>
      </c>
      <c r="FJ29" s="22" t="e">
        <f aca="false">AND('Current Index'!F722,"AAAAAC/6uqU=")</f>
        <v>#VALUE!</v>
      </c>
      <c r="FK29" s="22" t="e">
        <f aca="false">AND('Current Index'!G722,"AAAAAC/6uqY=")</f>
        <v>#VALUE!</v>
      </c>
      <c r="FL29" s="22" t="e">
        <f aca="false">AND('Current Index'!H722,"AAAAAC/6uqc=")</f>
        <v>#VALUE!</v>
      </c>
      <c r="FM29" s="22" t="e">
        <f aca="false">AND('Current Index'!I722,"AAAAAC/6uqg=")</f>
        <v>#VALUE!</v>
      </c>
      <c r="FN29" s="22" t="n">
        <f aca="false">IF('Current Index'!723:723,"AAAAAC/6uqk=",0)</f>
        <v>0</v>
      </c>
      <c r="FO29" s="22" t="e">
        <f aca="false">AND('Current Index'!A723,"AAAAAC/6uqo=")</f>
        <v>#VALUE!</v>
      </c>
      <c r="FP29" s="22" t="e">
        <f aca="false">AND('current index'!#ref!,"AAAAAC/6uqs=")</f>
        <v>#VALUE!</v>
      </c>
      <c r="FQ29" s="22" t="e">
        <f aca="false">AND('Current Index'!B723,"AAAAAC/6uqw=")</f>
        <v>#VALUE!</v>
      </c>
      <c r="FR29" s="22" t="e">
        <f aca="false">AND('Current Index'!C723,"AAAAAC/6uq0=")</f>
        <v>#VALUE!</v>
      </c>
      <c r="FS29" s="22" t="e">
        <f aca="false">AND('Current Index'!D723,"AAAAAC/6uq4=")</f>
        <v>#VALUE!</v>
      </c>
      <c r="FT29" s="22" t="e">
        <f aca="false">AND('Current Index'!E723,"AAAAAC/6uq8=")</f>
        <v>#VALUE!</v>
      </c>
      <c r="FU29" s="22" t="e">
        <f aca="false">AND('Current Index'!F723,"AAAAAC/6urA=")</f>
        <v>#VALUE!</v>
      </c>
      <c r="FV29" s="22" t="e">
        <f aca="false">AND('Current Index'!G723,"AAAAAC/6urE=")</f>
        <v>#VALUE!</v>
      </c>
      <c r="FW29" s="22" t="e">
        <f aca="false">AND('Current Index'!H723,"AAAAAC/6urI=")</f>
        <v>#VALUE!</v>
      </c>
      <c r="FX29" s="22" t="e">
        <f aca="false">AND('Current Index'!I723,"AAAAAC/6urM=")</f>
        <v>#VALUE!</v>
      </c>
      <c r="FY29" s="22" t="n">
        <f aca="false">IF('Current Index'!724:724,"AAAAAC/6urQ=",0)</f>
        <v>0</v>
      </c>
      <c r="FZ29" s="22" t="e">
        <f aca="false">AND('Current Index'!A724,"AAAAAC/6urU=")</f>
        <v>#VALUE!</v>
      </c>
      <c r="GA29" s="22" t="e">
        <f aca="false">AND('current index'!#ref!,"AAAAAC/6urY=")</f>
        <v>#VALUE!</v>
      </c>
      <c r="GB29" s="22" t="e">
        <f aca="false">AND('Current Index'!B724,"AAAAAC/6urc=")</f>
        <v>#VALUE!</v>
      </c>
      <c r="GC29" s="22" t="e">
        <f aca="false">AND('Current Index'!C724,"AAAAAC/6urg=")</f>
        <v>#VALUE!</v>
      </c>
      <c r="GD29" s="22" t="e">
        <f aca="false">AND('Current Index'!D724,"AAAAAC/6urk=")</f>
        <v>#VALUE!</v>
      </c>
      <c r="GE29" s="22" t="e">
        <f aca="false">AND('Current Index'!E724,"AAAAAC/6uro=")</f>
        <v>#VALUE!</v>
      </c>
      <c r="GF29" s="22" t="e">
        <f aca="false">AND('Current Index'!F724,"AAAAAC/6urs=")</f>
        <v>#VALUE!</v>
      </c>
      <c r="GG29" s="22" t="e">
        <f aca="false">AND('Current Index'!G724,"AAAAAC/6urw=")</f>
        <v>#VALUE!</v>
      </c>
      <c r="GH29" s="22" t="e">
        <f aca="false">AND('Current Index'!H724,"AAAAAC/6ur0=")</f>
        <v>#VALUE!</v>
      </c>
      <c r="GI29" s="22" t="e">
        <f aca="false">AND('Current Index'!I724,"AAAAAC/6ur4=")</f>
        <v>#VALUE!</v>
      </c>
      <c r="GJ29" s="22" t="n">
        <f aca="false">IF('Current Index'!725:725,"AAAAAC/6ur8=",0)</f>
        <v>0</v>
      </c>
      <c r="GK29" s="22" t="e">
        <f aca="false">AND('Current Index'!A725,"AAAAAC/6usA=")</f>
        <v>#VALUE!</v>
      </c>
      <c r="GL29" s="22" t="e">
        <f aca="false">AND('current index'!#ref!,"AAAAAC/6usE=")</f>
        <v>#VALUE!</v>
      </c>
      <c r="GM29" s="22" t="e">
        <f aca="false">AND('Current Index'!B725,"AAAAAC/6usI=")</f>
        <v>#VALUE!</v>
      </c>
      <c r="GN29" s="22" t="e">
        <f aca="false">AND('Current Index'!C725,"AAAAAC/6usM=")</f>
        <v>#VALUE!</v>
      </c>
      <c r="GO29" s="22" t="e">
        <f aca="false">AND('Current Index'!D725,"AAAAAC/6usQ=")</f>
        <v>#VALUE!</v>
      </c>
      <c r="GP29" s="22" t="e">
        <f aca="false">AND('Current Index'!E725,"AAAAAC/6usU=")</f>
        <v>#VALUE!</v>
      </c>
      <c r="GQ29" s="22" t="e">
        <f aca="false">AND('Current Index'!F725,"AAAAAC/6usY=")</f>
        <v>#VALUE!</v>
      </c>
      <c r="GR29" s="22" t="e">
        <f aca="false">AND('Current Index'!G725,"AAAAAC/6usc=")</f>
        <v>#VALUE!</v>
      </c>
      <c r="GS29" s="22" t="e">
        <f aca="false">AND('Current Index'!H725,"AAAAAC/6usg=")</f>
        <v>#VALUE!</v>
      </c>
      <c r="GT29" s="22" t="e">
        <f aca="false">AND('Current Index'!I725,"AAAAAC/6usk=")</f>
        <v>#VALUE!</v>
      </c>
      <c r="GU29" s="22" t="n">
        <f aca="false">IF('Current Index'!726:726,"AAAAAC/6uso=",0)</f>
        <v>0</v>
      </c>
      <c r="GV29" s="22" t="e">
        <f aca="false">AND('Current Index'!A726,"AAAAAC/6uss=")</f>
        <v>#VALUE!</v>
      </c>
      <c r="GW29" s="22" t="e">
        <f aca="false">AND('current index'!#ref!,"AAAAAC/6usw=")</f>
        <v>#VALUE!</v>
      </c>
      <c r="GX29" s="22" t="e">
        <f aca="false">AND('Current Index'!B726,"AAAAAC/6us0=")</f>
        <v>#VALUE!</v>
      </c>
      <c r="GY29" s="22" t="e">
        <f aca="false">AND('Current Index'!C726,"AAAAAC/6us4=")</f>
        <v>#VALUE!</v>
      </c>
      <c r="GZ29" s="22" t="e">
        <f aca="false">AND('Current Index'!D726,"AAAAAC/6us8=")</f>
        <v>#VALUE!</v>
      </c>
      <c r="HA29" s="22" t="e">
        <f aca="false">AND('Current Index'!E726,"AAAAAC/6utA=")</f>
        <v>#VALUE!</v>
      </c>
      <c r="HB29" s="22" t="e">
        <f aca="false">AND('Current Index'!F726,"AAAAAC/6utE=")</f>
        <v>#VALUE!</v>
      </c>
      <c r="HC29" s="22" t="e">
        <f aca="false">AND('Current Index'!G726,"AAAAAC/6utI=")</f>
        <v>#VALUE!</v>
      </c>
      <c r="HD29" s="22" t="e">
        <f aca="false">AND('Current Index'!H726,"AAAAAC/6utM=")</f>
        <v>#VALUE!</v>
      </c>
      <c r="HE29" s="22" t="e">
        <f aca="false">AND('Current Index'!I726,"AAAAAC/6utQ=")</f>
        <v>#VALUE!</v>
      </c>
      <c r="HF29" s="22" t="n">
        <f aca="false">IF('Current Index'!727:727,"AAAAAC/6utU=",0)</f>
        <v>0</v>
      </c>
      <c r="HG29" s="22" t="e">
        <f aca="false">AND('Current Index'!A727,"AAAAAC/6utY=")</f>
        <v>#VALUE!</v>
      </c>
      <c r="HH29" s="22" t="e">
        <f aca="false">AND('current index'!#ref!,"AAAAAC/6utc=")</f>
        <v>#VALUE!</v>
      </c>
      <c r="HI29" s="22" t="e">
        <f aca="false">AND('Current Index'!B727,"AAAAAC/6utg=")</f>
        <v>#VALUE!</v>
      </c>
      <c r="HJ29" s="22" t="e">
        <f aca="false">AND('Current Index'!C727,"AAAAAC/6utk=")</f>
        <v>#VALUE!</v>
      </c>
      <c r="HK29" s="22" t="e">
        <f aca="false">AND('Current Index'!D727,"AAAAAC/6uto=")</f>
        <v>#VALUE!</v>
      </c>
      <c r="HL29" s="22" t="e">
        <f aca="false">AND('Current Index'!E727,"AAAAAC/6uts=")</f>
        <v>#VALUE!</v>
      </c>
      <c r="HM29" s="22" t="e">
        <f aca="false">AND('Current Index'!F727,"AAAAAC/6utw=")</f>
        <v>#VALUE!</v>
      </c>
      <c r="HN29" s="22" t="e">
        <f aca="false">AND('Current Index'!G727,"AAAAAC/6ut0=")</f>
        <v>#VALUE!</v>
      </c>
      <c r="HO29" s="22" t="e">
        <f aca="false">AND('Current Index'!H727,"AAAAAC/6ut4=")</f>
        <v>#VALUE!</v>
      </c>
      <c r="HP29" s="22" t="e">
        <f aca="false">AND('Current Index'!I727,"AAAAAC/6ut8=")</f>
        <v>#VALUE!</v>
      </c>
      <c r="HQ29" s="22" t="n">
        <f aca="false">IF('Current Index'!728:728,"AAAAAC/6uuA=",0)</f>
        <v>0</v>
      </c>
      <c r="HR29" s="22" t="e">
        <f aca="false">AND('Current Index'!A728,"AAAAAC/6uuE=")</f>
        <v>#VALUE!</v>
      </c>
      <c r="HS29" s="22" t="e">
        <f aca="false">AND('current index'!#ref!,"AAAAAC/6uuI=")</f>
        <v>#VALUE!</v>
      </c>
      <c r="HT29" s="22" t="e">
        <f aca="false">AND('Current Index'!B728,"AAAAAC/6uuM=")</f>
        <v>#VALUE!</v>
      </c>
      <c r="HU29" s="22" t="e">
        <f aca="false">AND('Current Index'!C728,"AAAAAC/6uuQ=")</f>
        <v>#VALUE!</v>
      </c>
      <c r="HV29" s="22" t="e">
        <f aca="false">AND('Current Index'!D728,"AAAAAC/6uuU=")</f>
        <v>#VALUE!</v>
      </c>
      <c r="HW29" s="22" t="e">
        <f aca="false">AND('Current Index'!E728,"AAAAAC/6uuY=")</f>
        <v>#VALUE!</v>
      </c>
      <c r="HX29" s="22" t="e">
        <f aca="false">AND('Current Index'!F728,"AAAAAC/6uuc=")</f>
        <v>#VALUE!</v>
      </c>
      <c r="HY29" s="22" t="e">
        <f aca="false">AND('Current Index'!G728,"AAAAAC/6uug=")</f>
        <v>#VALUE!</v>
      </c>
      <c r="HZ29" s="22" t="e">
        <f aca="false">AND('Current Index'!H728,"AAAAAC/6uuk=")</f>
        <v>#VALUE!</v>
      </c>
      <c r="IA29" s="22" t="e">
        <f aca="false">AND('Current Index'!I728,"AAAAAC/6uuo=")</f>
        <v>#VALUE!</v>
      </c>
      <c r="IB29" s="22" t="n">
        <f aca="false">IF('Current Index'!729:729,"AAAAAC/6uus=",0)</f>
        <v>0</v>
      </c>
      <c r="IC29" s="22" t="e">
        <f aca="false">AND('Current Index'!A729,"AAAAAC/6uuw=")</f>
        <v>#VALUE!</v>
      </c>
      <c r="ID29" s="22" t="e">
        <f aca="false">AND('current index'!#ref!,"AAAAAC/6uu0=")</f>
        <v>#VALUE!</v>
      </c>
      <c r="IE29" s="22" t="e">
        <f aca="false">AND('Current Index'!B729,"AAAAAC/6uu4=")</f>
        <v>#VALUE!</v>
      </c>
      <c r="IF29" s="22" t="e">
        <f aca="false">AND('Current Index'!C729,"AAAAAC/6uu8=")</f>
        <v>#VALUE!</v>
      </c>
      <c r="IG29" s="22" t="e">
        <f aca="false">AND('Current Index'!D729,"AAAAAC/6uvA=")</f>
        <v>#VALUE!</v>
      </c>
      <c r="IH29" s="22" t="e">
        <f aca="false">AND('Current Index'!E729,"AAAAAC/6uvE=")</f>
        <v>#VALUE!</v>
      </c>
      <c r="II29" s="22" t="e">
        <f aca="false">AND('Current Index'!F729,"AAAAAC/6uvI=")</f>
        <v>#VALUE!</v>
      </c>
      <c r="IJ29" s="22" t="e">
        <f aca="false">AND('Current Index'!G729,"AAAAAC/6uvM=")</f>
        <v>#VALUE!</v>
      </c>
      <c r="IK29" s="22" t="e">
        <f aca="false">AND('Current Index'!H729,"AAAAAC/6uvQ=")</f>
        <v>#VALUE!</v>
      </c>
      <c r="IL29" s="22" t="e">
        <f aca="false">AND('Current Index'!I729,"AAAAAC/6uvU=")</f>
        <v>#VALUE!</v>
      </c>
      <c r="IM29" s="22" t="n">
        <f aca="false">IF('Current Index'!730:730,"AAAAAC/6uvY=",0)</f>
        <v>0</v>
      </c>
      <c r="IN29" s="22" t="e">
        <f aca="false">AND('Current Index'!A730,"AAAAAC/6uvc=")</f>
        <v>#VALUE!</v>
      </c>
      <c r="IO29" s="22" t="e">
        <f aca="false">AND('current index'!#ref!,"AAAAAC/6uvg=")</f>
        <v>#VALUE!</v>
      </c>
      <c r="IP29" s="22" t="e">
        <f aca="false">AND('Current Index'!B730,"AAAAAC/6uvk=")</f>
        <v>#VALUE!</v>
      </c>
      <c r="IQ29" s="22" t="e">
        <f aca="false">AND('Current Index'!C730,"AAAAAC/6uvo=")</f>
        <v>#VALUE!</v>
      </c>
      <c r="IR29" s="22" t="e">
        <f aca="false">AND('Current Index'!D730,"AAAAAC/6uvs=")</f>
        <v>#VALUE!</v>
      </c>
      <c r="IS29" s="22" t="e">
        <f aca="false">AND('Current Index'!E730,"AAAAAC/6uvw=")</f>
        <v>#VALUE!</v>
      </c>
      <c r="IT29" s="22" t="e">
        <f aca="false">AND('Current Index'!F730,"AAAAAC/6uv0=")</f>
        <v>#VALUE!</v>
      </c>
      <c r="IU29" s="22" t="e">
        <f aca="false">AND('Current Index'!G730,"AAAAAC/6uv4=")</f>
        <v>#VALUE!</v>
      </c>
      <c r="IV29" s="22" t="e">
        <f aca="false">AND('Current Index'!H730,"AAAAAC/6uv8=")</f>
        <v>#VALUE!</v>
      </c>
    </row>
    <row r="30" customFormat="false" ht="12.75" hidden="false" customHeight="false" outlineLevel="0" collapsed="false">
      <c r="A30" s="22" t="e">
        <f aca="false">AND('Current Index'!I730,"AAAAAH37/wA=")</f>
        <v>#VALUE!</v>
      </c>
      <c r="B30" s="22" t="e">
        <f aca="false">IF(#REF!,"AAAAAH37/wE=",0)</f>
        <v>#REF!</v>
      </c>
      <c r="C30" s="22" t="e">
        <f aca="false">AND(#REF!,"AAAAAH37/wI=")</f>
        <v>#VALUE!</v>
      </c>
      <c r="D30" s="22" t="e">
        <f aca="false">AND('current index'!#ref!,"AAAAAH37/wM=")</f>
        <v>#VALUE!</v>
      </c>
      <c r="E30" s="22" t="e">
        <f aca="false">AND(#REF!,"AAAAAH37/wQ=")</f>
        <v>#VALUE!</v>
      </c>
      <c r="F30" s="22" t="e">
        <f aca="false">AND(#REF!,"AAAAAH37/wU=")</f>
        <v>#VALUE!</v>
      </c>
      <c r="G30" s="22" t="e">
        <f aca="false">AND(#REF!,"AAAAAH37/wY=")</f>
        <v>#VALUE!</v>
      </c>
      <c r="H30" s="22" t="e">
        <f aca="false">AND(#REF!,"AAAAAH37/wc=")</f>
        <v>#VALUE!</v>
      </c>
      <c r="I30" s="22" t="e">
        <f aca="false">AND(#REF!,"AAAAAH37/wg=")</f>
        <v>#VALUE!</v>
      </c>
      <c r="J30" s="22" t="e">
        <f aca="false">AND(#REF!,"AAAAAH37/wk=")</f>
        <v>#VALUE!</v>
      </c>
      <c r="K30" s="22" t="e">
        <f aca="false">AND(#REF!,"AAAAAH37/wo=")</f>
        <v>#VALUE!</v>
      </c>
      <c r="L30" s="22" t="e">
        <f aca="false">AND(#REF!,"AAAAAH37/ws=")</f>
        <v>#VALUE!</v>
      </c>
      <c r="M30" s="22" t="e">
        <f aca="false">IF(#REF!,"AAAAAH37/ww=",0)</f>
        <v>#REF!</v>
      </c>
      <c r="N30" s="22" t="e">
        <f aca="false">AND(#REF!,"AAAAAH37/w0=")</f>
        <v>#VALUE!</v>
      </c>
      <c r="O30" s="22" t="e">
        <f aca="false">AND('current index'!#ref!,"AAAAAH37/w4=")</f>
        <v>#VALUE!</v>
      </c>
      <c r="P30" s="22" t="e">
        <f aca="false">AND(#REF!,"AAAAAH37/w8=")</f>
        <v>#VALUE!</v>
      </c>
      <c r="Q30" s="22" t="e">
        <f aca="false">AND(#REF!,"AAAAAH37/xA=")</f>
        <v>#VALUE!</v>
      </c>
      <c r="R30" s="22" t="e">
        <f aca="false">AND(#REF!,"AAAAAH37/xE=")</f>
        <v>#VALUE!</v>
      </c>
      <c r="S30" s="22" t="e">
        <f aca="false">AND(#REF!,"AAAAAH37/xI=")</f>
        <v>#VALUE!</v>
      </c>
      <c r="T30" s="22" t="e">
        <f aca="false">AND(#REF!,"AAAAAH37/xM=")</f>
        <v>#VALUE!</v>
      </c>
      <c r="U30" s="22" t="e">
        <f aca="false">AND(#REF!,"AAAAAH37/xQ=")</f>
        <v>#VALUE!</v>
      </c>
      <c r="V30" s="22" t="e">
        <f aca="false">AND(#REF!,"AAAAAH37/xU=")</f>
        <v>#VALUE!</v>
      </c>
      <c r="W30" s="22" t="e">
        <f aca="false">AND(#REF!,"AAAAAH37/xY=")</f>
        <v>#VALUE!</v>
      </c>
      <c r="X30" s="22" t="e">
        <f aca="false">IF(#REF!,"AAAAAH37/xc=",0)</f>
        <v>#REF!</v>
      </c>
      <c r="Y30" s="22" t="e">
        <f aca="false">AND(#REF!,"AAAAAH37/xg=")</f>
        <v>#VALUE!</v>
      </c>
      <c r="Z30" s="22" t="e">
        <f aca="false">AND('current index'!#ref!,"AAAAAH37/xk=")</f>
        <v>#VALUE!</v>
      </c>
      <c r="AA30" s="22" t="e">
        <f aca="false">AND(#REF!,"AAAAAH37/xo=")</f>
        <v>#VALUE!</v>
      </c>
      <c r="AB30" s="22" t="e">
        <f aca="false">AND(#REF!,"AAAAAH37/xs=")</f>
        <v>#VALUE!</v>
      </c>
      <c r="AC30" s="22" t="e">
        <f aca="false">AND(#REF!,"AAAAAH37/xw=")</f>
        <v>#VALUE!</v>
      </c>
      <c r="AD30" s="22" t="e">
        <f aca="false">AND(#REF!,"AAAAAH37/x0=")</f>
        <v>#VALUE!</v>
      </c>
      <c r="AE30" s="22" t="e">
        <f aca="false">AND(#REF!,"AAAAAH37/x4=")</f>
        <v>#VALUE!</v>
      </c>
      <c r="AF30" s="22" t="e">
        <f aca="false">AND(#REF!,"AAAAAH37/x8=")</f>
        <v>#VALUE!</v>
      </c>
      <c r="AG30" s="22" t="e">
        <f aca="false">AND(#REF!,"AAAAAH37/yA=")</f>
        <v>#VALUE!</v>
      </c>
      <c r="AH30" s="22" t="e">
        <f aca="false">AND(#REF!,"AAAAAH37/yE=")</f>
        <v>#VALUE!</v>
      </c>
      <c r="AI30" s="22" t="e">
        <f aca="false">IF(#REF!,"AAAAAH37/yI=",0)</f>
        <v>#REF!</v>
      </c>
      <c r="AJ30" s="22" t="e">
        <f aca="false">AND(#REF!,"AAAAAH37/yM=")</f>
        <v>#VALUE!</v>
      </c>
      <c r="AK30" s="22" t="e">
        <f aca="false">AND('current index'!#ref!,"AAAAAH37/yQ=")</f>
        <v>#VALUE!</v>
      </c>
      <c r="AL30" s="22" t="e">
        <f aca="false">AND(#REF!,"AAAAAH37/yU=")</f>
        <v>#VALUE!</v>
      </c>
      <c r="AM30" s="22" t="e">
        <f aca="false">AND(#REF!,"AAAAAH37/yY=")</f>
        <v>#VALUE!</v>
      </c>
      <c r="AN30" s="22" t="e">
        <f aca="false">AND(#REF!,"AAAAAH37/yc=")</f>
        <v>#VALUE!</v>
      </c>
      <c r="AO30" s="22" t="e">
        <f aca="false">AND(#REF!,"AAAAAH37/yg=")</f>
        <v>#VALUE!</v>
      </c>
      <c r="AP30" s="22" t="e">
        <f aca="false">AND(#REF!,"AAAAAH37/yk=")</f>
        <v>#VALUE!</v>
      </c>
      <c r="AQ30" s="22" t="e">
        <f aca="false">AND(#REF!,"AAAAAH37/yo=")</f>
        <v>#VALUE!</v>
      </c>
      <c r="AR30" s="22" t="e">
        <f aca="false">AND(#REF!,"AAAAAH37/ys=")</f>
        <v>#VALUE!</v>
      </c>
      <c r="AS30" s="22" t="e">
        <f aca="false">AND(#REF!,"AAAAAH37/yw=")</f>
        <v>#VALUE!</v>
      </c>
      <c r="AT30" s="22" t="e">
        <f aca="false">IF(#REF!,"AAAAAH37/y0=",0)</f>
        <v>#REF!</v>
      </c>
      <c r="AU30" s="22" t="e">
        <f aca="false">AND(#REF!,"AAAAAH37/y4=")</f>
        <v>#VALUE!</v>
      </c>
      <c r="AV30" s="22" t="e">
        <f aca="false">AND('current index'!#ref!,"AAAAAH37/y8=")</f>
        <v>#VALUE!</v>
      </c>
      <c r="AW30" s="22" t="e">
        <f aca="false">AND(#REF!,"AAAAAH37/zA=")</f>
        <v>#VALUE!</v>
      </c>
      <c r="AX30" s="22" t="e">
        <f aca="false">AND(#REF!,"AAAAAH37/zE=")</f>
        <v>#VALUE!</v>
      </c>
      <c r="AY30" s="22" t="e">
        <f aca="false">AND(#REF!,"AAAAAH37/zI=")</f>
        <v>#VALUE!</v>
      </c>
      <c r="AZ30" s="22" t="e">
        <f aca="false">AND(#REF!,"AAAAAH37/zM=")</f>
        <v>#VALUE!</v>
      </c>
      <c r="BA30" s="22" t="e">
        <f aca="false">AND(#REF!,"AAAAAH37/zQ=")</f>
        <v>#VALUE!</v>
      </c>
      <c r="BB30" s="22" t="e">
        <f aca="false">AND(#REF!,"AAAAAH37/zU=")</f>
        <v>#VALUE!</v>
      </c>
      <c r="BC30" s="22" t="e">
        <f aca="false">AND(#REF!,"AAAAAH37/zY=")</f>
        <v>#VALUE!</v>
      </c>
      <c r="BD30" s="22" t="e">
        <f aca="false">AND(#REF!,"AAAAAH37/zc=")</f>
        <v>#VALUE!</v>
      </c>
      <c r="BE30" s="22" t="e">
        <f aca="false">IF(#REF!,"AAAAAH37/zg=",0)</f>
        <v>#REF!</v>
      </c>
      <c r="BF30" s="22" t="e">
        <f aca="false">AND(#REF!,"AAAAAH37/zk=")</f>
        <v>#VALUE!</v>
      </c>
      <c r="BG30" s="22" t="e">
        <f aca="false">AND('current index'!#ref!,"AAAAAH37/zo=")</f>
        <v>#VALUE!</v>
      </c>
      <c r="BH30" s="22" t="e">
        <f aca="false">AND(#REF!,"AAAAAH37/zs=")</f>
        <v>#VALUE!</v>
      </c>
      <c r="BI30" s="22" t="e">
        <f aca="false">AND(#REF!,"AAAAAH37/zw=")</f>
        <v>#VALUE!</v>
      </c>
      <c r="BJ30" s="22" t="e">
        <f aca="false">AND(#REF!,"AAAAAH37/z0=")</f>
        <v>#VALUE!</v>
      </c>
      <c r="BK30" s="22" t="e">
        <f aca="false">AND(#REF!,"AAAAAH37/z4=")</f>
        <v>#VALUE!</v>
      </c>
      <c r="BL30" s="22" t="e">
        <f aca="false">AND(#REF!,"AAAAAH37/z8=")</f>
        <v>#VALUE!</v>
      </c>
      <c r="BM30" s="22" t="e">
        <f aca="false">AND(#REF!,"AAAAAH37/0A=")</f>
        <v>#VALUE!</v>
      </c>
      <c r="BN30" s="22" t="e">
        <f aca="false">AND(#REF!,"AAAAAH37/0E=")</f>
        <v>#VALUE!</v>
      </c>
      <c r="BO30" s="22" t="e">
        <f aca="false">AND(#REF!,"AAAAAH37/0I=")</f>
        <v>#VALUE!</v>
      </c>
      <c r="BP30" s="22" t="e">
        <f aca="false">IF(#REF!,"AAAAAH37/0M=",0)</f>
        <v>#REF!</v>
      </c>
      <c r="BQ30" s="22" t="e">
        <f aca="false">AND(#REF!,"AAAAAH37/0Q=")</f>
        <v>#VALUE!</v>
      </c>
      <c r="BR30" s="22" t="e">
        <f aca="false">AND('current index'!#ref!,"AAAAAH37/0U=")</f>
        <v>#VALUE!</v>
      </c>
      <c r="BS30" s="22" t="e">
        <f aca="false">AND(#REF!,"AAAAAH37/0Y=")</f>
        <v>#VALUE!</v>
      </c>
      <c r="BT30" s="22" t="e">
        <f aca="false">AND(#REF!,"AAAAAH37/0c=")</f>
        <v>#VALUE!</v>
      </c>
      <c r="BU30" s="22" t="e">
        <f aca="false">AND(#REF!,"AAAAAH37/0g=")</f>
        <v>#VALUE!</v>
      </c>
      <c r="BV30" s="22" t="e">
        <f aca="false">AND(#REF!,"AAAAAH37/0k=")</f>
        <v>#VALUE!</v>
      </c>
      <c r="BW30" s="22" t="e">
        <f aca="false">AND(#REF!,"AAAAAH37/0o=")</f>
        <v>#VALUE!</v>
      </c>
      <c r="BX30" s="22" t="e">
        <f aca="false">AND(#REF!,"AAAAAH37/0s=")</f>
        <v>#VALUE!</v>
      </c>
      <c r="BY30" s="22" t="e">
        <f aca="false">AND(#REF!,"AAAAAH37/0w=")</f>
        <v>#VALUE!</v>
      </c>
      <c r="BZ30" s="22" t="e">
        <f aca="false">AND(#REF!,"AAAAAH37/00=")</f>
        <v>#VALUE!</v>
      </c>
      <c r="CA30" s="22" t="e">
        <f aca="false">IF(#REF!,"AAAAAH37/04=",0)</f>
        <v>#REF!</v>
      </c>
      <c r="CB30" s="22" t="e">
        <f aca="false">AND(#REF!,"AAAAAH37/08=")</f>
        <v>#VALUE!</v>
      </c>
      <c r="CC30" s="22" t="e">
        <f aca="false">AND('current index'!#ref!,"AAAAAH37/1A=")</f>
        <v>#VALUE!</v>
      </c>
      <c r="CD30" s="22" t="e">
        <f aca="false">AND(#REF!,"AAAAAH37/1E=")</f>
        <v>#VALUE!</v>
      </c>
      <c r="CE30" s="22" t="e">
        <f aca="false">AND(#REF!,"AAAAAH37/1I=")</f>
        <v>#VALUE!</v>
      </c>
      <c r="CF30" s="22" t="e">
        <f aca="false">AND(#REF!,"AAAAAH37/1M=")</f>
        <v>#VALUE!</v>
      </c>
      <c r="CG30" s="22" t="e">
        <f aca="false">AND(#REF!,"AAAAAH37/1Q=")</f>
        <v>#VALUE!</v>
      </c>
      <c r="CH30" s="22" t="e">
        <f aca="false">AND(#REF!,"AAAAAH37/1U=")</f>
        <v>#VALUE!</v>
      </c>
      <c r="CI30" s="22" t="e">
        <f aca="false">AND(#REF!,"AAAAAH37/1Y=")</f>
        <v>#VALUE!</v>
      </c>
      <c r="CJ30" s="22" t="e">
        <f aca="false">AND(#REF!,"AAAAAH37/1c=")</f>
        <v>#VALUE!</v>
      </c>
      <c r="CK30" s="22" t="e">
        <f aca="false">AND(#REF!,"AAAAAH37/1g=")</f>
        <v>#VALUE!</v>
      </c>
      <c r="CL30" s="22" t="e">
        <f aca="false">IF(#REF!,"AAAAAH37/1k=",0)</f>
        <v>#REF!</v>
      </c>
      <c r="CM30" s="22" t="e">
        <f aca="false">AND(#REF!,"AAAAAH37/1o=")</f>
        <v>#VALUE!</v>
      </c>
      <c r="CN30" s="22" t="e">
        <f aca="false">AND('current index'!#ref!,"AAAAAH37/1s=")</f>
        <v>#VALUE!</v>
      </c>
      <c r="CO30" s="22" t="e">
        <f aca="false">AND(#REF!,"AAAAAH37/1w=")</f>
        <v>#VALUE!</v>
      </c>
      <c r="CP30" s="22" t="e">
        <f aca="false">AND(#REF!,"AAAAAH37/10=")</f>
        <v>#VALUE!</v>
      </c>
      <c r="CQ30" s="22" t="e">
        <f aca="false">AND(#REF!,"AAAAAH37/14=")</f>
        <v>#VALUE!</v>
      </c>
      <c r="CR30" s="22" t="e">
        <f aca="false">AND(#REF!,"AAAAAH37/18=")</f>
        <v>#VALUE!</v>
      </c>
      <c r="CS30" s="22" t="e">
        <f aca="false">AND(#REF!,"AAAAAH37/2A=")</f>
        <v>#VALUE!</v>
      </c>
      <c r="CT30" s="22" t="e">
        <f aca="false">AND(#REF!,"AAAAAH37/2E=")</f>
        <v>#VALUE!</v>
      </c>
      <c r="CU30" s="22" t="e">
        <f aca="false">AND(#REF!,"AAAAAH37/2I=")</f>
        <v>#VALUE!</v>
      </c>
      <c r="CV30" s="22" t="e">
        <f aca="false">AND(#REF!,"AAAAAH37/2M=")</f>
        <v>#VALUE!</v>
      </c>
      <c r="CW30" s="22" t="n">
        <f aca="false">IF('Current Index'!731:731,"AAAAAH37/2Q=",0)</f>
        <v>0</v>
      </c>
      <c r="CX30" s="22" t="e">
        <f aca="false">AND('Current Index'!A731,"AAAAAH37/2U=")</f>
        <v>#VALUE!</v>
      </c>
      <c r="CY30" s="22" t="e">
        <f aca="false">AND('current index'!#ref!,"AAAAAH37/2Y=")</f>
        <v>#VALUE!</v>
      </c>
      <c r="CZ30" s="22" t="e">
        <f aca="false">AND('Current Index'!B731,"AAAAAH37/2c=")</f>
        <v>#VALUE!</v>
      </c>
      <c r="DA30" s="22" t="e">
        <f aca="false">AND('Current Index'!C731,"AAAAAH37/2g=")</f>
        <v>#VALUE!</v>
      </c>
      <c r="DB30" s="22" t="e">
        <f aca="false">AND('Current Index'!D731,"AAAAAH37/2k=")</f>
        <v>#VALUE!</v>
      </c>
      <c r="DC30" s="22" t="e">
        <f aca="false">AND('Current Index'!E731,"AAAAAH37/2o=")</f>
        <v>#VALUE!</v>
      </c>
      <c r="DD30" s="22" t="e">
        <f aca="false">AND('Current Index'!F731,"AAAAAH37/2s=")</f>
        <v>#VALUE!</v>
      </c>
      <c r="DE30" s="22" t="e">
        <f aca="false">AND('Current Index'!G731,"AAAAAH37/2w=")</f>
        <v>#VALUE!</v>
      </c>
      <c r="DF30" s="22" t="e">
        <f aca="false">AND('Current Index'!H731,"AAAAAH37/20=")</f>
        <v>#VALUE!</v>
      </c>
      <c r="DG30" s="22" t="e">
        <f aca="false">AND('Current Index'!I731,"AAAAAH37/24=")</f>
        <v>#VALUE!</v>
      </c>
      <c r="DH30" s="22" t="e">
        <f aca="false">IF(#REF!,"AAAAAH37/28=",0)</f>
        <v>#REF!</v>
      </c>
      <c r="DI30" s="22" t="e">
        <f aca="false">AND(#REF!,"AAAAAH37/3A=")</f>
        <v>#VALUE!</v>
      </c>
      <c r="DJ30" s="22" t="e">
        <f aca="false">AND('current index'!#ref!,"AAAAAH37/3E=")</f>
        <v>#VALUE!</v>
      </c>
      <c r="DK30" s="22" t="e">
        <f aca="false">AND(#REF!,"AAAAAH37/3I=")</f>
        <v>#VALUE!</v>
      </c>
      <c r="DL30" s="22" t="e">
        <f aca="false">AND(#REF!,"AAAAAH37/3M=")</f>
        <v>#VALUE!</v>
      </c>
      <c r="DM30" s="22" t="e">
        <f aca="false">AND(#REF!,"AAAAAH37/3Q=")</f>
        <v>#VALUE!</v>
      </c>
      <c r="DN30" s="22" t="e">
        <f aca="false">AND(#REF!,"AAAAAH37/3U=")</f>
        <v>#VALUE!</v>
      </c>
      <c r="DO30" s="22" t="e">
        <f aca="false">AND(#REF!,"AAAAAH37/3Y=")</f>
        <v>#VALUE!</v>
      </c>
      <c r="DP30" s="22" t="e">
        <f aca="false">AND(#REF!,"AAAAAH37/3c=")</f>
        <v>#VALUE!</v>
      </c>
      <c r="DQ30" s="22" t="e">
        <f aca="false">AND(#REF!,"AAAAAH37/3g=")</f>
        <v>#VALUE!</v>
      </c>
      <c r="DR30" s="22" t="e">
        <f aca="false">AND(#REF!,"AAAAAH37/3k=")</f>
        <v>#VALUE!</v>
      </c>
      <c r="DS30" s="22" t="e">
        <f aca="false">IF(#REF!,"AAAAAH37/3o=",0)</f>
        <v>#REF!</v>
      </c>
      <c r="DT30" s="22" t="e">
        <f aca="false">AND(#REF!,"AAAAAH37/3s=")</f>
        <v>#VALUE!</v>
      </c>
      <c r="DU30" s="22" t="e">
        <f aca="false">AND('current index'!#ref!,"AAAAAH37/3w=")</f>
        <v>#VALUE!</v>
      </c>
      <c r="DV30" s="22" t="e">
        <f aca="false">AND(#REF!,"AAAAAH37/30=")</f>
        <v>#VALUE!</v>
      </c>
      <c r="DW30" s="22" t="e">
        <f aca="false">AND(#REF!,"AAAAAH37/34=")</f>
        <v>#VALUE!</v>
      </c>
      <c r="DX30" s="22" t="e">
        <f aca="false">AND(#REF!,"AAAAAH37/38=")</f>
        <v>#VALUE!</v>
      </c>
      <c r="DY30" s="22" t="e">
        <f aca="false">AND(#REF!,"AAAAAH37/4A=")</f>
        <v>#VALUE!</v>
      </c>
      <c r="DZ30" s="22" t="e">
        <f aca="false">AND(#REF!,"AAAAAH37/4E=")</f>
        <v>#VALUE!</v>
      </c>
      <c r="EA30" s="22" t="e">
        <f aca="false">AND(#REF!,"AAAAAH37/4I=")</f>
        <v>#VALUE!</v>
      </c>
      <c r="EB30" s="22" t="e">
        <f aca="false">AND(#REF!,"AAAAAH37/4M=")</f>
        <v>#VALUE!</v>
      </c>
      <c r="EC30" s="22" t="e">
        <f aca="false">AND(#REF!,"AAAAAH37/4Q=")</f>
        <v>#VALUE!</v>
      </c>
      <c r="ED30" s="22" t="e">
        <f aca="false">IF(#REF!,"AAAAAH37/4U=",0)</f>
        <v>#REF!</v>
      </c>
      <c r="EE30" s="22" t="e">
        <f aca="false">AND(#REF!,"AAAAAH37/4Y=")</f>
        <v>#VALUE!</v>
      </c>
      <c r="EF30" s="22" t="e">
        <f aca="false">AND('current index'!#ref!,"AAAAAH37/4c=")</f>
        <v>#VALUE!</v>
      </c>
      <c r="EG30" s="22" t="e">
        <f aca="false">AND(#REF!,"AAAAAH37/4g=")</f>
        <v>#VALUE!</v>
      </c>
      <c r="EH30" s="22" t="e">
        <f aca="false">AND(#REF!,"AAAAAH37/4k=")</f>
        <v>#VALUE!</v>
      </c>
      <c r="EI30" s="22" t="e">
        <f aca="false">AND(#REF!,"AAAAAH37/4o=")</f>
        <v>#VALUE!</v>
      </c>
      <c r="EJ30" s="22" t="e">
        <f aca="false">AND(#REF!,"AAAAAH37/4s=")</f>
        <v>#VALUE!</v>
      </c>
      <c r="EK30" s="22" t="e">
        <f aca="false">AND(#REF!,"AAAAAH37/4w=")</f>
        <v>#VALUE!</v>
      </c>
      <c r="EL30" s="22" t="e">
        <f aca="false">AND(#REF!,"AAAAAH37/40=")</f>
        <v>#VALUE!</v>
      </c>
      <c r="EM30" s="22" t="e">
        <f aca="false">AND(#REF!,"AAAAAH37/44=")</f>
        <v>#VALUE!</v>
      </c>
      <c r="EN30" s="22" t="e">
        <f aca="false">AND(#REF!,"AAAAAH37/48=")</f>
        <v>#VALUE!</v>
      </c>
      <c r="EO30" s="22" t="e">
        <f aca="false">IF(#REF!,"AAAAAH37/5A=",0)</f>
        <v>#REF!</v>
      </c>
      <c r="EP30" s="22" t="e">
        <f aca="false">AND(#REF!,"AAAAAH37/5E=")</f>
        <v>#VALUE!</v>
      </c>
      <c r="EQ30" s="22" t="e">
        <f aca="false">AND('current index'!#ref!,"AAAAAH37/5I=")</f>
        <v>#VALUE!</v>
      </c>
      <c r="ER30" s="22" t="e">
        <f aca="false">AND(#REF!,"AAAAAH37/5M=")</f>
        <v>#VALUE!</v>
      </c>
      <c r="ES30" s="22" t="e">
        <f aca="false">AND(#REF!,"AAAAAH37/5Q=")</f>
        <v>#VALUE!</v>
      </c>
      <c r="ET30" s="22" t="e">
        <f aca="false">AND(#REF!,"AAAAAH37/5U=")</f>
        <v>#VALUE!</v>
      </c>
      <c r="EU30" s="22" t="e">
        <f aca="false">AND(#REF!,"AAAAAH37/5Y=")</f>
        <v>#VALUE!</v>
      </c>
      <c r="EV30" s="22" t="e">
        <f aca="false">AND(#REF!,"AAAAAH37/5c=")</f>
        <v>#VALUE!</v>
      </c>
      <c r="EW30" s="22" t="e">
        <f aca="false">AND(#REF!,"AAAAAH37/5g=")</f>
        <v>#VALUE!</v>
      </c>
      <c r="EX30" s="22" t="e">
        <f aca="false">AND(#REF!,"AAAAAH37/5k=")</f>
        <v>#VALUE!</v>
      </c>
      <c r="EY30" s="22" t="e">
        <f aca="false">AND(#REF!,"AAAAAH37/5o=")</f>
        <v>#VALUE!</v>
      </c>
      <c r="EZ30" s="22" t="e">
        <f aca="false">IF(#REF!,"AAAAAH37/5s=",0)</f>
        <v>#REF!</v>
      </c>
      <c r="FA30" s="22" t="e">
        <f aca="false">AND(#REF!,"AAAAAH37/5w=")</f>
        <v>#VALUE!</v>
      </c>
      <c r="FB30" s="22" t="e">
        <f aca="false">AND('current index'!#ref!,"AAAAAH37/50=")</f>
        <v>#VALUE!</v>
      </c>
      <c r="FC30" s="22" t="e">
        <f aca="false">AND(#REF!,"AAAAAH37/54=")</f>
        <v>#VALUE!</v>
      </c>
      <c r="FD30" s="22" t="e">
        <f aca="false">AND(#REF!,"AAAAAH37/58=")</f>
        <v>#VALUE!</v>
      </c>
      <c r="FE30" s="22" t="e">
        <f aca="false">AND(#REF!,"AAAAAH37/6A=")</f>
        <v>#VALUE!</v>
      </c>
      <c r="FF30" s="22" t="e">
        <f aca="false">AND(#REF!,"AAAAAH37/6E=")</f>
        <v>#VALUE!</v>
      </c>
      <c r="FG30" s="22" t="e">
        <f aca="false">AND(#REF!,"AAAAAH37/6I=")</f>
        <v>#VALUE!</v>
      </c>
      <c r="FH30" s="22" t="e">
        <f aca="false">AND(#REF!,"AAAAAH37/6M=")</f>
        <v>#VALUE!</v>
      </c>
      <c r="FI30" s="22" t="e">
        <f aca="false">AND(#REF!,"AAAAAH37/6Q=")</f>
        <v>#VALUE!</v>
      </c>
      <c r="FJ30" s="22" t="e">
        <f aca="false">AND(#REF!,"AAAAAH37/6U=")</f>
        <v>#VALUE!</v>
      </c>
      <c r="FK30" s="22" t="e">
        <f aca="false">IF(#REF!,"AAAAAH37/6Y=",0)</f>
        <v>#REF!</v>
      </c>
      <c r="FL30" s="22" t="e">
        <f aca="false">AND(#REF!,"AAAAAH37/6c=")</f>
        <v>#VALUE!</v>
      </c>
      <c r="FM30" s="22" t="e">
        <f aca="false">AND('current index'!#ref!,"AAAAAH37/6g=")</f>
        <v>#VALUE!</v>
      </c>
      <c r="FN30" s="22" t="e">
        <f aca="false">AND(#REF!,"AAAAAH37/6k=")</f>
        <v>#VALUE!</v>
      </c>
      <c r="FO30" s="22" t="e">
        <f aca="false">AND(#REF!,"AAAAAH37/6o=")</f>
        <v>#VALUE!</v>
      </c>
      <c r="FP30" s="22" t="e">
        <f aca="false">AND(#REF!,"AAAAAH37/6s=")</f>
        <v>#VALUE!</v>
      </c>
      <c r="FQ30" s="22" t="e">
        <f aca="false">AND(#REF!,"AAAAAH37/6w=")</f>
        <v>#VALUE!</v>
      </c>
      <c r="FR30" s="22" t="e">
        <f aca="false">AND(#REF!,"AAAAAH37/60=")</f>
        <v>#VALUE!</v>
      </c>
      <c r="FS30" s="22" t="e">
        <f aca="false">AND(#REF!,"AAAAAH37/64=")</f>
        <v>#VALUE!</v>
      </c>
      <c r="FT30" s="22" t="e">
        <f aca="false">AND(#REF!,"AAAAAH37/68=")</f>
        <v>#VALUE!</v>
      </c>
      <c r="FU30" s="22" t="e">
        <f aca="false">AND(#REF!,"AAAAAH37/7A=")</f>
        <v>#VALUE!</v>
      </c>
      <c r="FV30" s="22" t="e">
        <f aca="false">IF(#REF!,"AAAAAH37/7E=",0)</f>
        <v>#REF!</v>
      </c>
      <c r="FW30" s="22" t="e">
        <f aca="false">AND(#REF!,"AAAAAH37/7I=")</f>
        <v>#VALUE!</v>
      </c>
      <c r="FX30" s="22" t="e">
        <f aca="false">AND('current index'!#ref!,"AAAAAH37/7M=")</f>
        <v>#VALUE!</v>
      </c>
      <c r="FY30" s="22" t="e">
        <f aca="false">AND(#REF!,"AAAAAH37/7Q=")</f>
        <v>#VALUE!</v>
      </c>
      <c r="FZ30" s="22" t="e">
        <f aca="false">AND(#REF!,"AAAAAH37/7U=")</f>
        <v>#VALUE!</v>
      </c>
      <c r="GA30" s="22" t="e">
        <f aca="false">AND(#REF!,"AAAAAH37/7Y=")</f>
        <v>#VALUE!</v>
      </c>
      <c r="GB30" s="22" t="e">
        <f aca="false">AND(#REF!,"AAAAAH37/7c=")</f>
        <v>#VALUE!</v>
      </c>
      <c r="GC30" s="22" t="e">
        <f aca="false">AND(#REF!,"AAAAAH37/7g=")</f>
        <v>#VALUE!</v>
      </c>
      <c r="GD30" s="22" t="e">
        <f aca="false">AND(#REF!,"AAAAAH37/7k=")</f>
        <v>#VALUE!</v>
      </c>
      <c r="GE30" s="22" t="e">
        <f aca="false">AND(#REF!,"AAAAAH37/7o=")</f>
        <v>#VALUE!</v>
      </c>
      <c r="GF30" s="22" t="e">
        <f aca="false">AND(#REF!,"AAAAAH37/7s=")</f>
        <v>#VALUE!</v>
      </c>
      <c r="GG30" s="22" t="e">
        <f aca="false">IF(#REF!,"AAAAAH37/7w=",0)</f>
        <v>#REF!</v>
      </c>
      <c r="GH30" s="22" t="e">
        <f aca="false">AND(#REF!,"AAAAAH37/70=")</f>
        <v>#VALUE!</v>
      </c>
      <c r="GI30" s="22" t="e">
        <f aca="false">AND('current index'!#ref!,"AAAAAH37/74=")</f>
        <v>#VALUE!</v>
      </c>
      <c r="GJ30" s="22" t="e">
        <f aca="false">AND(#REF!,"AAAAAH37/78=")</f>
        <v>#VALUE!</v>
      </c>
      <c r="GK30" s="22" t="e">
        <f aca="false">AND(#REF!,"AAAAAH37/8A=")</f>
        <v>#VALUE!</v>
      </c>
      <c r="GL30" s="22" t="e">
        <f aca="false">AND(#REF!,"AAAAAH37/8E=")</f>
        <v>#VALUE!</v>
      </c>
      <c r="GM30" s="22" t="e">
        <f aca="false">AND(#REF!,"AAAAAH37/8I=")</f>
        <v>#VALUE!</v>
      </c>
      <c r="GN30" s="22" t="e">
        <f aca="false">AND(#REF!,"AAAAAH37/8M=")</f>
        <v>#VALUE!</v>
      </c>
      <c r="GO30" s="22" t="e">
        <f aca="false">AND(#REF!,"AAAAAH37/8Q=")</f>
        <v>#VALUE!</v>
      </c>
      <c r="GP30" s="22" t="e">
        <f aca="false">AND(#REF!,"AAAAAH37/8U=")</f>
        <v>#VALUE!</v>
      </c>
      <c r="GQ30" s="22" t="e">
        <f aca="false">AND(#REF!,"AAAAAH37/8Y=")</f>
        <v>#VALUE!</v>
      </c>
      <c r="GR30" s="22" t="e">
        <f aca="false">IF(#REF!,"AAAAAH37/8c=",0)</f>
        <v>#REF!</v>
      </c>
      <c r="GS30" s="22" t="e">
        <f aca="false">AND(#REF!,"AAAAAH37/8g=")</f>
        <v>#VALUE!</v>
      </c>
      <c r="GT30" s="22" t="e">
        <f aca="false">AND('current index'!#ref!,"AAAAAH37/8k=")</f>
        <v>#VALUE!</v>
      </c>
      <c r="GU30" s="22" t="e">
        <f aca="false">AND(#REF!,"AAAAAH37/8o=")</f>
        <v>#VALUE!</v>
      </c>
      <c r="GV30" s="22" t="e">
        <f aca="false">AND(#REF!,"AAAAAH37/8s=")</f>
        <v>#VALUE!</v>
      </c>
      <c r="GW30" s="22" t="e">
        <f aca="false">AND(#REF!,"AAAAAH37/8w=")</f>
        <v>#VALUE!</v>
      </c>
      <c r="GX30" s="22" t="e">
        <f aca="false">AND(#REF!,"AAAAAH37/80=")</f>
        <v>#VALUE!</v>
      </c>
      <c r="GY30" s="22" t="e">
        <f aca="false">AND(#REF!,"AAAAAH37/84=")</f>
        <v>#VALUE!</v>
      </c>
      <c r="GZ30" s="22" t="e">
        <f aca="false">AND(#REF!,"AAAAAH37/88=")</f>
        <v>#VALUE!</v>
      </c>
      <c r="HA30" s="22" t="e">
        <f aca="false">AND(#REF!,"AAAAAH37/9A=")</f>
        <v>#VALUE!</v>
      </c>
      <c r="HB30" s="22" t="e">
        <f aca="false">AND(#REF!,"AAAAAH37/9E=")</f>
        <v>#VALUE!</v>
      </c>
      <c r="HC30" s="22" t="e">
        <f aca="false">IF(#REF!,"AAAAAH37/9I=",0)</f>
        <v>#REF!</v>
      </c>
      <c r="HD30" s="22" t="e">
        <f aca="false">AND(#REF!,"AAAAAH37/9M=")</f>
        <v>#VALUE!</v>
      </c>
      <c r="HE30" s="22" t="e">
        <f aca="false">AND('current index'!#ref!,"AAAAAH37/9Q=")</f>
        <v>#VALUE!</v>
      </c>
      <c r="HF30" s="22" t="e">
        <f aca="false">AND(#REF!,"AAAAAH37/9U=")</f>
        <v>#VALUE!</v>
      </c>
      <c r="HG30" s="22" t="e">
        <f aca="false">AND(#REF!,"AAAAAH37/9Y=")</f>
        <v>#VALUE!</v>
      </c>
      <c r="HH30" s="22" t="e">
        <f aca="false">AND(#REF!,"AAAAAH37/9c=")</f>
        <v>#VALUE!</v>
      </c>
      <c r="HI30" s="22" t="e">
        <f aca="false">AND(#REF!,"AAAAAH37/9g=")</f>
        <v>#VALUE!</v>
      </c>
      <c r="HJ30" s="22" t="e">
        <f aca="false">AND(#REF!,"AAAAAH37/9k=")</f>
        <v>#VALUE!</v>
      </c>
      <c r="HK30" s="22" t="e">
        <f aca="false">AND(#REF!,"AAAAAH37/9o=")</f>
        <v>#VALUE!</v>
      </c>
      <c r="HL30" s="22" t="e">
        <f aca="false">AND(#REF!,"AAAAAH37/9s=")</f>
        <v>#VALUE!</v>
      </c>
      <c r="HM30" s="22" t="e">
        <f aca="false">AND(#REF!,"AAAAAH37/9w=")</f>
        <v>#VALUE!</v>
      </c>
      <c r="HN30" s="22" t="e">
        <f aca="false">IF(#REF!,"AAAAAH37/90=",0)</f>
        <v>#REF!</v>
      </c>
      <c r="HO30" s="22" t="e">
        <f aca="false">AND(#REF!,"AAAAAH37/94=")</f>
        <v>#VALUE!</v>
      </c>
      <c r="HP30" s="22" t="e">
        <f aca="false">AND('current index'!#ref!,"AAAAAH37/98=")</f>
        <v>#VALUE!</v>
      </c>
      <c r="HQ30" s="22" t="e">
        <f aca="false">AND(#REF!,"AAAAAH37/+A=")</f>
        <v>#VALUE!</v>
      </c>
      <c r="HR30" s="22" t="e">
        <f aca="false">AND(#REF!,"AAAAAH37/+E=")</f>
        <v>#VALUE!</v>
      </c>
      <c r="HS30" s="22" t="e">
        <f aca="false">AND(#REF!,"AAAAAH37/+I=")</f>
        <v>#VALUE!</v>
      </c>
      <c r="HT30" s="22" t="e">
        <f aca="false">AND(#REF!,"AAAAAH37/+M=")</f>
        <v>#VALUE!</v>
      </c>
      <c r="HU30" s="22" t="e">
        <f aca="false">AND(#REF!,"AAAAAH37/+Q=")</f>
        <v>#VALUE!</v>
      </c>
      <c r="HV30" s="22" t="e">
        <f aca="false">AND(#REF!,"AAAAAH37/+U=")</f>
        <v>#VALUE!</v>
      </c>
      <c r="HW30" s="22" t="e">
        <f aca="false">AND(#REF!,"AAAAAH37/+Y=")</f>
        <v>#VALUE!</v>
      </c>
      <c r="HX30" s="22" t="e">
        <f aca="false">AND(#REF!,"AAAAAH37/+c=")</f>
        <v>#VALUE!</v>
      </c>
      <c r="HY30" s="22" t="e">
        <f aca="false">IF(#REF!,"AAAAAH37/+g=",0)</f>
        <v>#REF!</v>
      </c>
      <c r="HZ30" s="22" t="e">
        <f aca="false">AND(#REF!,"AAAAAH37/+k=")</f>
        <v>#VALUE!</v>
      </c>
      <c r="IA30" s="22" t="e">
        <f aca="false">AND('current index'!#ref!,"AAAAAH37/+o=")</f>
        <v>#VALUE!</v>
      </c>
      <c r="IB30" s="22" t="e">
        <f aca="false">AND(#REF!,"AAAAAH37/+s=")</f>
        <v>#VALUE!</v>
      </c>
      <c r="IC30" s="22" t="e">
        <f aca="false">AND(#REF!,"AAAAAH37/+w=")</f>
        <v>#VALUE!</v>
      </c>
      <c r="ID30" s="22" t="e">
        <f aca="false">AND(#REF!,"AAAAAH37/+0=")</f>
        <v>#VALUE!</v>
      </c>
      <c r="IE30" s="22" t="e">
        <f aca="false">AND(#REF!,"AAAAAH37/+4=")</f>
        <v>#VALUE!</v>
      </c>
      <c r="IF30" s="22" t="e">
        <f aca="false">AND(#REF!,"AAAAAH37/+8=")</f>
        <v>#VALUE!</v>
      </c>
      <c r="IG30" s="22" t="e">
        <f aca="false">AND(#REF!,"AAAAAH37//A=")</f>
        <v>#VALUE!</v>
      </c>
      <c r="IH30" s="22" t="e">
        <f aca="false">AND(#REF!,"AAAAAH37//E=")</f>
        <v>#VALUE!</v>
      </c>
      <c r="II30" s="22" t="e">
        <f aca="false">AND(#REF!,"AAAAAH37//I=")</f>
        <v>#VALUE!</v>
      </c>
      <c r="IJ30" s="22" t="e">
        <f aca="false">IF(#REF!,"AAAAAH37//M=",0)</f>
        <v>#REF!</v>
      </c>
      <c r="IK30" s="22" t="e">
        <f aca="false">AND(#REF!,"AAAAAH37//Q=")</f>
        <v>#VALUE!</v>
      </c>
      <c r="IL30" s="22" t="e">
        <f aca="false">AND('current index'!#ref!,"AAAAAH37//U=")</f>
        <v>#VALUE!</v>
      </c>
      <c r="IM30" s="22" t="e">
        <f aca="false">AND(#REF!,"AAAAAH37//Y=")</f>
        <v>#VALUE!</v>
      </c>
      <c r="IN30" s="22" t="e">
        <f aca="false">AND(#REF!,"AAAAAH37//c=")</f>
        <v>#VALUE!</v>
      </c>
      <c r="IO30" s="22" t="e">
        <f aca="false">AND(#REF!,"AAAAAH37//g=")</f>
        <v>#VALUE!</v>
      </c>
      <c r="IP30" s="22" t="e">
        <f aca="false">AND(#REF!,"AAAAAH37//k=")</f>
        <v>#VALUE!</v>
      </c>
      <c r="IQ30" s="22" t="e">
        <f aca="false">AND(#REF!,"AAAAAH37//o=")</f>
        <v>#VALUE!</v>
      </c>
      <c r="IR30" s="22" t="e">
        <f aca="false">AND(#REF!,"AAAAAH37//s=")</f>
        <v>#VALUE!</v>
      </c>
      <c r="IS30" s="22" t="e">
        <f aca="false">AND(#REF!,"AAAAAH37//w=")</f>
        <v>#VALUE!</v>
      </c>
      <c r="IT30" s="22" t="e">
        <f aca="false">AND(#REF!,"AAAAAH37//0=")</f>
        <v>#VALUE!</v>
      </c>
      <c r="IU30" s="22" t="e">
        <f aca="false">IF(#REF!,"AAAAAH37//4=",0)</f>
        <v>#REF!</v>
      </c>
      <c r="IV30" s="22" t="e">
        <f aca="false">AND(#REF!,"AAAAAH37//8=")</f>
        <v>#VALUE!</v>
      </c>
    </row>
    <row r="31" customFormat="false" ht="12.75" hidden="false" customHeight="false" outlineLevel="0" collapsed="false">
      <c r="A31" s="22" t="e">
        <f aca="false">AND('current index'!#ref!,"AAAAAEy67wA=")</f>
        <v>#VALUE!</v>
      </c>
      <c r="B31" s="22" t="e">
        <f aca="false">AND(#REF!,"AAAAAEy67wE=")</f>
        <v>#VALUE!</v>
      </c>
      <c r="C31" s="22" t="e">
        <f aca="false">AND(#REF!,"AAAAAEy67wI=")</f>
        <v>#VALUE!</v>
      </c>
      <c r="D31" s="22" t="e">
        <f aca="false">AND(#REF!,"AAAAAEy67wM=")</f>
        <v>#VALUE!</v>
      </c>
      <c r="E31" s="22" t="e">
        <f aca="false">AND(#REF!,"AAAAAEy67wQ=")</f>
        <v>#VALUE!</v>
      </c>
      <c r="F31" s="22" t="e">
        <f aca="false">AND(#REF!,"AAAAAEy67wU=")</f>
        <v>#VALUE!</v>
      </c>
      <c r="G31" s="22" t="e">
        <f aca="false">AND(#REF!,"AAAAAEy67wY=")</f>
        <v>#VALUE!</v>
      </c>
      <c r="H31" s="22" t="e">
        <f aca="false">AND(#REF!,"AAAAAEy67wc=")</f>
        <v>#VALUE!</v>
      </c>
      <c r="I31" s="22" t="e">
        <f aca="false">AND(#REF!,"AAAAAEy67wg=")</f>
        <v>#VALUE!</v>
      </c>
      <c r="J31" s="22" t="n">
        <f aca="false">IF('Current Index'!732:732,"AAAAAEy67wk=",0)</f>
        <v>0</v>
      </c>
      <c r="K31" s="22" t="e">
        <f aca="false">AND('Current Index'!A732,"AAAAAEy67wo=")</f>
        <v>#VALUE!</v>
      </c>
      <c r="L31" s="22" t="e">
        <f aca="false">AND('current index'!#ref!,"AAAAAEy67ws=")</f>
        <v>#VALUE!</v>
      </c>
      <c r="M31" s="22" t="e">
        <f aca="false">AND('Current Index'!B732,"AAAAAEy67ww=")</f>
        <v>#VALUE!</v>
      </c>
      <c r="N31" s="22" t="e">
        <f aca="false">AND('Current Index'!C732,"AAAAAEy67w0=")</f>
        <v>#VALUE!</v>
      </c>
      <c r="O31" s="22" t="e">
        <f aca="false">AND('Current Index'!D732,"AAAAAEy67w4=")</f>
        <v>#VALUE!</v>
      </c>
      <c r="P31" s="22" t="e">
        <f aca="false">AND('Current Index'!E732,"AAAAAEy67w8=")</f>
        <v>#VALUE!</v>
      </c>
      <c r="Q31" s="22" t="e">
        <f aca="false">AND('Current Index'!F732,"AAAAAEy67xA=")</f>
        <v>#VALUE!</v>
      </c>
      <c r="R31" s="22" t="e">
        <f aca="false">AND('Current Index'!G732,"AAAAAEy67xE=")</f>
        <v>#VALUE!</v>
      </c>
      <c r="S31" s="22" t="e">
        <f aca="false">AND('Current Index'!H732,"AAAAAEy67xI=")</f>
        <v>#VALUE!</v>
      </c>
      <c r="T31" s="22" t="e">
        <f aca="false">AND('Current Index'!I732,"AAAAAEy67xM=")</f>
        <v>#VALUE!</v>
      </c>
      <c r="U31" s="22" t="n">
        <f aca="false">IF('Current Index'!733:733,"AAAAAEy67xQ=",0)</f>
        <v>0</v>
      </c>
      <c r="V31" s="22" t="e">
        <f aca="false">AND('Current Index'!A733,"AAAAAEy67xU=")</f>
        <v>#VALUE!</v>
      </c>
      <c r="W31" s="22" t="e">
        <f aca="false">AND('current index'!#ref!,"AAAAAEy67xY=")</f>
        <v>#VALUE!</v>
      </c>
      <c r="X31" s="22" t="e">
        <f aca="false">AND('Current Index'!B733,"AAAAAEy67xc=")</f>
        <v>#VALUE!</v>
      </c>
      <c r="Y31" s="22" t="e">
        <f aca="false">AND('Current Index'!C733,"AAAAAEy67xg=")</f>
        <v>#VALUE!</v>
      </c>
      <c r="Z31" s="22" t="e">
        <f aca="false">AND('Current Index'!D733,"AAAAAEy67xk=")</f>
        <v>#VALUE!</v>
      </c>
      <c r="AA31" s="22" t="e">
        <f aca="false">AND('Current Index'!E733,"AAAAAEy67xo=")</f>
        <v>#VALUE!</v>
      </c>
      <c r="AB31" s="22" t="e">
        <f aca="false">AND('Current Index'!F733,"AAAAAEy67xs=")</f>
        <v>#VALUE!</v>
      </c>
      <c r="AC31" s="22" t="e">
        <f aca="false">AND('Current Index'!G733,"AAAAAEy67xw=")</f>
        <v>#VALUE!</v>
      </c>
      <c r="AD31" s="22" t="e">
        <f aca="false">AND('Current Index'!H733,"AAAAAEy67x0=")</f>
        <v>#VALUE!</v>
      </c>
      <c r="AE31" s="22" t="e">
        <f aca="false">AND('Current Index'!I733,"AAAAAEy67x4=")</f>
        <v>#VALUE!</v>
      </c>
      <c r="AF31" s="22" t="e">
        <f aca="false">IF(#REF!,"AAAAAEy67x8=",0)</f>
        <v>#REF!</v>
      </c>
      <c r="AG31" s="22" t="e">
        <f aca="false">AND(#REF!,"AAAAAEy67yA=")</f>
        <v>#VALUE!</v>
      </c>
      <c r="AH31" s="22" t="e">
        <f aca="false">AND('current index'!#ref!,"AAAAAEy67yE=")</f>
        <v>#VALUE!</v>
      </c>
      <c r="AI31" s="22" t="e">
        <f aca="false">AND(#REF!,"AAAAAEy67yI=")</f>
        <v>#VALUE!</v>
      </c>
      <c r="AJ31" s="22" t="e">
        <f aca="false">AND(#REF!,"AAAAAEy67yM=")</f>
        <v>#VALUE!</v>
      </c>
      <c r="AK31" s="22" t="e">
        <f aca="false">AND(#REF!,"AAAAAEy67yQ=")</f>
        <v>#VALUE!</v>
      </c>
      <c r="AL31" s="22" t="e">
        <f aca="false">AND(#REF!,"AAAAAEy67yU=")</f>
        <v>#VALUE!</v>
      </c>
      <c r="AM31" s="22" t="e">
        <f aca="false">AND(#REF!,"AAAAAEy67yY=")</f>
        <v>#VALUE!</v>
      </c>
      <c r="AN31" s="22" t="e">
        <f aca="false">AND(#REF!,"AAAAAEy67yc=")</f>
        <v>#VALUE!</v>
      </c>
      <c r="AO31" s="22" t="e">
        <f aca="false">AND(#REF!,"AAAAAEy67yg=")</f>
        <v>#VALUE!</v>
      </c>
      <c r="AP31" s="22" t="e">
        <f aca="false">AND(#REF!,"AAAAAEy67yk=")</f>
        <v>#VALUE!</v>
      </c>
      <c r="AQ31" s="22" t="e">
        <f aca="false">IF(#REF!,"AAAAAEy67yo=",0)</f>
        <v>#REF!</v>
      </c>
      <c r="AR31" s="22" t="e">
        <f aca="false">AND(#REF!,"AAAAAEy67ys=")</f>
        <v>#VALUE!</v>
      </c>
      <c r="AS31" s="22" t="e">
        <f aca="false">AND('current index'!#ref!,"AAAAAEy67yw=")</f>
        <v>#VALUE!</v>
      </c>
      <c r="AT31" s="22" t="e">
        <f aca="false">AND(#REF!,"AAAAAEy67y0=")</f>
        <v>#VALUE!</v>
      </c>
      <c r="AU31" s="22" t="e">
        <f aca="false">AND(#REF!,"AAAAAEy67y4=")</f>
        <v>#VALUE!</v>
      </c>
      <c r="AV31" s="22" t="e">
        <f aca="false">AND(#REF!,"AAAAAEy67y8=")</f>
        <v>#VALUE!</v>
      </c>
      <c r="AW31" s="22" t="e">
        <f aca="false">AND(#REF!,"AAAAAEy67zA=")</f>
        <v>#VALUE!</v>
      </c>
      <c r="AX31" s="22" t="e">
        <f aca="false">AND(#REF!,"AAAAAEy67zE=")</f>
        <v>#VALUE!</v>
      </c>
      <c r="AY31" s="22" t="e">
        <f aca="false">AND(#REF!,"AAAAAEy67zI=")</f>
        <v>#VALUE!</v>
      </c>
      <c r="AZ31" s="22" t="e">
        <f aca="false">AND(#REF!,"AAAAAEy67zM=")</f>
        <v>#VALUE!</v>
      </c>
      <c r="BA31" s="22" t="e">
        <f aca="false">AND(#REF!,"AAAAAEy67zQ=")</f>
        <v>#VALUE!</v>
      </c>
      <c r="BB31" s="22" t="e">
        <f aca="false">IF(#REF!,"AAAAAEy67zU=",0)</f>
        <v>#REF!</v>
      </c>
      <c r="BC31" s="22" t="e">
        <f aca="false">AND(#REF!,"AAAAAEy67zY=")</f>
        <v>#VALUE!</v>
      </c>
      <c r="BD31" s="22" t="e">
        <f aca="false">AND('current index'!#ref!,"AAAAAEy67zc=")</f>
        <v>#VALUE!</v>
      </c>
      <c r="BE31" s="22" t="e">
        <f aca="false">AND(#REF!,"AAAAAEy67zg=")</f>
        <v>#VALUE!</v>
      </c>
      <c r="BF31" s="22" t="e">
        <f aca="false">AND(#REF!,"AAAAAEy67zk=")</f>
        <v>#VALUE!</v>
      </c>
      <c r="BG31" s="22" t="e">
        <f aca="false">AND(#REF!,"AAAAAEy67zo=")</f>
        <v>#VALUE!</v>
      </c>
      <c r="BH31" s="22" t="e">
        <f aca="false">AND(#REF!,"AAAAAEy67zs=")</f>
        <v>#VALUE!</v>
      </c>
      <c r="BI31" s="22" t="e">
        <f aca="false">AND(#REF!,"AAAAAEy67zw=")</f>
        <v>#VALUE!</v>
      </c>
      <c r="BJ31" s="22" t="e">
        <f aca="false">AND(#REF!,"AAAAAEy67z0=")</f>
        <v>#VALUE!</v>
      </c>
      <c r="BK31" s="22" t="e">
        <f aca="false">AND(#REF!,"AAAAAEy67z4=")</f>
        <v>#VALUE!</v>
      </c>
      <c r="BL31" s="22" t="e">
        <f aca="false">AND(#REF!,"AAAAAEy67z8=")</f>
        <v>#VALUE!</v>
      </c>
      <c r="BM31" s="22" t="n">
        <f aca="false">IF('Current Index'!734:734,"AAAAAEy670A=",0)</f>
        <v>0</v>
      </c>
      <c r="BN31" s="22" t="e">
        <f aca="false">AND('Current Index'!A734,"AAAAAEy670E=")</f>
        <v>#VALUE!</v>
      </c>
      <c r="BO31" s="22" t="e">
        <f aca="false">AND('current index'!#ref!,"AAAAAEy670I=")</f>
        <v>#VALUE!</v>
      </c>
      <c r="BP31" s="22" t="e">
        <f aca="false">AND('Current Index'!B734,"AAAAAEy670M=")</f>
        <v>#VALUE!</v>
      </c>
      <c r="BQ31" s="22" t="e">
        <f aca="false">AND('Current Index'!C734,"AAAAAEy670Q=")</f>
        <v>#VALUE!</v>
      </c>
      <c r="BR31" s="22" t="e">
        <f aca="false">AND('Current Index'!D734,"AAAAAEy670U=")</f>
        <v>#VALUE!</v>
      </c>
      <c r="BS31" s="22" t="e">
        <f aca="false">AND('Current Index'!E734,"AAAAAEy670Y=")</f>
        <v>#VALUE!</v>
      </c>
      <c r="BT31" s="22" t="e">
        <f aca="false">AND('Current Index'!F734,"AAAAAEy670c=")</f>
        <v>#VALUE!</v>
      </c>
      <c r="BU31" s="22" t="e">
        <f aca="false">AND('Current Index'!G734,"AAAAAEy670g=")</f>
        <v>#VALUE!</v>
      </c>
      <c r="BV31" s="22" t="e">
        <f aca="false">AND('Current Index'!H734,"AAAAAEy670k=")</f>
        <v>#VALUE!</v>
      </c>
      <c r="BW31" s="22" t="e">
        <f aca="false">AND('Current Index'!I734,"AAAAAEy670o=")</f>
        <v>#VALUE!</v>
      </c>
      <c r="BX31" s="22" t="e">
        <f aca="false">IF(#REF!,"AAAAAEy670s=",0)</f>
        <v>#REF!</v>
      </c>
      <c r="BY31" s="22" t="e">
        <f aca="false">AND(#REF!,"AAAAAEy670w=")</f>
        <v>#VALUE!</v>
      </c>
      <c r="BZ31" s="22" t="e">
        <f aca="false">AND('current index'!#ref!,"AAAAAEy6700=")</f>
        <v>#VALUE!</v>
      </c>
      <c r="CA31" s="22" t="e">
        <f aca="false">AND(#REF!,"AAAAAEy6704=")</f>
        <v>#VALUE!</v>
      </c>
      <c r="CB31" s="22" t="e">
        <f aca="false">AND(#REF!,"AAAAAEy6708=")</f>
        <v>#VALUE!</v>
      </c>
      <c r="CC31" s="22" t="e">
        <f aca="false">AND(#REF!,"AAAAAEy671A=")</f>
        <v>#VALUE!</v>
      </c>
      <c r="CD31" s="22" t="e">
        <f aca="false">AND(#REF!,"AAAAAEy671E=")</f>
        <v>#VALUE!</v>
      </c>
      <c r="CE31" s="22" t="e">
        <f aca="false">AND(#REF!,"AAAAAEy671I=")</f>
        <v>#VALUE!</v>
      </c>
      <c r="CF31" s="22" t="e">
        <f aca="false">AND(#REF!,"AAAAAEy671M=")</f>
        <v>#VALUE!</v>
      </c>
      <c r="CG31" s="22" t="e">
        <f aca="false">AND(#REF!,"AAAAAEy671Q=")</f>
        <v>#VALUE!</v>
      </c>
      <c r="CH31" s="22" t="e">
        <f aca="false">AND(#REF!,"AAAAAEy671U=")</f>
        <v>#VALUE!</v>
      </c>
      <c r="CI31" s="22" t="n">
        <f aca="false">IF('Current Index'!735:735,"AAAAAEy671Y=",0)</f>
        <v>0</v>
      </c>
      <c r="CJ31" s="22" t="e">
        <f aca="false">AND('Current Index'!A735,"AAAAAEy671c=")</f>
        <v>#VALUE!</v>
      </c>
      <c r="CK31" s="22" t="e">
        <f aca="false">AND('current index'!#ref!,"AAAAAEy671g=")</f>
        <v>#VALUE!</v>
      </c>
      <c r="CL31" s="22" t="e">
        <f aca="false">AND('Current Index'!B735,"AAAAAEy671k=")</f>
        <v>#VALUE!</v>
      </c>
      <c r="CM31" s="22" t="e">
        <f aca="false">AND('Current Index'!C735,"AAAAAEy671o=")</f>
        <v>#VALUE!</v>
      </c>
      <c r="CN31" s="22" t="e">
        <f aca="false">AND('Current Index'!D735,"AAAAAEy671s=")</f>
        <v>#VALUE!</v>
      </c>
      <c r="CO31" s="22" t="e">
        <f aca="false">AND('Current Index'!E735,"AAAAAEy671w=")</f>
        <v>#VALUE!</v>
      </c>
      <c r="CP31" s="22" t="e">
        <f aca="false">AND('Current Index'!F735,"AAAAAEy6710=")</f>
        <v>#VALUE!</v>
      </c>
      <c r="CQ31" s="22" t="e">
        <f aca="false">AND('Current Index'!G735,"AAAAAEy6714=")</f>
        <v>#VALUE!</v>
      </c>
      <c r="CR31" s="22" t="e">
        <f aca="false">AND('Current Index'!H735,"AAAAAEy6718=")</f>
        <v>#VALUE!</v>
      </c>
      <c r="CS31" s="22" t="e">
        <f aca="false">AND('Current Index'!I735,"AAAAAEy672A=")</f>
        <v>#VALUE!</v>
      </c>
      <c r="CT31" s="22" t="n">
        <f aca="false">IF('Current Index'!736:736,"AAAAAEy672E=",0)</f>
        <v>0</v>
      </c>
      <c r="CU31" s="22" t="e">
        <f aca="false">AND('Current Index'!A736,"AAAAAEy672I=")</f>
        <v>#VALUE!</v>
      </c>
      <c r="CV31" s="22" t="e">
        <f aca="false">AND('current index'!#ref!,"AAAAAEy672M=")</f>
        <v>#VALUE!</v>
      </c>
      <c r="CW31" s="22" t="e">
        <f aca="false">AND('Current Index'!B736,"AAAAAEy672Q=")</f>
        <v>#VALUE!</v>
      </c>
      <c r="CX31" s="22" t="e">
        <f aca="false">AND('Current Index'!C736,"AAAAAEy672U=")</f>
        <v>#VALUE!</v>
      </c>
      <c r="CY31" s="22" t="e">
        <f aca="false">AND('Current Index'!D736,"AAAAAEy672Y=")</f>
        <v>#VALUE!</v>
      </c>
      <c r="CZ31" s="22" t="e">
        <f aca="false">AND('Current Index'!E736,"AAAAAEy672c=")</f>
        <v>#VALUE!</v>
      </c>
      <c r="DA31" s="22" t="e">
        <f aca="false">AND('Current Index'!F736,"AAAAAEy672g=")</f>
        <v>#VALUE!</v>
      </c>
      <c r="DB31" s="22" t="e">
        <f aca="false">AND('Current Index'!G736,"AAAAAEy672k=")</f>
        <v>#VALUE!</v>
      </c>
      <c r="DC31" s="22" t="e">
        <f aca="false">AND('Current Index'!H736,"AAAAAEy672o=")</f>
        <v>#VALUE!</v>
      </c>
      <c r="DD31" s="22" t="e">
        <f aca="false">AND('Current Index'!I736,"AAAAAEy672s=")</f>
        <v>#VALUE!</v>
      </c>
      <c r="DE31" s="22" t="e">
        <f aca="false">IF(#REF!,"AAAAAEy672w=",0)</f>
        <v>#REF!</v>
      </c>
      <c r="DF31" s="22" t="e">
        <f aca="false">AND(#REF!,"AAAAAEy6720=")</f>
        <v>#VALUE!</v>
      </c>
      <c r="DG31" s="22" t="e">
        <f aca="false">AND('current index'!#ref!,"AAAAAEy6724=")</f>
        <v>#VALUE!</v>
      </c>
      <c r="DH31" s="22" t="e">
        <f aca="false">AND(#REF!,"AAAAAEy6728=")</f>
        <v>#VALUE!</v>
      </c>
      <c r="DI31" s="22" t="e">
        <f aca="false">AND(#REF!,"AAAAAEy673A=")</f>
        <v>#VALUE!</v>
      </c>
      <c r="DJ31" s="22" t="e">
        <f aca="false">AND(#REF!,"AAAAAEy673E=")</f>
        <v>#VALUE!</v>
      </c>
      <c r="DK31" s="22" t="e">
        <f aca="false">AND(#REF!,"AAAAAEy673I=")</f>
        <v>#VALUE!</v>
      </c>
      <c r="DL31" s="22" t="e">
        <f aca="false">AND(#REF!,"AAAAAEy673M=")</f>
        <v>#VALUE!</v>
      </c>
      <c r="DM31" s="22" t="e">
        <f aca="false">AND(#REF!,"AAAAAEy673Q=")</f>
        <v>#VALUE!</v>
      </c>
      <c r="DN31" s="22" t="e">
        <f aca="false">AND(#REF!,"AAAAAEy673U=")</f>
        <v>#VALUE!</v>
      </c>
      <c r="DO31" s="22" t="e">
        <f aca="false">AND(#REF!,"AAAAAEy673Y=")</f>
        <v>#VALUE!</v>
      </c>
      <c r="DP31" s="22" t="n">
        <f aca="false">IF('Current Index'!737:737,"AAAAAEy673c=",0)</f>
        <v>0</v>
      </c>
      <c r="DQ31" s="22" t="e">
        <f aca="false">AND('Current Index'!A737,"AAAAAEy673g=")</f>
        <v>#VALUE!</v>
      </c>
      <c r="DR31" s="22" t="e">
        <f aca="false">AND('current index'!#ref!,"AAAAAEy673k=")</f>
        <v>#VALUE!</v>
      </c>
      <c r="DS31" s="22" t="e">
        <f aca="false">AND('Current Index'!B737,"AAAAAEy673o=")</f>
        <v>#VALUE!</v>
      </c>
      <c r="DT31" s="22" t="e">
        <f aca="false">AND('Current Index'!C737,"AAAAAEy673s=")</f>
        <v>#VALUE!</v>
      </c>
      <c r="DU31" s="22" t="e">
        <f aca="false">AND('Current Index'!D737,"AAAAAEy673w=")</f>
        <v>#VALUE!</v>
      </c>
      <c r="DV31" s="22" t="e">
        <f aca="false">AND('Current Index'!E737,"AAAAAEy6730=")</f>
        <v>#VALUE!</v>
      </c>
      <c r="DW31" s="22" t="e">
        <f aca="false">AND('Current Index'!F737,"AAAAAEy6734=")</f>
        <v>#VALUE!</v>
      </c>
      <c r="DX31" s="22" t="e">
        <f aca="false">AND('Current Index'!G737,"AAAAAEy6738=")</f>
        <v>#VALUE!</v>
      </c>
      <c r="DY31" s="22" t="e">
        <f aca="false">AND('Current Index'!H737,"AAAAAEy674A=")</f>
        <v>#VALUE!</v>
      </c>
      <c r="DZ31" s="22" t="e">
        <f aca="false">AND('Current Index'!I737,"AAAAAEy674E=")</f>
        <v>#VALUE!</v>
      </c>
      <c r="EA31" s="22" t="e">
        <f aca="false">IF(#REF!,"AAAAAEy674I=",0)</f>
        <v>#REF!</v>
      </c>
      <c r="EB31" s="22" t="e">
        <f aca="false">AND(#REF!,"AAAAAEy674M=")</f>
        <v>#VALUE!</v>
      </c>
      <c r="EC31" s="22" t="e">
        <f aca="false">AND('current index'!#ref!,"AAAAAEy674Q=")</f>
        <v>#VALUE!</v>
      </c>
      <c r="ED31" s="22" t="e">
        <f aca="false">AND(#REF!,"AAAAAEy674U=")</f>
        <v>#VALUE!</v>
      </c>
      <c r="EE31" s="22" t="e">
        <f aca="false">AND(#REF!,"AAAAAEy674Y=")</f>
        <v>#VALUE!</v>
      </c>
      <c r="EF31" s="22" t="e">
        <f aca="false">AND(#REF!,"AAAAAEy674c=")</f>
        <v>#VALUE!</v>
      </c>
      <c r="EG31" s="22" t="e">
        <f aca="false">AND(#REF!,"AAAAAEy674g=")</f>
        <v>#VALUE!</v>
      </c>
      <c r="EH31" s="22" t="e">
        <f aca="false">AND(#REF!,"AAAAAEy674k=")</f>
        <v>#VALUE!</v>
      </c>
      <c r="EI31" s="22" t="e">
        <f aca="false">AND(#REF!,"AAAAAEy674o=")</f>
        <v>#VALUE!</v>
      </c>
      <c r="EJ31" s="22" t="e">
        <f aca="false">AND(#REF!,"AAAAAEy674s=")</f>
        <v>#VALUE!</v>
      </c>
      <c r="EK31" s="22" t="e">
        <f aca="false">AND(#REF!,"AAAAAEy674w=")</f>
        <v>#VALUE!</v>
      </c>
      <c r="EL31" s="22" t="n">
        <f aca="false">IF('Current Index'!738:738,"AAAAAEy6740=",0)</f>
        <v>0</v>
      </c>
      <c r="EM31" s="22" t="e">
        <f aca="false">AND('Current Index'!A738,"AAAAAEy6744=")</f>
        <v>#VALUE!</v>
      </c>
      <c r="EN31" s="22" t="e">
        <f aca="false">AND('current index'!#ref!,"AAAAAEy6748=")</f>
        <v>#VALUE!</v>
      </c>
      <c r="EO31" s="22" t="e">
        <f aca="false">AND('Current Index'!B738,"AAAAAEy675A=")</f>
        <v>#VALUE!</v>
      </c>
      <c r="EP31" s="22" t="e">
        <f aca="false">AND('Current Index'!C738,"AAAAAEy675E=")</f>
        <v>#VALUE!</v>
      </c>
      <c r="EQ31" s="22" t="e">
        <f aca="false">AND('Current Index'!D738,"AAAAAEy675I=")</f>
        <v>#VALUE!</v>
      </c>
      <c r="ER31" s="22" t="e">
        <f aca="false">AND('Current Index'!E738,"AAAAAEy675M=")</f>
        <v>#VALUE!</v>
      </c>
      <c r="ES31" s="22" t="e">
        <f aca="false">AND('Current Index'!F738,"AAAAAEy675Q=")</f>
        <v>#VALUE!</v>
      </c>
      <c r="ET31" s="22" t="e">
        <f aca="false">AND('Current Index'!G738,"AAAAAEy675U=")</f>
        <v>#VALUE!</v>
      </c>
      <c r="EU31" s="22" t="e">
        <f aca="false">AND('Current Index'!H738,"AAAAAEy675Y=")</f>
        <v>#VALUE!</v>
      </c>
      <c r="EV31" s="22" t="e">
        <f aca="false">AND('Current Index'!I738,"AAAAAEy675c=")</f>
        <v>#VALUE!</v>
      </c>
      <c r="EW31" s="22" t="e">
        <f aca="false">IF(#REF!,"AAAAAEy675g=",0)</f>
        <v>#REF!</v>
      </c>
      <c r="EX31" s="22" t="e">
        <f aca="false">AND(#REF!,"AAAAAEy675k=")</f>
        <v>#VALUE!</v>
      </c>
      <c r="EY31" s="22" t="e">
        <f aca="false">AND('current index'!#ref!,"AAAAAEy675o=")</f>
        <v>#VALUE!</v>
      </c>
      <c r="EZ31" s="22" t="e">
        <f aca="false">AND(#REF!,"AAAAAEy675s=")</f>
        <v>#VALUE!</v>
      </c>
      <c r="FA31" s="22" t="e">
        <f aca="false">AND(#REF!,"AAAAAEy675w=")</f>
        <v>#VALUE!</v>
      </c>
      <c r="FB31" s="22" t="e">
        <f aca="false">AND(#REF!,"AAAAAEy6750=")</f>
        <v>#VALUE!</v>
      </c>
      <c r="FC31" s="22" t="e">
        <f aca="false">AND(#REF!,"AAAAAEy6754=")</f>
        <v>#VALUE!</v>
      </c>
      <c r="FD31" s="22" t="e">
        <f aca="false">AND(#REF!,"AAAAAEy6758=")</f>
        <v>#VALUE!</v>
      </c>
      <c r="FE31" s="22" t="e">
        <f aca="false">AND(#REF!,"AAAAAEy676A=")</f>
        <v>#VALUE!</v>
      </c>
      <c r="FF31" s="22" t="e">
        <f aca="false">AND(#REF!,"AAAAAEy676E=")</f>
        <v>#VALUE!</v>
      </c>
      <c r="FG31" s="22" t="e">
        <f aca="false">AND(#REF!,"AAAAAEy676I=")</f>
        <v>#VALUE!</v>
      </c>
      <c r="FH31" s="22" t="e">
        <f aca="false">IF(#REF!,"AAAAAEy676M=",0)</f>
        <v>#REF!</v>
      </c>
      <c r="FI31" s="22" t="e">
        <f aca="false">AND(#REF!,"AAAAAEy676Q=")</f>
        <v>#VALUE!</v>
      </c>
      <c r="FJ31" s="22" t="e">
        <f aca="false">AND('current index'!#ref!,"AAAAAEy676U=")</f>
        <v>#VALUE!</v>
      </c>
      <c r="FK31" s="22" t="e">
        <f aca="false">AND(#REF!,"AAAAAEy676Y=")</f>
        <v>#VALUE!</v>
      </c>
      <c r="FL31" s="22" t="e">
        <f aca="false">AND(#REF!,"AAAAAEy676c=")</f>
        <v>#VALUE!</v>
      </c>
      <c r="FM31" s="22" t="e">
        <f aca="false">AND(#REF!,"AAAAAEy676g=")</f>
        <v>#VALUE!</v>
      </c>
      <c r="FN31" s="22" t="e">
        <f aca="false">AND(#REF!,"AAAAAEy676k=")</f>
        <v>#VALUE!</v>
      </c>
      <c r="FO31" s="22" t="e">
        <f aca="false">AND(#REF!,"AAAAAEy676o=")</f>
        <v>#VALUE!</v>
      </c>
      <c r="FP31" s="22" t="e">
        <f aca="false">AND(#REF!,"AAAAAEy676s=")</f>
        <v>#VALUE!</v>
      </c>
      <c r="FQ31" s="22" t="e">
        <f aca="false">AND(#REF!,"AAAAAEy676w=")</f>
        <v>#VALUE!</v>
      </c>
      <c r="FR31" s="22" t="e">
        <f aca="false">AND(#REF!,"AAAAAEy6760=")</f>
        <v>#VALUE!</v>
      </c>
      <c r="FS31" s="22" t="e">
        <f aca="false">IF(#REF!,"AAAAAEy6764=",0)</f>
        <v>#REF!</v>
      </c>
      <c r="FT31" s="22" t="e">
        <f aca="false">AND(#REF!,"AAAAAEy6768=")</f>
        <v>#VALUE!</v>
      </c>
      <c r="FU31" s="22" t="e">
        <f aca="false">AND('current index'!#ref!,"AAAAAEy677A=")</f>
        <v>#VALUE!</v>
      </c>
      <c r="FV31" s="22" t="e">
        <f aca="false">AND(#REF!,"AAAAAEy677E=")</f>
        <v>#VALUE!</v>
      </c>
      <c r="FW31" s="22" t="e">
        <f aca="false">AND(#REF!,"AAAAAEy677I=")</f>
        <v>#VALUE!</v>
      </c>
      <c r="FX31" s="22" t="e">
        <f aca="false">AND(#REF!,"AAAAAEy677M=")</f>
        <v>#VALUE!</v>
      </c>
      <c r="FY31" s="22" t="e">
        <f aca="false">AND(#REF!,"AAAAAEy677Q=")</f>
        <v>#VALUE!</v>
      </c>
      <c r="FZ31" s="22" t="e">
        <f aca="false">AND(#REF!,"AAAAAEy677U=")</f>
        <v>#VALUE!</v>
      </c>
      <c r="GA31" s="22" t="e">
        <f aca="false">AND(#REF!,"AAAAAEy677Y=")</f>
        <v>#VALUE!</v>
      </c>
      <c r="GB31" s="22" t="e">
        <f aca="false">AND(#REF!,"AAAAAEy677c=")</f>
        <v>#VALUE!</v>
      </c>
      <c r="GC31" s="22" t="e">
        <f aca="false">AND(#REF!,"AAAAAEy677g=")</f>
        <v>#VALUE!</v>
      </c>
      <c r="GD31" s="22" t="n">
        <f aca="false">IF('Current Index'!739:739,"AAAAAEy677k=",0)</f>
        <v>0</v>
      </c>
      <c r="GE31" s="22" t="e">
        <f aca="false">AND('Current Index'!A739,"AAAAAEy677o=")</f>
        <v>#VALUE!</v>
      </c>
      <c r="GF31" s="22" t="e">
        <f aca="false">AND('current index'!#ref!,"AAAAAEy677s=")</f>
        <v>#VALUE!</v>
      </c>
      <c r="GG31" s="22" t="e">
        <f aca="false">AND('Current Index'!B739,"AAAAAEy677w=")</f>
        <v>#VALUE!</v>
      </c>
      <c r="GH31" s="22" t="e">
        <f aca="false">AND('Current Index'!C739,"AAAAAEy6770=")</f>
        <v>#VALUE!</v>
      </c>
      <c r="GI31" s="22" t="e">
        <f aca="false">AND('Current Index'!D739,"AAAAAEy6774=")</f>
        <v>#VALUE!</v>
      </c>
      <c r="GJ31" s="22" t="e">
        <f aca="false">AND('Current Index'!E739,"AAAAAEy6778=")</f>
        <v>#VALUE!</v>
      </c>
      <c r="GK31" s="22" t="e">
        <f aca="false">AND('Current Index'!F739,"AAAAAEy678A=")</f>
        <v>#VALUE!</v>
      </c>
      <c r="GL31" s="22" t="e">
        <f aca="false">AND('Current Index'!G739,"AAAAAEy678E=")</f>
        <v>#VALUE!</v>
      </c>
      <c r="GM31" s="22" t="e">
        <f aca="false">AND('Current Index'!H739,"AAAAAEy678I=")</f>
        <v>#VALUE!</v>
      </c>
      <c r="GN31" s="22" t="e">
        <f aca="false">AND('Current Index'!I739,"AAAAAEy678M=")</f>
        <v>#VALUE!</v>
      </c>
      <c r="GO31" s="22" t="e">
        <f aca="false">IF(#REF!,"AAAAAEy678Q=",0)</f>
        <v>#REF!</v>
      </c>
      <c r="GP31" s="22" t="e">
        <f aca="false">AND(#REF!,"AAAAAEy678U=")</f>
        <v>#VALUE!</v>
      </c>
      <c r="GQ31" s="22" t="e">
        <f aca="false">AND('current index'!#ref!,"AAAAAEy678Y=")</f>
        <v>#VALUE!</v>
      </c>
      <c r="GR31" s="22" t="e">
        <f aca="false">AND(#REF!,"AAAAAEy678c=")</f>
        <v>#VALUE!</v>
      </c>
      <c r="GS31" s="22" t="e">
        <f aca="false">AND(#REF!,"AAAAAEy678g=")</f>
        <v>#VALUE!</v>
      </c>
      <c r="GT31" s="22" t="e">
        <f aca="false">AND(#REF!,"AAAAAEy678k=")</f>
        <v>#VALUE!</v>
      </c>
      <c r="GU31" s="22" t="e">
        <f aca="false">AND(#REF!,"AAAAAEy678o=")</f>
        <v>#VALUE!</v>
      </c>
      <c r="GV31" s="22" t="e">
        <f aca="false">AND(#REF!,"AAAAAEy678s=")</f>
        <v>#VALUE!</v>
      </c>
      <c r="GW31" s="22" t="e">
        <f aca="false">AND(#REF!,"AAAAAEy678w=")</f>
        <v>#VALUE!</v>
      </c>
      <c r="GX31" s="22" t="e">
        <f aca="false">AND(#REF!,"AAAAAEy6780=")</f>
        <v>#VALUE!</v>
      </c>
      <c r="GY31" s="22" t="e">
        <f aca="false">AND(#REF!,"AAAAAEy6784=")</f>
        <v>#VALUE!</v>
      </c>
      <c r="GZ31" s="22" t="n">
        <f aca="false">IF('Current Index'!740:740,"AAAAAEy6788=",0)</f>
        <v>0</v>
      </c>
      <c r="HA31" s="22" t="e">
        <f aca="false">AND('Current Index'!A740,"AAAAAEy679A=")</f>
        <v>#VALUE!</v>
      </c>
      <c r="HB31" s="22" t="e">
        <f aca="false">AND('current index'!#ref!,"AAAAAEy679E=")</f>
        <v>#VALUE!</v>
      </c>
      <c r="HC31" s="22" t="e">
        <f aca="false">AND('Current Index'!B740,"AAAAAEy679I=")</f>
        <v>#VALUE!</v>
      </c>
      <c r="HD31" s="22" t="e">
        <f aca="false">AND('Current Index'!C740,"AAAAAEy679M=")</f>
        <v>#VALUE!</v>
      </c>
      <c r="HE31" s="22" t="e">
        <f aca="false">AND('Current Index'!D740,"AAAAAEy679Q=")</f>
        <v>#VALUE!</v>
      </c>
      <c r="HF31" s="22" t="e">
        <f aca="false">AND('Current Index'!E740,"AAAAAEy679U=")</f>
        <v>#VALUE!</v>
      </c>
      <c r="HG31" s="22" t="e">
        <f aca="false">AND('Current Index'!F740,"AAAAAEy679Y=")</f>
        <v>#VALUE!</v>
      </c>
      <c r="HH31" s="22" t="e">
        <f aca="false">AND('Current Index'!G740,"AAAAAEy679c=")</f>
        <v>#VALUE!</v>
      </c>
      <c r="HI31" s="22" t="e">
        <f aca="false">AND('Current Index'!H740,"AAAAAEy679g=")</f>
        <v>#VALUE!</v>
      </c>
      <c r="HJ31" s="22" t="e">
        <f aca="false">AND('Current Index'!I740,"AAAAAEy679k=")</f>
        <v>#VALUE!</v>
      </c>
      <c r="HK31" s="22" t="n">
        <f aca="false">IF('Current Index'!741:741,"AAAAAEy679o=",0)</f>
        <v>0</v>
      </c>
      <c r="HL31" s="22" t="e">
        <f aca="false">AND('Current Index'!A741,"AAAAAEy679s=")</f>
        <v>#VALUE!</v>
      </c>
      <c r="HM31" s="22" t="e">
        <f aca="false">AND('current index'!#ref!,"AAAAAEy679w=")</f>
        <v>#VALUE!</v>
      </c>
      <c r="HN31" s="22" t="e">
        <f aca="false">AND('Current Index'!B741,"AAAAAEy6790=")</f>
        <v>#VALUE!</v>
      </c>
      <c r="HO31" s="22" t="e">
        <f aca="false">AND('Current Index'!C741,"AAAAAEy6794=")</f>
        <v>#VALUE!</v>
      </c>
      <c r="HP31" s="22" t="e">
        <f aca="false">AND('Current Index'!D741,"AAAAAEy6798=")</f>
        <v>#VALUE!</v>
      </c>
      <c r="HQ31" s="22" t="e">
        <f aca="false">AND('Current Index'!E741,"AAAAAEy67+A=")</f>
        <v>#VALUE!</v>
      </c>
      <c r="HR31" s="22" t="e">
        <f aca="false">AND('Current Index'!F741,"AAAAAEy67+E=")</f>
        <v>#VALUE!</v>
      </c>
      <c r="HS31" s="22" t="e">
        <f aca="false">AND('Current Index'!G741,"AAAAAEy67+I=")</f>
        <v>#VALUE!</v>
      </c>
      <c r="HT31" s="22" t="e">
        <f aca="false">AND('Current Index'!H741,"AAAAAEy67+M=")</f>
        <v>#VALUE!</v>
      </c>
      <c r="HU31" s="22" t="e">
        <f aca="false">AND('Current Index'!I741,"AAAAAEy67+Q=")</f>
        <v>#VALUE!</v>
      </c>
      <c r="HV31" s="22" t="n">
        <f aca="false">IF('Current Index'!743:743,"AAAAAEy67+U=",0)</f>
        <v>0</v>
      </c>
      <c r="HW31" s="22" t="e">
        <f aca="false">AND('Current Index'!A743,"AAAAAEy67+Y=")</f>
        <v>#VALUE!</v>
      </c>
      <c r="HX31" s="22" t="e">
        <f aca="false">AND('current index'!#ref!,"AAAAAEy67+c=")</f>
        <v>#VALUE!</v>
      </c>
      <c r="HY31" s="22" t="e">
        <f aca="false">AND('Current Index'!B743,"AAAAAEy67+g=")</f>
        <v>#VALUE!</v>
      </c>
      <c r="HZ31" s="22" t="e">
        <f aca="false">AND('Current Index'!C743,"AAAAAEy67+k=")</f>
        <v>#VALUE!</v>
      </c>
      <c r="IA31" s="22" t="e">
        <f aca="false">AND('Current Index'!D743,"AAAAAEy67+o=")</f>
        <v>#VALUE!</v>
      </c>
      <c r="IB31" s="22" t="e">
        <f aca="false">AND('Current Index'!E743,"AAAAAEy67+s=")</f>
        <v>#VALUE!</v>
      </c>
      <c r="IC31" s="22" t="e">
        <f aca="false">AND('Current Index'!F743,"AAAAAEy67+w=")</f>
        <v>#VALUE!</v>
      </c>
      <c r="ID31" s="22" t="e">
        <f aca="false">AND('Current Index'!G743,"AAAAAEy67+0=")</f>
        <v>#VALUE!</v>
      </c>
      <c r="IE31" s="22" t="e">
        <f aca="false">AND('Current Index'!H743,"AAAAAEy67+4=")</f>
        <v>#VALUE!</v>
      </c>
      <c r="IF31" s="22" t="e">
        <f aca="false">AND('Current Index'!I743,"AAAAAEy67+8=")</f>
        <v>#VALUE!</v>
      </c>
      <c r="IG31" s="22" t="e">
        <f aca="false">IF(#REF!,"AAAAAEy67/A=",0)</f>
        <v>#REF!</v>
      </c>
      <c r="IH31" s="22" t="e">
        <f aca="false">AND(#REF!,"AAAAAEy67/E=")</f>
        <v>#VALUE!</v>
      </c>
      <c r="II31" s="22" t="e">
        <f aca="false">AND('current index'!#ref!,"AAAAAEy67/I=")</f>
        <v>#VALUE!</v>
      </c>
      <c r="IJ31" s="22" t="e">
        <f aca="false">AND(#REF!,"AAAAAEy67/M=")</f>
        <v>#VALUE!</v>
      </c>
      <c r="IK31" s="22" t="e">
        <f aca="false">AND(#REF!,"AAAAAEy67/Q=")</f>
        <v>#VALUE!</v>
      </c>
      <c r="IL31" s="22" t="e">
        <f aca="false">AND(#REF!,"AAAAAEy67/U=")</f>
        <v>#VALUE!</v>
      </c>
      <c r="IM31" s="22" t="e">
        <f aca="false">AND(#REF!,"AAAAAEy67/Y=")</f>
        <v>#VALUE!</v>
      </c>
      <c r="IN31" s="22" t="e">
        <f aca="false">AND(#REF!,"AAAAAEy67/c=")</f>
        <v>#VALUE!</v>
      </c>
      <c r="IO31" s="22" t="e">
        <f aca="false">AND(#REF!,"AAAAAEy67/g=")</f>
        <v>#VALUE!</v>
      </c>
      <c r="IP31" s="22" t="e">
        <f aca="false">AND(#REF!,"AAAAAEy67/k=")</f>
        <v>#VALUE!</v>
      </c>
      <c r="IQ31" s="22" t="e">
        <f aca="false">AND(#REF!,"AAAAAEy67/o=")</f>
        <v>#VALUE!</v>
      </c>
      <c r="IR31" s="22" t="n">
        <f aca="false">IF('Current Index'!744:744,"AAAAAEy67/s=",0)</f>
        <v>0</v>
      </c>
      <c r="IS31" s="22" t="e">
        <f aca="false">AND('Current Index'!A744,"AAAAAEy67/w=")</f>
        <v>#VALUE!</v>
      </c>
      <c r="IT31" s="22" t="e">
        <f aca="false">AND('current index'!#ref!,"AAAAAEy67/0=")</f>
        <v>#VALUE!</v>
      </c>
      <c r="IU31" s="22" t="e">
        <f aca="false">AND('Current Index'!B744,"AAAAAEy67/4=")</f>
        <v>#VALUE!</v>
      </c>
      <c r="IV31" s="22" t="e">
        <f aca="false">AND('Current Index'!C744,"AAAAAEy67/8=")</f>
        <v>#VALUE!</v>
      </c>
    </row>
    <row r="32" customFormat="false" ht="12.75" hidden="false" customHeight="false" outlineLevel="0" collapsed="false">
      <c r="A32" s="22" t="e">
        <f aca="false">AND('Current Index'!D744,"AAAAAHn9fAA=")</f>
        <v>#VALUE!</v>
      </c>
      <c r="B32" s="22" t="e">
        <f aca="false">AND('Current Index'!E744,"AAAAAHn9fAE=")</f>
        <v>#VALUE!</v>
      </c>
      <c r="C32" s="22" t="e">
        <f aca="false">AND('Current Index'!F744,"AAAAAHn9fAI=")</f>
        <v>#VALUE!</v>
      </c>
      <c r="D32" s="22" t="e">
        <f aca="false">AND('Current Index'!G744,"AAAAAHn9fAM=")</f>
        <v>#VALUE!</v>
      </c>
      <c r="E32" s="22" t="e">
        <f aca="false">AND('Current Index'!H744,"AAAAAHn9fAQ=")</f>
        <v>#VALUE!</v>
      </c>
      <c r="F32" s="22" t="e">
        <f aca="false">AND('Current Index'!I744,"AAAAAHn9fAU=")</f>
        <v>#VALUE!</v>
      </c>
      <c r="G32" s="22" t="e">
        <f aca="false">IF('Current Index'!745:745,"AAAAAHn9fAY=",0)</f>
        <v>#VALUE!</v>
      </c>
      <c r="H32" s="22" t="e">
        <f aca="false">AND('Current Index'!A745,"AAAAAHn9fAc=")</f>
        <v>#VALUE!</v>
      </c>
      <c r="I32" s="22" t="e">
        <f aca="false">AND('current index'!#ref!,"AAAAAHn9fAg=")</f>
        <v>#VALUE!</v>
      </c>
      <c r="J32" s="22" t="e">
        <f aca="false">AND('Current Index'!B745,"AAAAAHn9fAk=")</f>
        <v>#VALUE!</v>
      </c>
      <c r="K32" s="22" t="e">
        <f aca="false">AND('Current Index'!C745,"AAAAAHn9fAo=")</f>
        <v>#VALUE!</v>
      </c>
      <c r="L32" s="22" t="e">
        <f aca="false">AND('Current Index'!D745,"AAAAAHn9fAs=")</f>
        <v>#VALUE!</v>
      </c>
      <c r="M32" s="22" t="e">
        <f aca="false">AND('Current Index'!E745,"AAAAAHn9fAw=")</f>
        <v>#VALUE!</v>
      </c>
      <c r="N32" s="22" t="e">
        <f aca="false">AND('Current Index'!F745,"AAAAAHn9fA0=")</f>
        <v>#VALUE!</v>
      </c>
      <c r="O32" s="22" t="e">
        <f aca="false">AND('Current Index'!G745,"AAAAAHn9fA4=")</f>
        <v>#VALUE!</v>
      </c>
      <c r="P32" s="22" t="e">
        <f aca="false">AND('Current Index'!H745,"AAAAAHn9fA8=")</f>
        <v>#VALUE!</v>
      </c>
      <c r="Q32" s="22" t="e">
        <f aca="false">AND('Current Index'!I745,"AAAAAHn9fBA=")</f>
        <v>#VALUE!</v>
      </c>
      <c r="R32" s="22" t="n">
        <f aca="false">IF('Current Index'!746:746,"AAAAAHn9fBE=",0)</f>
        <v>0</v>
      </c>
      <c r="S32" s="22" t="e">
        <f aca="false">AND('Current Index'!A746,"AAAAAHn9fBI=")</f>
        <v>#VALUE!</v>
      </c>
      <c r="T32" s="22" t="e">
        <f aca="false">AND('current index'!#ref!,"AAAAAHn9fBM=")</f>
        <v>#VALUE!</v>
      </c>
      <c r="U32" s="22" t="e">
        <f aca="false">AND('Current Index'!B746,"AAAAAHn9fBQ=")</f>
        <v>#VALUE!</v>
      </c>
      <c r="V32" s="22" t="e">
        <f aca="false">AND('Current Index'!C746,"AAAAAHn9fBU=")</f>
        <v>#VALUE!</v>
      </c>
      <c r="W32" s="22" t="e">
        <f aca="false">AND('Current Index'!D746,"AAAAAHn9fBY=")</f>
        <v>#VALUE!</v>
      </c>
      <c r="X32" s="22" t="e">
        <f aca="false">AND('Current Index'!E746,"AAAAAHn9fBc=")</f>
        <v>#VALUE!</v>
      </c>
      <c r="Y32" s="22" t="e">
        <f aca="false">AND('Current Index'!F746,"AAAAAHn9fBg=")</f>
        <v>#VALUE!</v>
      </c>
      <c r="Z32" s="22" t="e">
        <f aca="false">AND('Current Index'!G746,"AAAAAHn9fBk=")</f>
        <v>#VALUE!</v>
      </c>
      <c r="AA32" s="22" t="e">
        <f aca="false">AND('Current Index'!H746,"AAAAAHn9fBo=")</f>
        <v>#VALUE!</v>
      </c>
      <c r="AB32" s="22" t="e">
        <f aca="false">AND('Current Index'!I746,"AAAAAHn9fBs=")</f>
        <v>#VALUE!</v>
      </c>
      <c r="AC32" s="22" t="n">
        <f aca="false">IF('Current Index'!747:747,"AAAAAHn9fBw=",0)</f>
        <v>0</v>
      </c>
      <c r="AD32" s="22" t="e">
        <f aca="false">AND('Current Index'!A747,"AAAAAHn9fB0=")</f>
        <v>#VALUE!</v>
      </c>
      <c r="AE32" s="22" t="e">
        <f aca="false">AND('current index'!#ref!,"AAAAAHn9fB4=")</f>
        <v>#VALUE!</v>
      </c>
      <c r="AF32" s="22" t="e">
        <f aca="false">AND('Current Index'!B747,"AAAAAHn9fB8=")</f>
        <v>#VALUE!</v>
      </c>
      <c r="AG32" s="22" t="e">
        <f aca="false">AND('Current Index'!C747,"AAAAAHn9fCA=")</f>
        <v>#VALUE!</v>
      </c>
      <c r="AH32" s="22" t="e">
        <f aca="false">AND('Current Index'!D747,"AAAAAHn9fCE=")</f>
        <v>#VALUE!</v>
      </c>
      <c r="AI32" s="22" t="e">
        <f aca="false">AND('Current Index'!E747,"AAAAAHn9fCI=")</f>
        <v>#VALUE!</v>
      </c>
      <c r="AJ32" s="22" t="e">
        <f aca="false">AND('Current Index'!F747,"AAAAAHn9fCM=")</f>
        <v>#VALUE!</v>
      </c>
      <c r="AK32" s="22" t="e">
        <f aca="false">AND('Current Index'!G747,"AAAAAHn9fCQ=")</f>
        <v>#VALUE!</v>
      </c>
      <c r="AL32" s="22" t="e">
        <f aca="false">AND('Current Index'!H747,"AAAAAHn9fCU=")</f>
        <v>#VALUE!</v>
      </c>
      <c r="AM32" s="22" t="e">
        <f aca="false">AND('Current Index'!I747,"AAAAAHn9fCY=")</f>
        <v>#VALUE!</v>
      </c>
      <c r="AN32" s="22" t="n">
        <f aca="false">IF('Current Index'!748:748,"AAAAAHn9fCc=",0)</f>
        <v>0</v>
      </c>
      <c r="AO32" s="22" t="e">
        <f aca="false">AND('Current Index'!A748,"AAAAAHn9fCg=")</f>
        <v>#VALUE!</v>
      </c>
      <c r="AP32" s="22" t="e">
        <f aca="false">AND('current index'!#ref!,"AAAAAHn9fCk=")</f>
        <v>#VALUE!</v>
      </c>
      <c r="AQ32" s="22" t="e">
        <f aca="false">AND('Current Index'!B748,"AAAAAHn9fCo=")</f>
        <v>#VALUE!</v>
      </c>
      <c r="AR32" s="22" t="e">
        <f aca="false">AND('Current Index'!C748,"AAAAAHn9fCs=")</f>
        <v>#VALUE!</v>
      </c>
      <c r="AS32" s="22" t="e">
        <f aca="false">AND('Current Index'!D748,"AAAAAHn9fCw=")</f>
        <v>#VALUE!</v>
      </c>
      <c r="AT32" s="22" t="e">
        <f aca="false">AND('Current Index'!E748,"AAAAAHn9fC0=")</f>
        <v>#VALUE!</v>
      </c>
      <c r="AU32" s="22" t="e">
        <f aca="false">AND('Current Index'!F748,"AAAAAHn9fC4=")</f>
        <v>#VALUE!</v>
      </c>
      <c r="AV32" s="22" t="e">
        <f aca="false">AND('Current Index'!G748,"AAAAAHn9fC8=")</f>
        <v>#VALUE!</v>
      </c>
      <c r="AW32" s="22" t="e">
        <f aca="false">AND('Current Index'!H748,"AAAAAHn9fDA=")</f>
        <v>#VALUE!</v>
      </c>
      <c r="AX32" s="22" t="e">
        <f aca="false">AND('Current Index'!I748,"AAAAAHn9fDE=")</f>
        <v>#VALUE!</v>
      </c>
      <c r="AY32" s="22" t="n">
        <f aca="false">IF('Current Index'!749:749,"AAAAAHn9fDI=",0)</f>
        <v>0</v>
      </c>
      <c r="AZ32" s="22" t="e">
        <f aca="false">AND('Current Index'!A749,"AAAAAHn9fDM=")</f>
        <v>#VALUE!</v>
      </c>
      <c r="BA32" s="22" t="e">
        <f aca="false">AND('current index'!#ref!,"AAAAAHn9fDQ=")</f>
        <v>#VALUE!</v>
      </c>
      <c r="BB32" s="22" t="e">
        <f aca="false">AND('Current Index'!B749,"AAAAAHn9fDU=")</f>
        <v>#VALUE!</v>
      </c>
      <c r="BC32" s="22" t="e">
        <f aca="false">AND('Current Index'!C749,"AAAAAHn9fDY=")</f>
        <v>#VALUE!</v>
      </c>
      <c r="BD32" s="22" t="e">
        <f aca="false">AND('Current Index'!D749,"AAAAAHn9fDc=")</f>
        <v>#VALUE!</v>
      </c>
      <c r="BE32" s="22" t="e">
        <f aca="false">AND('Current Index'!E749,"AAAAAHn9fDg=")</f>
        <v>#VALUE!</v>
      </c>
      <c r="BF32" s="22" t="e">
        <f aca="false">AND('Current Index'!F749,"AAAAAHn9fDk=")</f>
        <v>#VALUE!</v>
      </c>
      <c r="BG32" s="22" t="e">
        <f aca="false">AND('Current Index'!G749,"AAAAAHn9fDo=")</f>
        <v>#VALUE!</v>
      </c>
      <c r="BH32" s="22" t="e">
        <f aca="false">AND('Current Index'!H749,"AAAAAHn9fDs=")</f>
        <v>#VALUE!</v>
      </c>
      <c r="BI32" s="22" t="e">
        <f aca="false">AND('Current Index'!I749,"AAAAAHn9fDw=")</f>
        <v>#VALUE!</v>
      </c>
      <c r="BJ32" s="22" t="n">
        <f aca="false">IF('Current Index'!750:750,"AAAAAHn9fD0=",0)</f>
        <v>0</v>
      </c>
      <c r="BK32" s="22" t="e">
        <f aca="false">AND('Current Index'!A750,"AAAAAHn9fD4=")</f>
        <v>#VALUE!</v>
      </c>
      <c r="BL32" s="22" t="e">
        <f aca="false">AND('current index'!#ref!,"AAAAAHn9fD8=")</f>
        <v>#VALUE!</v>
      </c>
      <c r="BM32" s="22" t="e">
        <f aca="false">AND('Current Index'!B750,"AAAAAHn9fEA=")</f>
        <v>#VALUE!</v>
      </c>
      <c r="BN32" s="22" t="e">
        <f aca="false">AND('Current Index'!C750,"AAAAAHn9fEE=")</f>
        <v>#VALUE!</v>
      </c>
      <c r="BO32" s="22" t="e">
        <f aca="false">AND('Current Index'!D750,"AAAAAHn9fEI=")</f>
        <v>#VALUE!</v>
      </c>
      <c r="BP32" s="22" t="e">
        <f aca="false">AND('Current Index'!E750,"AAAAAHn9fEM=")</f>
        <v>#VALUE!</v>
      </c>
      <c r="BQ32" s="22" t="e">
        <f aca="false">AND('Current Index'!F750,"AAAAAHn9fEQ=")</f>
        <v>#VALUE!</v>
      </c>
      <c r="BR32" s="22" t="e">
        <f aca="false">AND('Current Index'!G750,"AAAAAHn9fEU=")</f>
        <v>#VALUE!</v>
      </c>
      <c r="BS32" s="22" t="e">
        <f aca="false">AND('Current Index'!H750,"AAAAAHn9fEY=")</f>
        <v>#VALUE!</v>
      </c>
      <c r="BT32" s="22" t="e">
        <f aca="false">AND('Current Index'!I750,"AAAAAHn9fEc=")</f>
        <v>#VALUE!</v>
      </c>
      <c r="BU32" s="22" t="n">
        <f aca="false">IF('Current Index'!751:751,"AAAAAHn9fEg=",0)</f>
        <v>0</v>
      </c>
      <c r="BV32" s="22" t="e">
        <f aca="false">AND('Current Index'!A751,"AAAAAHn9fEk=")</f>
        <v>#VALUE!</v>
      </c>
      <c r="BW32" s="22" t="e">
        <f aca="false">AND('current index'!#ref!,"AAAAAHn9fEo=")</f>
        <v>#VALUE!</v>
      </c>
      <c r="BX32" s="22" t="e">
        <f aca="false">AND('Current Index'!B751,"AAAAAHn9fEs=")</f>
        <v>#VALUE!</v>
      </c>
      <c r="BY32" s="22" t="e">
        <f aca="false">AND('Current Index'!C751,"AAAAAHn9fEw=")</f>
        <v>#VALUE!</v>
      </c>
      <c r="BZ32" s="22" t="e">
        <f aca="false">AND('Current Index'!D751,"AAAAAHn9fE0=")</f>
        <v>#VALUE!</v>
      </c>
      <c r="CA32" s="22" t="e">
        <f aca="false">AND('Current Index'!E751,"AAAAAHn9fE4=")</f>
        <v>#VALUE!</v>
      </c>
      <c r="CB32" s="22" t="e">
        <f aca="false">AND('Current Index'!F751,"AAAAAHn9fE8=")</f>
        <v>#VALUE!</v>
      </c>
      <c r="CC32" s="22" t="e">
        <f aca="false">AND('Current Index'!G751,"AAAAAHn9fFA=")</f>
        <v>#VALUE!</v>
      </c>
      <c r="CD32" s="22" t="e">
        <f aca="false">AND('Current Index'!H751,"AAAAAHn9fFE=")</f>
        <v>#VALUE!</v>
      </c>
      <c r="CE32" s="22" t="e">
        <f aca="false">AND('Current Index'!I751,"AAAAAHn9fFI=")</f>
        <v>#VALUE!</v>
      </c>
      <c r="CF32" s="22" t="n">
        <f aca="false">IF('Current Index'!752:752,"AAAAAHn9fFM=",0)</f>
        <v>0</v>
      </c>
      <c r="CG32" s="22" t="e">
        <f aca="false">AND('Current Index'!A752,"AAAAAHn9fFQ=")</f>
        <v>#VALUE!</v>
      </c>
      <c r="CH32" s="22" t="e">
        <f aca="false">AND('current index'!#ref!,"AAAAAHn9fFU=")</f>
        <v>#VALUE!</v>
      </c>
      <c r="CI32" s="22" t="e">
        <f aca="false">AND('Current Index'!B752,"AAAAAHn9fFY=")</f>
        <v>#VALUE!</v>
      </c>
      <c r="CJ32" s="22" t="e">
        <f aca="false">AND('Current Index'!C752,"AAAAAHn9fFc=")</f>
        <v>#VALUE!</v>
      </c>
      <c r="CK32" s="22" t="e">
        <f aca="false">AND('Current Index'!D752,"AAAAAHn9fFg=")</f>
        <v>#VALUE!</v>
      </c>
      <c r="CL32" s="22" t="e">
        <f aca="false">AND('Current Index'!E752,"AAAAAHn9fFk=")</f>
        <v>#VALUE!</v>
      </c>
      <c r="CM32" s="22" t="e">
        <f aca="false">AND('Current Index'!F752,"AAAAAHn9fFo=")</f>
        <v>#VALUE!</v>
      </c>
      <c r="CN32" s="22" t="e">
        <f aca="false">AND('Current Index'!G752,"AAAAAHn9fFs=")</f>
        <v>#VALUE!</v>
      </c>
      <c r="CO32" s="22" t="e">
        <f aca="false">AND('Current Index'!H752,"AAAAAHn9fFw=")</f>
        <v>#VALUE!</v>
      </c>
      <c r="CP32" s="22" t="e">
        <f aca="false">AND('Current Index'!I752,"AAAAAHn9fF0=")</f>
        <v>#VALUE!</v>
      </c>
      <c r="CQ32" s="22" t="n">
        <f aca="false">IF('Current Index'!753:753,"AAAAAHn9fF4=",0)</f>
        <v>0</v>
      </c>
      <c r="CR32" s="22" t="e">
        <f aca="false">AND('Current Index'!A753,"AAAAAHn9fF8=")</f>
        <v>#VALUE!</v>
      </c>
      <c r="CS32" s="22" t="e">
        <f aca="false">AND('current index'!#ref!,"AAAAAHn9fGA=")</f>
        <v>#VALUE!</v>
      </c>
      <c r="CT32" s="22" t="e">
        <f aca="false">AND('Current Index'!B753,"AAAAAHn9fGE=")</f>
        <v>#VALUE!</v>
      </c>
      <c r="CU32" s="22" t="e">
        <f aca="false">AND('Current Index'!C753,"AAAAAHn9fGI=")</f>
        <v>#VALUE!</v>
      </c>
      <c r="CV32" s="22" t="e">
        <f aca="false">AND('Current Index'!D753,"AAAAAHn9fGM=")</f>
        <v>#VALUE!</v>
      </c>
      <c r="CW32" s="22" t="e">
        <f aca="false">AND('Current Index'!E753,"AAAAAHn9fGQ=")</f>
        <v>#VALUE!</v>
      </c>
      <c r="CX32" s="22" t="e">
        <f aca="false">AND('Current Index'!F753,"AAAAAHn9fGU=")</f>
        <v>#VALUE!</v>
      </c>
      <c r="CY32" s="22" t="e">
        <f aca="false">AND('Current Index'!G753,"AAAAAHn9fGY=")</f>
        <v>#VALUE!</v>
      </c>
      <c r="CZ32" s="22" t="e">
        <f aca="false">AND('Current Index'!H753,"AAAAAHn9fGc=")</f>
        <v>#VALUE!</v>
      </c>
      <c r="DA32" s="22" t="e">
        <f aca="false">AND('Current Index'!I753,"AAAAAHn9fGg=")</f>
        <v>#VALUE!</v>
      </c>
      <c r="DB32" s="22" t="n">
        <f aca="false">IF('Current Index'!754:754,"AAAAAHn9fGk=",0)</f>
        <v>0</v>
      </c>
      <c r="DC32" s="22" t="e">
        <f aca="false">AND('Current Index'!A754,"AAAAAHn9fGo=")</f>
        <v>#VALUE!</v>
      </c>
      <c r="DD32" s="22" t="e">
        <f aca="false">AND('current index'!#ref!,"AAAAAHn9fGs=")</f>
        <v>#VALUE!</v>
      </c>
      <c r="DE32" s="22" t="e">
        <f aca="false">AND('Current Index'!B754,"AAAAAHn9fGw=")</f>
        <v>#VALUE!</v>
      </c>
      <c r="DF32" s="22" t="e">
        <f aca="false">AND('Current Index'!C754,"AAAAAHn9fG0=")</f>
        <v>#VALUE!</v>
      </c>
      <c r="DG32" s="22" t="e">
        <f aca="false">AND('Current Index'!D754,"AAAAAHn9fG4=")</f>
        <v>#VALUE!</v>
      </c>
      <c r="DH32" s="22" t="e">
        <f aca="false">AND('Current Index'!E754,"AAAAAHn9fG8=")</f>
        <v>#VALUE!</v>
      </c>
      <c r="DI32" s="22" t="e">
        <f aca="false">AND('Current Index'!F754,"AAAAAHn9fHA=")</f>
        <v>#VALUE!</v>
      </c>
      <c r="DJ32" s="22" t="e">
        <f aca="false">AND('Current Index'!G754,"AAAAAHn9fHE=")</f>
        <v>#VALUE!</v>
      </c>
      <c r="DK32" s="22" t="e">
        <f aca="false">AND('Current Index'!H754,"AAAAAHn9fHI=")</f>
        <v>#VALUE!</v>
      </c>
      <c r="DL32" s="22" t="e">
        <f aca="false">AND('Current Index'!I754,"AAAAAHn9fHM=")</f>
        <v>#VALUE!</v>
      </c>
      <c r="DM32" s="22" t="n">
        <f aca="false">IF('Current Index'!755:755,"AAAAAHn9fHQ=",0)</f>
        <v>0</v>
      </c>
      <c r="DN32" s="22" t="e">
        <f aca="false">AND('Current Index'!A755,"AAAAAHn9fHU=")</f>
        <v>#VALUE!</v>
      </c>
      <c r="DO32" s="22" t="e">
        <f aca="false">AND('current index'!#ref!,"AAAAAHn9fHY=")</f>
        <v>#VALUE!</v>
      </c>
      <c r="DP32" s="22" t="e">
        <f aca="false">AND('Current Index'!B755,"AAAAAHn9fHc=")</f>
        <v>#VALUE!</v>
      </c>
      <c r="DQ32" s="22" t="e">
        <f aca="false">AND('Current Index'!C755,"AAAAAHn9fHg=")</f>
        <v>#VALUE!</v>
      </c>
      <c r="DR32" s="22" t="e">
        <f aca="false">AND('Current Index'!D755,"AAAAAHn9fHk=")</f>
        <v>#VALUE!</v>
      </c>
      <c r="DS32" s="22" t="e">
        <f aca="false">AND('Current Index'!E755,"AAAAAHn9fHo=")</f>
        <v>#VALUE!</v>
      </c>
      <c r="DT32" s="22" t="e">
        <f aca="false">AND('Current Index'!F755,"AAAAAHn9fHs=")</f>
        <v>#VALUE!</v>
      </c>
      <c r="DU32" s="22" t="e">
        <f aca="false">AND('Current Index'!G755,"AAAAAHn9fHw=")</f>
        <v>#VALUE!</v>
      </c>
      <c r="DV32" s="22" t="e">
        <f aca="false">AND('Current Index'!H755,"AAAAAHn9fH0=")</f>
        <v>#VALUE!</v>
      </c>
      <c r="DW32" s="22" t="e">
        <f aca="false">AND('Current Index'!I755,"AAAAAHn9fH4=")</f>
        <v>#VALUE!</v>
      </c>
      <c r="DX32" s="22" t="n">
        <f aca="false">IF('Current Index'!756:756,"AAAAAHn9fH8=",0)</f>
        <v>0</v>
      </c>
      <c r="DY32" s="22" t="e">
        <f aca="false">AND('Current Index'!A756,"AAAAAHn9fIA=")</f>
        <v>#VALUE!</v>
      </c>
      <c r="DZ32" s="22" t="e">
        <f aca="false">AND('current index'!#ref!,"AAAAAHn9fIE=")</f>
        <v>#VALUE!</v>
      </c>
      <c r="EA32" s="22" t="e">
        <f aca="false">AND('Current Index'!B756,"AAAAAHn9fII=")</f>
        <v>#VALUE!</v>
      </c>
      <c r="EB32" s="22" t="e">
        <f aca="false">AND('Current Index'!C756,"AAAAAHn9fIM=")</f>
        <v>#VALUE!</v>
      </c>
      <c r="EC32" s="22" t="e">
        <f aca="false">AND('Current Index'!D756,"AAAAAHn9fIQ=")</f>
        <v>#VALUE!</v>
      </c>
      <c r="ED32" s="22" t="e">
        <f aca="false">AND('Current Index'!E756,"AAAAAHn9fIU=")</f>
        <v>#VALUE!</v>
      </c>
      <c r="EE32" s="22" t="e">
        <f aca="false">AND('Current Index'!F756,"AAAAAHn9fIY=")</f>
        <v>#VALUE!</v>
      </c>
      <c r="EF32" s="22" t="e">
        <f aca="false">AND('Current Index'!G756,"AAAAAHn9fIc=")</f>
        <v>#VALUE!</v>
      </c>
      <c r="EG32" s="22" t="e">
        <f aca="false">AND('Current Index'!H756,"AAAAAHn9fIg=")</f>
        <v>#VALUE!</v>
      </c>
      <c r="EH32" s="22" t="e">
        <f aca="false">AND('Current Index'!I756,"AAAAAHn9fIk=")</f>
        <v>#VALUE!</v>
      </c>
      <c r="EI32" s="22" t="e">
        <f aca="false">IF('current index'!#ref!,"AAAAAHn9fIo=",0)</f>
        <v>#VALUE!</v>
      </c>
      <c r="EJ32" s="22" t="e">
        <f aca="false">AND('current index'!#ref!,"AAAAAHn9fIs=")</f>
        <v>#VALUE!</v>
      </c>
      <c r="EK32" s="22" t="e">
        <f aca="false">AND('current index'!#ref!,"AAAAAHn9fIw=")</f>
        <v>#VALUE!</v>
      </c>
      <c r="EL32" s="22" t="e">
        <f aca="false">AND('current index'!#ref!,"AAAAAHn9fI0=")</f>
        <v>#VALUE!</v>
      </c>
      <c r="EM32" s="22" t="e">
        <f aca="false">AND('current index'!#ref!,"AAAAAHn9fI4=")</f>
        <v>#VALUE!</v>
      </c>
      <c r="EN32" s="22" t="e">
        <f aca="false">AND('current index'!#ref!,"AAAAAHn9fI8=")</f>
        <v>#VALUE!</v>
      </c>
      <c r="EO32" s="22" t="e">
        <f aca="false">AND('current index'!#ref!,"AAAAAHn9fJA=")</f>
        <v>#VALUE!</v>
      </c>
      <c r="EP32" s="22" t="e">
        <f aca="false">AND('current index'!#ref!,"AAAAAHn9fJE=")</f>
        <v>#VALUE!</v>
      </c>
      <c r="EQ32" s="22" t="e">
        <f aca="false">AND('current index'!#ref!,"AAAAAHn9fJI=")</f>
        <v>#VALUE!</v>
      </c>
      <c r="ER32" s="22" t="e">
        <f aca="false">AND('current index'!#ref!,"AAAAAHn9fJM=")</f>
        <v>#VALUE!</v>
      </c>
      <c r="ES32" s="22" t="e">
        <f aca="false">AND('current index'!#ref!,"AAAAAHn9fJQ=")</f>
        <v>#VALUE!</v>
      </c>
      <c r="ET32" s="22" t="n">
        <f aca="false">IF('Current Index'!757:757,"AAAAAHn9fJU=",0)</f>
        <v>0</v>
      </c>
      <c r="EU32" s="22" t="e">
        <f aca="false">AND('Current Index'!A757,"AAAAAHn9fJY=")</f>
        <v>#VALUE!</v>
      </c>
      <c r="EV32" s="22" t="e">
        <f aca="false">AND('current index'!#ref!,"AAAAAHn9fJc=")</f>
        <v>#VALUE!</v>
      </c>
      <c r="EW32" s="22" t="e">
        <f aca="false">AND('Current Index'!B757,"AAAAAHn9fJg=")</f>
        <v>#VALUE!</v>
      </c>
      <c r="EX32" s="22" t="e">
        <f aca="false">AND('Current Index'!C757,"AAAAAHn9fJk=")</f>
        <v>#VALUE!</v>
      </c>
      <c r="EY32" s="22" t="e">
        <f aca="false">AND('Current Index'!D757,"AAAAAHn9fJo=")</f>
        <v>#VALUE!</v>
      </c>
      <c r="EZ32" s="22" t="e">
        <f aca="false">AND('Current Index'!E757,"AAAAAHn9fJs=")</f>
        <v>#VALUE!</v>
      </c>
      <c r="FA32" s="22" t="e">
        <f aca="false">AND('Current Index'!F757,"AAAAAHn9fJw=")</f>
        <v>#VALUE!</v>
      </c>
      <c r="FB32" s="22" t="e">
        <f aca="false">AND('Current Index'!G757,"AAAAAHn9fJ0=")</f>
        <v>#VALUE!</v>
      </c>
      <c r="FC32" s="22" t="e">
        <f aca="false">AND('Current Index'!H757,"AAAAAHn9fJ4=")</f>
        <v>#VALUE!</v>
      </c>
      <c r="FD32" s="22" t="e">
        <f aca="false">AND('Current Index'!I757,"AAAAAHn9fJ8=")</f>
        <v>#VALUE!</v>
      </c>
      <c r="FE32" s="22" t="n">
        <f aca="false">IF('Current Index'!758:758,"AAAAAHn9fKA=",0)</f>
        <v>0</v>
      </c>
      <c r="FF32" s="22" t="e">
        <f aca="false">AND('Current Index'!A758,"AAAAAHn9fKE=")</f>
        <v>#VALUE!</v>
      </c>
      <c r="FG32" s="22" t="e">
        <f aca="false">AND('current index'!#ref!,"AAAAAHn9fKI=")</f>
        <v>#VALUE!</v>
      </c>
      <c r="FH32" s="22" t="e">
        <f aca="false">AND('Current Index'!B758,"AAAAAHn9fKM=")</f>
        <v>#VALUE!</v>
      </c>
      <c r="FI32" s="22" t="e">
        <f aca="false">AND('Current Index'!C758,"AAAAAHn9fKQ=")</f>
        <v>#VALUE!</v>
      </c>
      <c r="FJ32" s="22" t="e">
        <f aca="false">AND('Current Index'!D758,"AAAAAHn9fKU=")</f>
        <v>#VALUE!</v>
      </c>
      <c r="FK32" s="22" t="e">
        <f aca="false">AND('Current Index'!E758,"AAAAAHn9fKY=")</f>
        <v>#VALUE!</v>
      </c>
      <c r="FL32" s="22" t="e">
        <f aca="false">AND('Current Index'!F758,"AAAAAHn9fKc=")</f>
        <v>#VALUE!</v>
      </c>
      <c r="FM32" s="22" t="e">
        <f aca="false">AND('Current Index'!G758,"AAAAAHn9fKg=")</f>
        <v>#VALUE!</v>
      </c>
      <c r="FN32" s="22" t="e">
        <f aca="false">AND('Current Index'!H758,"AAAAAHn9fKk=")</f>
        <v>#VALUE!</v>
      </c>
      <c r="FO32" s="22" t="e">
        <f aca="false">AND('Current Index'!I758,"AAAAAHn9fKo=")</f>
        <v>#VALUE!</v>
      </c>
      <c r="FP32" s="22" t="n">
        <f aca="false">IF('Current Index'!759:759,"AAAAAHn9fKs=",0)</f>
        <v>0</v>
      </c>
      <c r="FQ32" s="22" t="e">
        <f aca="false">AND('Current Index'!A759,"AAAAAHn9fKw=")</f>
        <v>#VALUE!</v>
      </c>
      <c r="FR32" s="22" t="e">
        <f aca="false">AND('current index'!#ref!,"AAAAAHn9fK0=")</f>
        <v>#VALUE!</v>
      </c>
      <c r="FS32" s="22" t="e">
        <f aca="false">AND('Current Index'!B759,"AAAAAHn9fK4=")</f>
        <v>#VALUE!</v>
      </c>
      <c r="FT32" s="22" t="e">
        <f aca="false">AND('Current Index'!C759,"AAAAAHn9fK8=")</f>
        <v>#VALUE!</v>
      </c>
      <c r="FU32" s="22" t="e">
        <f aca="false">AND('Current Index'!D759,"AAAAAHn9fLA=")</f>
        <v>#VALUE!</v>
      </c>
      <c r="FV32" s="22" t="e">
        <f aca="false">AND('Current Index'!E759,"AAAAAHn9fLE=")</f>
        <v>#VALUE!</v>
      </c>
      <c r="FW32" s="22" t="e">
        <f aca="false">AND('Current Index'!F759,"AAAAAHn9fLI=")</f>
        <v>#VALUE!</v>
      </c>
      <c r="FX32" s="22" t="e">
        <f aca="false">AND('Current Index'!G759,"AAAAAHn9fLM=")</f>
        <v>#VALUE!</v>
      </c>
      <c r="FY32" s="22" t="e">
        <f aca="false">AND('Current Index'!H759,"AAAAAHn9fLQ=")</f>
        <v>#VALUE!</v>
      </c>
      <c r="FZ32" s="22" t="e">
        <f aca="false">AND('Current Index'!I759,"AAAAAHn9fLU=")</f>
        <v>#VALUE!</v>
      </c>
      <c r="GA32" s="22" t="n">
        <f aca="false">IF('Current Index'!760:760,"AAAAAHn9fLY=",0)</f>
        <v>0</v>
      </c>
      <c r="GB32" s="22" t="e">
        <f aca="false">AND('Current Index'!A760,"AAAAAHn9fLc=")</f>
        <v>#VALUE!</v>
      </c>
      <c r="GC32" s="22" t="e">
        <f aca="false">AND('current index'!#ref!,"AAAAAHn9fLg=")</f>
        <v>#VALUE!</v>
      </c>
      <c r="GD32" s="22" t="e">
        <f aca="false">AND('Current Index'!B760,"AAAAAHn9fLk=")</f>
        <v>#VALUE!</v>
      </c>
      <c r="GE32" s="22" t="e">
        <f aca="false">AND('Current Index'!C760,"AAAAAHn9fLo=")</f>
        <v>#VALUE!</v>
      </c>
      <c r="GF32" s="22" t="e">
        <f aca="false">AND('Current Index'!D760,"AAAAAHn9fLs=")</f>
        <v>#VALUE!</v>
      </c>
      <c r="GG32" s="22" t="e">
        <f aca="false">AND('Current Index'!E760,"AAAAAHn9fLw=")</f>
        <v>#VALUE!</v>
      </c>
      <c r="GH32" s="22" t="e">
        <f aca="false">AND('Current Index'!F760,"AAAAAHn9fL0=")</f>
        <v>#VALUE!</v>
      </c>
      <c r="GI32" s="22" t="e">
        <f aca="false">AND('Current Index'!G760,"AAAAAHn9fL4=")</f>
        <v>#VALUE!</v>
      </c>
      <c r="GJ32" s="22" t="e">
        <f aca="false">AND('Current Index'!H760,"AAAAAHn9fL8=")</f>
        <v>#VALUE!</v>
      </c>
      <c r="GK32" s="22" t="e">
        <f aca="false">AND('Current Index'!I760,"AAAAAHn9fMA=")</f>
        <v>#VALUE!</v>
      </c>
      <c r="GL32" s="22" t="n">
        <f aca="false">IF('Current Index'!761:761,"AAAAAHn9fME=",0)</f>
        <v>0</v>
      </c>
      <c r="GM32" s="22" t="e">
        <f aca="false">AND('Current Index'!A761,"AAAAAHn9fMI=")</f>
        <v>#VALUE!</v>
      </c>
      <c r="GN32" s="22" t="e">
        <f aca="false">AND('current index'!#ref!,"AAAAAHn9fMM=")</f>
        <v>#VALUE!</v>
      </c>
      <c r="GO32" s="22" t="e">
        <f aca="false">AND('Current Index'!B761,"AAAAAHn9fMQ=")</f>
        <v>#VALUE!</v>
      </c>
      <c r="GP32" s="22" t="e">
        <f aca="false">AND('Current Index'!C761,"AAAAAHn9fMU=")</f>
        <v>#VALUE!</v>
      </c>
      <c r="GQ32" s="22" t="e">
        <f aca="false">AND('Current Index'!D761,"AAAAAHn9fMY=")</f>
        <v>#VALUE!</v>
      </c>
      <c r="GR32" s="22" t="e">
        <f aca="false">AND('Current Index'!E761,"AAAAAHn9fMc=")</f>
        <v>#VALUE!</v>
      </c>
      <c r="GS32" s="22" t="e">
        <f aca="false">AND('Current Index'!F761,"AAAAAHn9fMg=")</f>
        <v>#VALUE!</v>
      </c>
      <c r="GT32" s="22" t="e">
        <f aca="false">AND('Current Index'!G761,"AAAAAHn9fMk=")</f>
        <v>#VALUE!</v>
      </c>
      <c r="GU32" s="22" t="e">
        <f aca="false">AND('Current Index'!H761,"AAAAAHn9fMo=")</f>
        <v>#VALUE!</v>
      </c>
      <c r="GV32" s="22" t="e">
        <f aca="false">AND('Current Index'!I761,"AAAAAHn9fMs=")</f>
        <v>#VALUE!</v>
      </c>
      <c r="GW32" s="22" t="e">
        <f aca="false">IF(#REF!,"AAAAAHn9fMw=",0)</f>
        <v>#REF!</v>
      </c>
      <c r="GX32" s="22" t="e">
        <f aca="false">AND(#REF!,"AAAAAHn9fM0=")</f>
        <v>#VALUE!</v>
      </c>
      <c r="GY32" s="22" t="e">
        <f aca="false">AND('current index'!#ref!,"AAAAAHn9fM4=")</f>
        <v>#VALUE!</v>
      </c>
      <c r="GZ32" s="22" t="e">
        <f aca="false">AND(#REF!,"AAAAAHn9fM8=")</f>
        <v>#VALUE!</v>
      </c>
      <c r="HA32" s="22" t="e">
        <f aca="false">AND(#REF!,"AAAAAHn9fNA=")</f>
        <v>#VALUE!</v>
      </c>
      <c r="HB32" s="22" t="e">
        <f aca="false">AND(#REF!,"AAAAAHn9fNE=")</f>
        <v>#VALUE!</v>
      </c>
      <c r="HC32" s="22" t="e">
        <f aca="false">AND(#REF!,"AAAAAHn9fNI=")</f>
        <v>#VALUE!</v>
      </c>
      <c r="HD32" s="22" t="e">
        <f aca="false">AND(#REF!,"AAAAAHn9fNM=")</f>
        <v>#VALUE!</v>
      </c>
      <c r="HE32" s="22" t="e">
        <f aca="false">AND(#REF!,"AAAAAHn9fNQ=")</f>
        <v>#VALUE!</v>
      </c>
      <c r="HF32" s="22" t="e">
        <f aca="false">AND(#REF!,"AAAAAHn9fNU=")</f>
        <v>#VALUE!</v>
      </c>
      <c r="HG32" s="22" t="e">
        <f aca="false">AND(#REF!,"AAAAAHn9fNY=")</f>
        <v>#VALUE!</v>
      </c>
      <c r="HH32" s="22" t="e">
        <f aca="false">IF(#REF!,"AAAAAHn9fNc=",0)</f>
        <v>#REF!</v>
      </c>
      <c r="HI32" s="22" t="e">
        <f aca="false">AND(#REF!,"AAAAAHn9fNg=")</f>
        <v>#VALUE!</v>
      </c>
      <c r="HJ32" s="22" t="e">
        <f aca="false">AND('current index'!#ref!,"AAAAAHn9fNk=")</f>
        <v>#VALUE!</v>
      </c>
      <c r="HK32" s="22" t="e">
        <f aca="false">AND(#REF!,"AAAAAHn9fNo=")</f>
        <v>#VALUE!</v>
      </c>
      <c r="HL32" s="22" t="e">
        <f aca="false">AND(#REF!,"AAAAAHn9fNs=")</f>
        <v>#VALUE!</v>
      </c>
      <c r="HM32" s="22" t="e">
        <f aca="false">AND(#REF!,"AAAAAHn9fNw=")</f>
        <v>#VALUE!</v>
      </c>
      <c r="HN32" s="22" t="e">
        <f aca="false">AND(#REF!,"AAAAAHn9fN0=")</f>
        <v>#VALUE!</v>
      </c>
      <c r="HO32" s="22" t="e">
        <f aca="false">AND(#REF!,"AAAAAHn9fN4=")</f>
        <v>#VALUE!</v>
      </c>
      <c r="HP32" s="22" t="e">
        <f aca="false">AND(#REF!,"AAAAAHn9fN8=")</f>
        <v>#VALUE!</v>
      </c>
      <c r="HQ32" s="22" t="e">
        <f aca="false">AND(#REF!,"AAAAAHn9fOA=")</f>
        <v>#VALUE!</v>
      </c>
      <c r="HR32" s="22" t="e">
        <f aca="false">AND(#REF!,"AAAAAHn9fOE=")</f>
        <v>#VALUE!</v>
      </c>
      <c r="HS32" s="22" t="n">
        <f aca="false">IF('Current Index'!762:762,"AAAAAHn9fOI=",0)</f>
        <v>0</v>
      </c>
      <c r="HT32" s="22" t="e">
        <f aca="false">AND('Current Index'!A762,"AAAAAHn9fOM=")</f>
        <v>#VALUE!</v>
      </c>
      <c r="HU32" s="22" t="e">
        <f aca="false">AND('current index'!#ref!,"AAAAAHn9fOQ=")</f>
        <v>#VALUE!</v>
      </c>
      <c r="HV32" s="22" t="e">
        <f aca="false">AND('Current Index'!B762,"AAAAAHn9fOU=")</f>
        <v>#VALUE!</v>
      </c>
      <c r="HW32" s="22" t="e">
        <f aca="false">AND('Current Index'!C762,"AAAAAHn9fOY=")</f>
        <v>#VALUE!</v>
      </c>
      <c r="HX32" s="22" t="e">
        <f aca="false">AND('Current Index'!D762,"AAAAAHn9fOc=")</f>
        <v>#VALUE!</v>
      </c>
      <c r="HY32" s="22" t="e">
        <f aca="false">AND('Current Index'!E762,"AAAAAHn9fOg=")</f>
        <v>#VALUE!</v>
      </c>
      <c r="HZ32" s="22" t="e">
        <f aca="false">AND('Current Index'!F762,"AAAAAHn9fOk=")</f>
        <v>#VALUE!</v>
      </c>
      <c r="IA32" s="22" t="e">
        <f aca="false">AND('Current Index'!G762,"AAAAAHn9fOo=")</f>
        <v>#VALUE!</v>
      </c>
      <c r="IB32" s="22" t="e">
        <f aca="false">AND('Current Index'!H762,"AAAAAHn9fOs=")</f>
        <v>#VALUE!</v>
      </c>
      <c r="IC32" s="22" t="e">
        <f aca="false">AND('Current Index'!I762,"AAAAAHn9fOw=")</f>
        <v>#VALUE!</v>
      </c>
      <c r="ID32" s="22" t="e">
        <f aca="false">IF('current index'!#ref!,"AAAAAHn9fO0=",0)</f>
        <v>#VALUE!</v>
      </c>
      <c r="IE32" s="22" t="e">
        <f aca="false">AND('current index'!#ref!,"AAAAAHn9fO4=")</f>
        <v>#VALUE!</v>
      </c>
      <c r="IF32" s="22" t="e">
        <f aca="false">AND('current index'!#ref!,"AAAAAHn9fO8=")</f>
        <v>#VALUE!</v>
      </c>
      <c r="IG32" s="22" t="e">
        <f aca="false">AND('current index'!#ref!,"AAAAAHn9fPA=")</f>
        <v>#VALUE!</v>
      </c>
      <c r="IH32" s="22" t="e">
        <f aca="false">AND('current index'!#ref!,"AAAAAHn9fPE=")</f>
        <v>#VALUE!</v>
      </c>
      <c r="II32" s="22" t="e">
        <f aca="false">AND('current index'!#ref!,"AAAAAHn9fPI=")</f>
        <v>#VALUE!</v>
      </c>
      <c r="IJ32" s="22" t="e">
        <f aca="false">AND('current index'!#ref!,"AAAAAHn9fPM=")</f>
        <v>#VALUE!</v>
      </c>
      <c r="IK32" s="22" t="e">
        <f aca="false">AND('current index'!#ref!,"AAAAAHn9fPQ=")</f>
        <v>#VALUE!</v>
      </c>
      <c r="IL32" s="22" t="e">
        <f aca="false">AND('current index'!#ref!,"AAAAAHn9fPU=")</f>
        <v>#VALUE!</v>
      </c>
      <c r="IM32" s="22" t="e">
        <f aca="false">AND('current index'!#ref!,"AAAAAHn9fPY=")</f>
        <v>#VALUE!</v>
      </c>
      <c r="IN32" s="22" t="e">
        <f aca="false">AND('current index'!#ref!,"AAAAAHn9fPc=")</f>
        <v>#VALUE!</v>
      </c>
      <c r="IO32" s="22" t="n">
        <f aca="false">IF('Current Index'!769:769,"AAAAAHn9fPg=",0)</f>
        <v>0</v>
      </c>
      <c r="IP32" s="22" t="e">
        <f aca="false">AND('Current Index'!A769,"AAAAAHn9fPk=")</f>
        <v>#VALUE!</v>
      </c>
      <c r="IQ32" s="22" t="e">
        <f aca="false">AND('current index'!#ref!,"AAAAAHn9fPo=")</f>
        <v>#VALUE!</v>
      </c>
      <c r="IR32" s="22" t="e">
        <f aca="false">AND('Current Index'!B769,"AAAAAHn9fPs=")</f>
        <v>#VALUE!</v>
      </c>
      <c r="IS32" s="22" t="e">
        <f aca="false">AND('Current Index'!C769,"AAAAAHn9fPw=")</f>
        <v>#VALUE!</v>
      </c>
      <c r="IT32" s="22" t="e">
        <f aca="false">AND('Current Index'!D769,"AAAAAHn9fP0=")</f>
        <v>#VALUE!</v>
      </c>
      <c r="IU32" s="22" t="e">
        <f aca="false">AND('Current Index'!E769,"AAAAAHn9fP4=")</f>
        <v>#VALUE!</v>
      </c>
      <c r="IV32" s="22" t="e">
        <f aca="false">AND('Current Index'!F769,"AAAAAHn9fP8=")</f>
        <v>#VALUE!</v>
      </c>
    </row>
    <row r="33" customFormat="false" ht="12.75" hidden="false" customHeight="false" outlineLevel="0" collapsed="false">
      <c r="A33" s="22" t="e">
        <f aca="false">AND('Current Index'!G769,"AAAAAH7Z7wA=")</f>
        <v>#VALUE!</v>
      </c>
      <c r="B33" s="22" t="e">
        <f aca="false">AND('Current Index'!H769,"AAAAAH7Z7wE=")</f>
        <v>#VALUE!</v>
      </c>
      <c r="C33" s="22" t="e">
        <f aca="false">AND('Current Index'!I769,"AAAAAH7Z7wI=")</f>
        <v>#VALUE!</v>
      </c>
      <c r="D33" s="22" t="e">
        <f aca="false">IF('Current Index'!770:770,"AAAAAH7Z7wM=",0)</f>
        <v>#VALUE!</v>
      </c>
      <c r="E33" s="22" t="e">
        <f aca="false">AND('Current Index'!A770,"AAAAAH7Z7wQ=")</f>
        <v>#VALUE!</v>
      </c>
      <c r="F33" s="22" t="e">
        <f aca="false">AND('current index'!#ref!,"AAAAAH7Z7wU=")</f>
        <v>#VALUE!</v>
      </c>
      <c r="G33" s="22" t="e">
        <f aca="false">AND('Current Index'!B770,"AAAAAH7Z7wY=")</f>
        <v>#VALUE!</v>
      </c>
      <c r="H33" s="22" t="e">
        <f aca="false">AND('Current Index'!C770,"AAAAAH7Z7wc=")</f>
        <v>#VALUE!</v>
      </c>
      <c r="I33" s="22" t="e">
        <f aca="false">AND('Current Index'!D770,"AAAAAH7Z7wg=")</f>
        <v>#VALUE!</v>
      </c>
      <c r="J33" s="22" t="e">
        <f aca="false">AND('Current Index'!E770,"AAAAAH7Z7wk=")</f>
        <v>#VALUE!</v>
      </c>
      <c r="K33" s="22" t="e">
        <f aca="false">AND('Current Index'!F770,"AAAAAH7Z7wo=")</f>
        <v>#VALUE!</v>
      </c>
      <c r="L33" s="22" t="e">
        <f aca="false">AND('Current Index'!G770,"AAAAAH7Z7ws=")</f>
        <v>#VALUE!</v>
      </c>
      <c r="M33" s="22" t="e">
        <f aca="false">AND('Current Index'!H770,"AAAAAH7Z7ww=")</f>
        <v>#VALUE!</v>
      </c>
      <c r="N33" s="22" t="e">
        <f aca="false">AND('Current Index'!I770,"AAAAAH7Z7w0=")</f>
        <v>#VALUE!</v>
      </c>
      <c r="O33" s="22" t="n">
        <f aca="false">IF('Current Index'!771:771,"AAAAAH7Z7w4=",0)</f>
        <v>0</v>
      </c>
      <c r="P33" s="22" t="e">
        <f aca="false">AND('Current Index'!A771,"AAAAAH7Z7w8=")</f>
        <v>#VALUE!</v>
      </c>
      <c r="Q33" s="22" t="e">
        <f aca="false">AND('current index'!#ref!,"AAAAAH7Z7xA=")</f>
        <v>#VALUE!</v>
      </c>
      <c r="R33" s="22" t="e">
        <f aca="false">AND('Current Index'!B771,"AAAAAH7Z7xE=")</f>
        <v>#VALUE!</v>
      </c>
      <c r="S33" s="22" t="e">
        <f aca="false">AND('Current Index'!C771,"AAAAAH7Z7xI=")</f>
        <v>#VALUE!</v>
      </c>
      <c r="T33" s="22" t="e">
        <f aca="false">AND('Current Index'!D771,"AAAAAH7Z7xM=")</f>
        <v>#VALUE!</v>
      </c>
      <c r="U33" s="22" t="e">
        <f aca="false">AND('Current Index'!E771,"AAAAAH7Z7xQ=")</f>
        <v>#VALUE!</v>
      </c>
      <c r="V33" s="22" t="e">
        <f aca="false">AND('Current Index'!F771,"AAAAAH7Z7xU=")</f>
        <v>#VALUE!</v>
      </c>
      <c r="W33" s="22" t="e">
        <f aca="false">AND('Current Index'!G771,"AAAAAH7Z7xY=")</f>
        <v>#VALUE!</v>
      </c>
      <c r="X33" s="22" t="e">
        <f aca="false">AND('Current Index'!H771,"AAAAAH7Z7xc=")</f>
        <v>#VALUE!</v>
      </c>
      <c r="Y33" s="22" t="e">
        <f aca="false">AND('Current Index'!I771,"AAAAAH7Z7xg=")</f>
        <v>#VALUE!</v>
      </c>
      <c r="Z33" s="22" t="n">
        <f aca="false">IF('Current Index'!772:772,"AAAAAH7Z7xk=",0)</f>
        <v>0</v>
      </c>
      <c r="AA33" s="22" t="e">
        <f aca="false">AND('Current Index'!A772,"AAAAAH7Z7xo=")</f>
        <v>#VALUE!</v>
      </c>
      <c r="AB33" s="22" t="e">
        <f aca="false">AND('current index'!#ref!,"AAAAAH7Z7xs=")</f>
        <v>#VALUE!</v>
      </c>
      <c r="AC33" s="22" t="e">
        <f aca="false">AND('Current Index'!B772,"AAAAAH7Z7xw=")</f>
        <v>#VALUE!</v>
      </c>
      <c r="AD33" s="22" t="e">
        <f aca="false">AND('Current Index'!C772,"AAAAAH7Z7x0=")</f>
        <v>#VALUE!</v>
      </c>
      <c r="AE33" s="22" t="e">
        <f aca="false">AND('Current Index'!D772,"AAAAAH7Z7x4=")</f>
        <v>#VALUE!</v>
      </c>
      <c r="AF33" s="22" t="e">
        <f aca="false">AND('Current Index'!E772,"AAAAAH7Z7x8=")</f>
        <v>#VALUE!</v>
      </c>
      <c r="AG33" s="22" t="e">
        <f aca="false">AND('Current Index'!F772,"AAAAAH7Z7yA=")</f>
        <v>#VALUE!</v>
      </c>
      <c r="AH33" s="22" t="e">
        <f aca="false">AND('Current Index'!G772,"AAAAAH7Z7yE=")</f>
        <v>#VALUE!</v>
      </c>
      <c r="AI33" s="22" t="e">
        <f aca="false">AND('Current Index'!H772,"AAAAAH7Z7yI=")</f>
        <v>#VALUE!</v>
      </c>
      <c r="AJ33" s="22" t="e">
        <f aca="false">AND('Current Index'!I772,"AAAAAH7Z7yM=")</f>
        <v>#VALUE!</v>
      </c>
      <c r="AK33" s="22" t="n">
        <f aca="false">IF('Current Index'!773:773,"AAAAAH7Z7yQ=",0)</f>
        <v>0</v>
      </c>
      <c r="AL33" s="22" t="e">
        <f aca="false">AND('Current Index'!A773,"AAAAAH7Z7yU=")</f>
        <v>#VALUE!</v>
      </c>
      <c r="AM33" s="22" t="e">
        <f aca="false">AND('current index'!#ref!,"AAAAAH7Z7yY=")</f>
        <v>#VALUE!</v>
      </c>
      <c r="AN33" s="22" t="e">
        <f aca="false">AND('Current Index'!B773,"AAAAAH7Z7yc=")</f>
        <v>#VALUE!</v>
      </c>
      <c r="AO33" s="22" t="e">
        <f aca="false">AND('Current Index'!C773,"AAAAAH7Z7yg=")</f>
        <v>#VALUE!</v>
      </c>
      <c r="AP33" s="22" t="e">
        <f aca="false">AND('Current Index'!D773,"AAAAAH7Z7yk=")</f>
        <v>#VALUE!</v>
      </c>
      <c r="AQ33" s="22" t="e">
        <f aca="false">AND('Current Index'!E773,"AAAAAH7Z7yo=")</f>
        <v>#VALUE!</v>
      </c>
      <c r="AR33" s="22" t="e">
        <f aca="false">AND('Current Index'!F773,"AAAAAH7Z7ys=")</f>
        <v>#VALUE!</v>
      </c>
      <c r="AS33" s="22" t="e">
        <f aca="false">AND('Current Index'!G773,"AAAAAH7Z7yw=")</f>
        <v>#VALUE!</v>
      </c>
      <c r="AT33" s="22" t="e">
        <f aca="false">AND('Current Index'!H773,"AAAAAH7Z7y0=")</f>
        <v>#VALUE!</v>
      </c>
      <c r="AU33" s="22" t="e">
        <f aca="false">AND('Current Index'!I773,"AAAAAH7Z7y4=")</f>
        <v>#VALUE!</v>
      </c>
      <c r="AV33" s="22" t="n">
        <f aca="false">IF('Current Index'!774:774,"AAAAAH7Z7y8=",0)</f>
        <v>0</v>
      </c>
      <c r="AW33" s="22" t="e">
        <f aca="false">AND('Current Index'!A774,"AAAAAH7Z7zA=")</f>
        <v>#VALUE!</v>
      </c>
      <c r="AX33" s="22" t="e">
        <f aca="false">AND('current index'!#ref!,"AAAAAH7Z7zE=")</f>
        <v>#VALUE!</v>
      </c>
      <c r="AY33" s="22" t="e">
        <f aca="false">AND('Current Index'!B774,"AAAAAH7Z7zI=")</f>
        <v>#VALUE!</v>
      </c>
      <c r="AZ33" s="22" t="e">
        <f aca="false">AND('Current Index'!C774,"AAAAAH7Z7zM=")</f>
        <v>#VALUE!</v>
      </c>
      <c r="BA33" s="22" t="e">
        <f aca="false">AND('Current Index'!D774,"AAAAAH7Z7zQ=")</f>
        <v>#VALUE!</v>
      </c>
      <c r="BB33" s="22" t="e">
        <f aca="false">AND('Current Index'!E774,"AAAAAH7Z7zU=")</f>
        <v>#VALUE!</v>
      </c>
      <c r="BC33" s="22" t="e">
        <f aca="false">AND('Current Index'!F774,"AAAAAH7Z7zY=")</f>
        <v>#VALUE!</v>
      </c>
      <c r="BD33" s="22" t="e">
        <f aca="false">AND('Current Index'!G774,"AAAAAH7Z7zc=")</f>
        <v>#VALUE!</v>
      </c>
      <c r="BE33" s="22" t="e">
        <f aca="false">AND('Current Index'!H774,"AAAAAH7Z7zg=")</f>
        <v>#VALUE!</v>
      </c>
      <c r="BF33" s="22" t="e">
        <f aca="false">AND('Current Index'!I774,"AAAAAH7Z7zk=")</f>
        <v>#VALUE!</v>
      </c>
      <c r="BG33" s="22" t="n">
        <f aca="false">IF('Current Index'!775:775,"AAAAAH7Z7zo=",0)</f>
        <v>0</v>
      </c>
      <c r="BH33" s="22" t="e">
        <f aca="false">AND('Current Index'!A775,"AAAAAH7Z7zs=")</f>
        <v>#VALUE!</v>
      </c>
      <c r="BI33" s="22" t="e">
        <f aca="false">AND('current index'!#ref!,"AAAAAH7Z7zw=")</f>
        <v>#VALUE!</v>
      </c>
      <c r="BJ33" s="22" t="e">
        <f aca="false">AND('Current Index'!B775,"AAAAAH7Z7z0=")</f>
        <v>#VALUE!</v>
      </c>
      <c r="BK33" s="22" t="e">
        <f aca="false">AND('Current Index'!C775,"AAAAAH7Z7z4=")</f>
        <v>#VALUE!</v>
      </c>
      <c r="BL33" s="22" t="e">
        <f aca="false">AND('Current Index'!D775,"AAAAAH7Z7z8=")</f>
        <v>#VALUE!</v>
      </c>
      <c r="BM33" s="22" t="e">
        <f aca="false">AND('Current Index'!E775,"AAAAAH7Z70A=")</f>
        <v>#VALUE!</v>
      </c>
      <c r="BN33" s="22" t="e">
        <f aca="false">AND('Current Index'!F775,"AAAAAH7Z70E=")</f>
        <v>#VALUE!</v>
      </c>
      <c r="BO33" s="22" t="e">
        <f aca="false">AND('Current Index'!G775,"AAAAAH7Z70I=")</f>
        <v>#VALUE!</v>
      </c>
      <c r="BP33" s="22" t="e">
        <f aca="false">AND('Current Index'!H775,"AAAAAH7Z70M=")</f>
        <v>#VALUE!</v>
      </c>
      <c r="BQ33" s="22" t="e">
        <f aca="false">AND('Current Index'!I775,"AAAAAH7Z70Q=")</f>
        <v>#VALUE!</v>
      </c>
      <c r="BR33" s="22" t="n">
        <f aca="false">IF('Current Index'!776:776,"AAAAAH7Z70U=",0)</f>
        <v>0</v>
      </c>
      <c r="BS33" s="22" t="e">
        <f aca="false">AND('Current Index'!A776,"AAAAAH7Z70Y=")</f>
        <v>#VALUE!</v>
      </c>
      <c r="BT33" s="22" t="e">
        <f aca="false">AND('current index'!#ref!,"AAAAAH7Z70c=")</f>
        <v>#VALUE!</v>
      </c>
      <c r="BU33" s="22" t="e">
        <f aca="false">AND('Current Index'!B776,"AAAAAH7Z70g=")</f>
        <v>#VALUE!</v>
      </c>
      <c r="BV33" s="22" t="e">
        <f aca="false">AND('Current Index'!C776,"AAAAAH7Z70k=")</f>
        <v>#VALUE!</v>
      </c>
      <c r="BW33" s="22" t="e">
        <f aca="false">AND('Current Index'!D776,"AAAAAH7Z70o=")</f>
        <v>#VALUE!</v>
      </c>
      <c r="BX33" s="22" t="e">
        <f aca="false">AND('Current Index'!E776,"AAAAAH7Z70s=")</f>
        <v>#VALUE!</v>
      </c>
      <c r="BY33" s="22" t="e">
        <f aca="false">AND('Current Index'!F776,"AAAAAH7Z70w=")</f>
        <v>#VALUE!</v>
      </c>
      <c r="BZ33" s="22" t="e">
        <f aca="false">AND('Current Index'!G776,"AAAAAH7Z700=")</f>
        <v>#VALUE!</v>
      </c>
      <c r="CA33" s="22" t="e">
        <f aca="false">AND('Current Index'!H776,"AAAAAH7Z704=")</f>
        <v>#VALUE!</v>
      </c>
      <c r="CB33" s="22" t="e">
        <f aca="false">AND('Current Index'!I776,"AAAAAH7Z708=")</f>
        <v>#VALUE!</v>
      </c>
      <c r="CC33" s="22" t="n">
        <f aca="false">IF('Current Index'!777:777,"AAAAAH7Z71A=",0)</f>
        <v>0</v>
      </c>
      <c r="CD33" s="22" t="e">
        <f aca="false">AND('Current Index'!A777,"AAAAAH7Z71E=")</f>
        <v>#VALUE!</v>
      </c>
      <c r="CE33" s="22" t="e">
        <f aca="false">AND('current index'!#ref!,"AAAAAH7Z71I=")</f>
        <v>#VALUE!</v>
      </c>
      <c r="CF33" s="22" t="e">
        <f aca="false">AND('Current Index'!B777,"AAAAAH7Z71M=")</f>
        <v>#VALUE!</v>
      </c>
      <c r="CG33" s="22" t="e">
        <f aca="false">AND('Current Index'!C777,"AAAAAH7Z71Q=")</f>
        <v>#VALUE!</v>
      </c>
      <c r="CH33" s="22" t="e">
        <f aca="false">AND('Current Index'!D777,"AAAAAH7Z71U=")</f>
        <v>#VALUE!</v>
      </c>
      <c r="CI33" s="22" t="e">
        <f aca="false">AND('Current Index'!E777,"AAAAAH7Z71Y=")</f>
        <v>#VALUE!</v>
      </c>
      <c r="CJ33" s="22" t="e">
        <f aca="false">AND('Current Index'!F777,"AAAAAH7Z71c=")</f>
        <v>#VALUE!</v>
      </c>
      <c r="CK33" s="22" t="e">
        <f aca="false">AND('Current Index'!G777,"AAAAAH7Z71g=")</f>
        <v>#VALUE!</v>
      </c>
      <c r="CL33" s="22" t="e">
        <f aca="false">AND('Current Index'!H777,"AAAAAH7Z71k=")</f>
        <v>#VALUE!</v>
      </c>
      <c r="CM33" s="22" t="e">
        <f aca="false">AND('Current Index'!I777,"AAAAAH7Z71o=")</f>
        <v>#VALUE!</v>
      </c>
      <c r="CN33" s="22" t="e">
        <f aca="false">IF('current index'!#ref!,"AAAAAH7Z71s=",0)</f>
        <v>#VALUE!</v>
      </c>
      <c r="CO33" s="22" t="e">
        <f aca="false">AND('current index'!#ref!,"AAAAAH7Z71w=")</f>
        <v>#VALUE!</v>
      </c>
      <c r="CP33" s="22" t="e">
        <f aca="false">AND('current index'!#ref!,"AAAAAH7Z710=")</f>
        <v>#VALUE!</v>
      </c>
      <c r="CQ33" s="22" t="e">
        <f aca="false">AND('current index'!#ref!,"AAAAAH7Z714=")</f>
        <v>#VALUE!</v>
      </c>
      <c r="CR33" s="22" t="e">
        <f aca="false">AND('current index'!#ref!,"AAAAAH7Z718=")</f>
        <v>#VALUE!</v>
      </c>
      <c r="CS33" s="22" t="e">
        <f aca="false">AND('current index'!#ref!,"AAAAAH7Z72A=")</f>
        <v>#VALUE!</v>
      </c>
      <c r="CT33" s="22" t="e">
        <f aca="false">AND('current index'!#ref!,"AAAAAH7Z72E=")</f>
        <v>#VALUE!</v>
      </c>
      <c r="CU33" s="22" t="e">
        <f aca="false">AND('current index'!#ref!,"AAAAAH7Z72I=")</f>
        <v>#VALUE!</v>
      </c>
      <c r="CV33" s="22" t="e">
        <f aca="false">AND('current index'!#ref!,"AAAAAH7Z72M=")</f>
        <v>#VALUE!</v>
      </c>
      <c r="CW33" s="22" t="e">
        <f aca="false">AND('current index'!#ref!,"AAAAAH7Z72Q=")</f>
        <v>#VALUE!</v>
      </c>
      <c r="CX33" s="22" t="e">
        <f aca="false">AND('current index'!#ref!,"AAAAAH7Z72U=")</f>
        <v>#VALUE!</v>
      </c>
      <c r="CY33" s="22" t="e">
        <f aca="false">IF('current index'!#ref!,"AAAAAH7Z72Y=",0)</f>
        <v>#VALUE!</v>
      </c>
      <c r="CZ33" s="22" t="e">
        <f aca="false">AND('current index'!#ref!,"AAAAAH7Z72c=")</f>
        <v>#VALUE!</v>
      </c>
      <c r="DA33" s="22" t="e">
        <f aca="false">AND('current index'!#ref!,"AAAAAH7Z72g=")</f>
        <v>#VALUE!</v>
      </c>
      <c r="DB33" s="22" t="e">
        <f aca="false">AND('current index'!#ref!,"AAAAAH7Z72k=")</f>
        <v>#VALUE!</v>
      </c>
      <c r="DC33" s="22" t="e">
        <f aca="false">AND('current index'!#ref!,"AAAAAH7Z72o=")</f>
        <v>#VALUE!</v>
      </c>
      <c r="DD33" s="22" t="e">
        <f aca="false">AND('current index'!#ref!,"AAAAAH7Z72s=")</f>
        <v>#VALUE!</v>
      </c>
      <c r="DE33" s="22" t="e">
        <f aca="false">AND('current index'!#ref!,"AAAAAH7Z72w=")</f>
        <v>#VALUE!</v>
      </c>
      <c r="DF33" s="22" t="e">
        <f aca="false">AND('current index'!#ref!,"AAAAAH7Z720=")</f>
        <v>#VALUE!</v>
      </c>
      <c r="DG33" s="22" t="e">
        <f aca="false">AND('current index'!#ref!,"AAAAAH7Z724=")</f>
        <v>#VALUE!</v>
      </c>
      <c r="DH33" s="22" t="e">
        <f aca="false">AND('current index'!#ref!,"AAAAAH7Z728=")</f>
        <v>#VALUE!</v>
      </c>
      <c r="DI33" s="22" t="e">
        <f aca="false">AND('current index'!#ref!,"AAAAAH7Z73A=")</f>
        <v>#VALUE!</v>
      </c>
      <c r="DJ33" s="22" t="n">
        <f aca="false">IF('Current Index'!778:778,"AAAAAH7Z73E=",0)</f>
        <v>0</v>
      </c>
      <c r="DK33" s="22" t="e">
        <f aca="false">AND('Current Index'!A778,"AAAAAH7Z73I=")</f>
        <v>#VALUE!</v>
      </c>
      <c r="DL33" s="22" t="e">
        <f aca="false">AND('current index'!#ref!,"AAAAAH7Z73M=")</f>
        <v>#VALUE!</v>
      </c>
      <c r="DM33" s="22" t="e">
        <f aca="false">AND('Current Index'!B778,"AAAAAH7Z73Q=")</f>
        <v>#VALUE!</v>
      </c>
      <c r="DN33" s="22" t="e">
        <f aca="false">AND('Current Index'!C778,"AAAAAH7Z73U=")</f>
        <v>#VALUE!</v>
      </c>
      <c r="DO33" s="22" t="e">
        <f aca="false">AND('Current Index'!D778,"AAAAAH7Z73Y=")</f>
        <v>#VALUE!</v>
      </c>
      <c r="DP33" s="22" t="e">
        <f aca="false">AND('Current Index'!E778,"AAAAAH7Z73c=")</f>
        <v>#VALUE!</v>
      </c>
      <c r="DQ33" s="22" t="e">
        <f aca="false">AND('Current Index'!F778,"AAAAAH7Z73g=")</f>
        <v>#VALUE!</v>
      </c>
      <c r="DR33" s="22" t="e">
        <f aca="false">AND('Current Index'!G778,"AAAAAH7Z73k=")</f>
        <v>#VALUE!</v>
      </c>
      <c r="DS33" s="22" t="e">
        <f aca="false">AND('Current Index'!H778,"AAAAAH7Z73o=")</f>
        <v>#VALUE!</v>
      </c>
      <c r="DT33" s="22" t="e">
        <f aca="false">AND('Current Index'!I778,"AAAAAH7Z73s=")</f>
        <v>#VALUE!</v>
      </c>
      <c r="DU33" s="22" t="n">
        <f aca="false">IF('Current Index'!779:779,"AAAAAH7Z73w=",0)</f>
        <v>0</v>
      </c>
      <c r="DV33" s="22" t="e">
        <f aca="false">AND('Current Index'!A779,"AAAAAH7Z730=")</f>
        <v>#VALUE!</v>
      </c>
      <c r="DW33" s="22" t="e">
        <f aca="false">AND('current index'!#ref!,"AAAAAH7Z734=")</f>
        <v>#VALUE!</v>
      </c>
      <c r="DX33" s="22" t="e">
        <f aca="false">AND('Current Index'!B779,"AAAAAH7Z738=")</f>
        <v>#VALUE!</v>
      </c>
      <c r="DY33" s="22" t="e">
        <f aca="false">AND('Current Index'!C779,"AAAAAH7Z74A=")</f>
        <v>#VALUE!</v>
      </c>
      <c r="DZ33" s="22" t="e">
        <f aca="false">AND('Current Index'!D779,"AAAAAH7Z74E=")</f>
        <v>#VALUE!</v>
      </c>
      <c r="EA33" s="22" t="e">
        <f aca="false">AND('Current Index'!E779,"AAAAAH7Z74I=")</f>
        <v>#VALUE!</v>
      </c>
      <c r="EB33" s="22" t="e">
        <f aca="false">AND('Current Index'!F779,"AAAAAH7Z74M=")</f>
        <v>#VALUE!</v>
      </c>
      <c r="EC33" s="22" t="e">
        <f aca="false">AND('Current Index'!G779,"AAAAAH7Z74Q=")</f>
        <v>#VALUE!</v>
      </c>
      <c r="ED33" s="22" t="e">
        <f aca="false">AND('Current Index'!H779,"AAAAAH7Z74U=")</f>
        <v>#VALUE!</v>
      </c>
      <c r="EE33" s="22" t="e">
        <f aca="false">AND('Current Index'!I779,"AAAAAH7Z74Y=")</f>
        <v>#VALUE!</v>
      </c>
      <c r="EF33" s="22" t="e">
        <f aca="false">IF(#REF!,"AAAAAH7Z74c=",0)</f>
        <v>#REF!</v>
      </c>
      <c r="EG33" s="22" t="e">
        <f aca="false">AND(#REF!,"AAAAAH7Z74g=")</f>
        <v>#VALUE!</v>
      </c>
      <c r="EH33" s="22" t="e">
        <f aca="false">AND('current index'!#ref!,"AAAAAH7Z74k=")</f>
        <v>#VALUE!</v>
      </c>
      <c r="EI33" s="22" t="e">
        <f aca="false">AND(#REF!,"AAAAAH7Z74o=")</f>
        <v>#VALUE!</v>
      </c>
      <c r="EJ33" s="22" t="e">
        <f aca="false">AND(#REF!,"AAAAAH7Z74s=")</f>
        <v>#VALUE!</v>
      </c>
      <c r="EK33" s="22" t="e">
        <f aca="false">AND(#REF!,"AAAAAH7Z74w=")</f>
        <v>#VALUE!</v>
      </c>
      <c r="EL33" s="22" t="e">
        <f aca="false">AND(#REF!,"AAAAAH7Z740=")</f>
        <v>#VALUE!</v>
      </c>
      <c r="EM33" s="22" t="e">
        <f aca="false">AND(#REF!,"AAAAAH7Z744=")</f>
        <v>#VALUE!</v>
      </c>
      <c r="EN33" s="22" t="e">
        <f aca="false">AND(#REF!,"AAAAAH7Z748=")</f>
        <v>#VALUE!</v>
      </c>
      <c r="EO33" s="22" t="e">
        <f aca="false">AND(#REF!,"AAAAAH7Z75A=")</f>
        <v>#VALUE!</v>
      </c>
      <c r="EP33" s="22" t="e">
        <f aca="false">AND(#REF!,"AAAAAH7Z75E=")</f>
        <v>#VALUE!</v>
      </c>
      <c r="EQ33" s="22" t="n">
        <f aca="false">IF('Current Index'!783:783,"AAAAAH7Z75I=",0)</f>
        <v>0</v>
      </c>
      <c r="ER33" s="22" t="e">
        <f aca="false">AND('Current Index'!A783,"AAAAAH7Z75M=")</f>
        <v>#VALUE!</v>
      </c>
      <c r="ES33" s="22" t="e">
        <f aca="false">AND('current index'!#ref!,"AAAAAH7Z75Q=")</f>
        <v>#VALUE!</v>
      </c>
      <c r="ET33" s="22" t="e">
        <f aca="false">AND('Current Index'!B783,"AAAAAH7Z75U=")</f>
        <v>#VALUE!</v>
      </c>
      <c r="EU33" s="22" t="e">
        <f aca="false">AND('Current Index'!C783,"AAAAAH7Z75Y=")</f>
        <v>#VALUE!</v>
      </c>
      <c r="EV33" s="22" t="e">
        <f aca="false">AND('Current Index'!D783,"AAAAAH7Z75c=")</f>
        <v>#VALUE!</v>
      </c>
      <c r="EW33" s="22" t="e">
        <f aca="false">AND('Current Index'!E783,"AAAAAH7Z75g=")</f>
        <v>#VALUE!</v>
      </c>
      <c r="EX33" s="22" t="e">
        <f aca="false">AND('Current Index'!F783,"AAAAAH7Z75k=")</f>
        <v>#VALUE!</v>
      </c>
      <c r="EY33" s="22" t="e">
        <f aca="false">AND('Current Index'!G783,"AAAAAH7Z75o=")</f>
        <v>#VALUE!</v>
      </c>
      <c r="EZ33" s="22" t="e">
        <f aca="false">AND('Current Index'!H783,"AAAAAH7Z75s=")</f>
        <v>#VALUE!</v>
      </c>
      <c r="FA33" s="22" t="e">
        <f aca="false">AND('Current Index'!I783,"AAAAAH7Z75w=")</f>
        <v>#VALUE!</v>
      </c>
      <c r="FB33" s="22" t="n">
        <f aca="false">IF('Current Index'!784:784,"AAAAAH7Z750=",0)</f>
        <v>0</v>
      </c>
      <c r="FC33" s="22" t="e">
        <f aca="false">AND('Current Index'!A784,"AAAAAH7Z754=")</f>
        <v>#VALUE!</v>
      </c>
      <c r="FD33" s="22" t="e">
        <f aca="false">AND('current index'!#ref!,"AAAAAH7Z758=")</f>
        <v>#VALUE!</v>
      </c>
      <c r="FE33" s="22" t="e">
        <f aca="false">AND('Current Index'!B784,"AAAAAH7Z76A=")</f>
        <v>#VALUE!</v>
      </c>
      <c r="FF33" s="22" t="e">
        <f aca="false">AND('Current Index'!C784,"AAAAAH7Z76E=")</f>
        <v>#VALUE!</v>
      </c>
      <c r="FG33" s="22" t="e">
        <f aca="false">AND('Current Index'!D784,"AAAAAH7Z76I=")</f>
        <v>#VALUE!</v>
      </c>
      <c r="FH33" s="22" t="e">
        <f aca="false">AND('Current Index'!E784,"AAAAAH7Z76M=")</f>
        <v>#VALUE!</v>
      </c>
      <c r="FI33" s="22" t="e">
        <f aca="false">AND('Current Index'!F784,"AAAAAH7Z76Q=")</f>
        <v>#VALUE!</v>
      </c>
      <c r="FJ33" s="22" t="e">
        <f aca="false">AND('Current Index'!G784,"AAAAAH7Z76U=")</f>
        <v>#VALUE!</v>
      </c>
      <c r="FK33" s="22" t="e">
        <f aca="false">AND('Current Index'!H784,"AAAAAH7Z76Y=")</f>
        <v>#VALUE!</v>
      </c>
      <c r="FL33" s="22" t="e">
        <f aca="false">AND('Current Index'!I784,"AAAAAH7Z76c=")</f>
        <v>#VALUE!</v>
      </c>
      <c r="FM33" s="22" t="n">
        <f aca="false">IF('Current Index'!785:785,"AAAAAH7Z76g=",0)</f>
        <v>0</v>
      </c>
      <c r="FN33" s="22" t="e">
        <f aca="false">AND('Current Index'!A785,"AAAAAH7Z76k=")</f>
        <v>#VALUE!</v>
      </c>
      <c r="FO33" s="22" t="e">
        <f aca="false">AND('current index'!#ref!,"AAAAAH7Z76o=")</f>
        <v>#VALUE!</v>
      </c>
      <c r="FP33" s="22" t="e">
        <f aca="false">AND('Current Index'!B785,"AAAAAH7Z76s=")</f>
        <v>#VALUE!</v>
      </c>
      <c r="FQ33" s="22" t="e">
        <f aca="false">AND('Current Index'!C785,"AAAAAH7Z76w=")</f>
        <v>#VALUE!</v>
      </c>
      <c r="FR33" s="22" t="e">
        <f aca="false">AND('Current Index'!D785,"AAAAAH7Z760=")</f>
        <v>#VALUE!</v>
      </c>
      <c r="FS33" s="22" t="e">
        <f aca="false">AND('Current Index'!E785,"AAAAAH7Z764=")</f>
        <v>#VALUE!</v>
      </c>
      <c r="FT33" s="22" t="e">
        <f aca="false">AND('Current Index'!F785,"AAAAAH7Z768=")</f>
        <v>#VALUE!</v>
      </c>
      <c r="FU33" s="22" t="e">
        <f aca="false">AND('Current Index'!G785,"AAAAAH7Z77A=")</f>
        <v>#VALUE!</v>
      </c>
      <c r="FV33" s="22" t="e">
        <f aca="false">AND('Current Index'!H785,"AAAAAH7Z77E=")</f>
        <v>#VALUE!</v>
      </c>
      <c r="FW33" s="22" t="e">
        <f aca="false">AND('Current Index'!I785,"AAAAAH7Z77I=")</f>
        <v>#VALUE!</v>
      </c>
      <c r="FX33" s="22" t="n">
        <f aca="false">IF('Current Index'!786:786,"AAAAAH7Z77M=",0)</f>
        <v>0</v>
      </c>
      <c r="FY33" s="22" t="e">
        <f aca="false">AND('Current Index'!A786,"AAAAAH7Z77Q=")</f>
        <v>#VALUE!</v>
      </c>
      <c r="FZ33" s="22" t="e">
        <f aca="false">AND('current index'!#ref!,"AAAAAH7Z77U=")</f>
        <v>#VALUE!</v>
      </c>
      <c r="GA33" s="22" t="e">
        <f aca="false">AND('Current Index'!B786,"AAAAAH7Z77Y=")</f>
        <v>#VALUE!</v>
      </c>
      <c r="GB33" s="22" t="e">
        <f aca="false">AND('Current Index'!C786,"AAAAAH7Z77c=")</f>
        <v>#VALUE!</v>
      </c>
      <c r="GC33" s="22" t="e">
        <f aca="false">AND('Current Index'!D786,"AAAAAH7Z77g=")</f>
        <v>#VALUE!</v>
      </c>
      <c r="GD33" s="22" t="e">
        <f aca="false">AND('Current Index'!E786,"AAAAAH7Z77k=")</f>
        <v>#VALUE!</v>
      </c>
      <c r="GE33" s="22" t="e">
        <f aca="false">AND('Current Index'!F786,"AAAAAH7Z77o=")</f>
        <v>#VALUE!</v>
      </c>
      <c r="GF33" s="22" t="e">
        <f aca="false">AND('Current Index'!G786,"AAAAAH7Z77s=")</f>
        <v>#VALUE!</v>
      </c>
      <c r="GG33" s="22" t="e">
        <f aca="false">AND('Current Index'!H786,"AAAAAH7Z77w=")</f>
        <v>#VALUE!</v>
      </c>
      <c r="GH33" s="22" t="e">
        <f aca="false">AND('Current Index'!I786,"AAAAAH7Z770=")</f>
        <v>#VALUE!</v>
      </c>
      <c r="GI33" s="22" t="n">
        <f aca="false">IF('Current Index'!787:787,"AAAAAH7Z774=",0)</f>
        <v>0</v>
      </c>
      <c r="GJ33" s="22" t="e">
        <f aca="false">AND('Current Index'!A787,"AAAAAH7Z778=")</f>
        <v>#VALUE!</v>
      </c>
      <c r="GK33" s="22" t="e">
        <f aca="false">AND('current index'!#ref!,"AAAAAH7Z78A=")</f>
        <v>#VALUE!</v>
      </c>
      <c r="GL33" s="22" t="e">
        <f aca="false">AND('Current Index'!B787,"AAAAAH7Z78E=")</f>
        <v>#VALUE!</v>
      </c>
      <c r="GM33" s="22" t="e">
        <f aca="false">AND('Current Index'!C787,"AAAAAH7Z78I=")</f>
        <v>#VALUE!</v>
      </c>
      <c r="GN33" s="22" t="e">
        <f aca="false">AND('Current Index'!D787,"AAAAAH7Z78M=")</f>
        <v>#VALUE!</v>
      </c>
      <c r="GO33" s="22" t="e">
        <f aca="false">AND('Current Index'!E787,"AAAAAH7Z78Q=")</f>
        <v>#VALUE!</v>
      </c>
      <c r="GP33" s="22" t="e">
        <f aca="false">AND('Current Index'!F787,"AAAAAH7Z78U=")</f>
        <v>#VALUE!</v>
      </c>
      <c r="GQ33" s="22" t="e">
        <f aca="false">AND('Current Index'!G787,"AAAAAH7Z78Y=")</f>
        <v>#VALUE!</v>
      </c>
      <c r="GR33" s="22" t="e">
        <f aca="false">AND('Current Index'!H787,"AAAAAH7Z78c=")</f>
        <v>#VALUE!</v>
      </c>
      <c r="GS33" s="22" t="e">
        <f aca="false">AND('Current Index'!I787,"AAAAAH7Z78g=")</f>
        <v>#VALUE!</v>
      </c>
      <c r="GT33" s="22" t="n">
        <f aca="false">IF('Current Index'!788:788,"AAAAAH7Z78k=",0)</f>
        <v>0</v>
      </c>
      <c r="GU33" s="22" t="e">
        <f aca="false">AND('Current Index'!A788,"AAAAAH7Z78o=")</f>
        <v>#VALUE!</v>
      </c>
      <c r="GV33" s="22" t="e">
        <f aca="false">AND('current index'!#ref!,"AAAAAH7Z78s=")</f>
        <v>#VALUE!</v>
      </c>
      <c r="GW33" s="22" t="e">
        <f aca="false">AND('Current Index'!B788,"AAAAAH7Z78w=")</f>
        <v>#VALUE!</v>
      </c>
      <c r="GX33" s="22" t="e">
        <f aca="false">AND('Current Index'!C788,"AAAAAH7Z780=")</f>
        <v>#VALUE!</v>
      </c>
      <c r="GY33" s="22" t="e">
        <f aca="false">AND('Current Index'!D788,"AAAAAH7Z784=")</f>
        <v>#VALUE!</v>
      </c>
      <c r="GZ33" s="22" t="e">
        <f aca="false">AND('Current Index'!E788,"AAAAAH7Z788=")</f>
        <v>#VALUE!</v>
      </c>
      <c r="HA33" s="22" t="e">
        <f aca="false">AND('Current Index'!F788,"AAAAAH7Z79A=")</f>
        <v>#VALUE!</v>
      </c>
      <c r="HB33" s="22" t="e">
        <f aca="false">AND('Current Index'!G788,"AAAAAH7Z79E=")</f>
        <v>#VALUE!</v>
      </c>
      <c r="HC33" s="22" t="e">
        <f aca="false">AND('Current Index'!H788,"AAAAAH7Z79I=")</f>
        <v>#VALUE!</v>
      </c>
      <c r="HD33" s="22" t="e">
        <f aca="false">AND('Current Index'!I788,"AAAAAH7Z79M=")</f>
        <v>#VALUE!</v>
      </c>
      <c r="HE33" s="22" t="n">
        <f aca="false">IF('Current Index'!789:789,"AAAAAH7Z79Q=",0)</f>
        <v>0</v>
      </c>
      <c r="HF33" s="22" t="e">
        <f aca="false">AND('Current Index'!A789,"AAAAAH7Z79U=")</f>
        <v>#VALUE!</v>
      </c>
      <c r="HG33" s="22" t="e">
        <f aca="false">AND('current index'!#ref!,"AAAAAH7Z79Y=")</f>
        <v>#VALUE!</v>
      </c>
      <c r="HH33" s="22" t="e">
        <f aca="false">AND('Current Index'!B789,"AAAAAH7Z79c=")</f>
        <v>#VALUE!</v>
      </c>
      <c r="HI33" s="22" t="e">
        <f aca="false">AND('Current Index'!C789,"AAAAAH7Z79g=")</f>
        <v>#VALUE!</v>
      </c>
      <c r="HJ33" s="22" t="e">
        <f aca="false">AND('Current Index'!D789,"AAAAAH7Z79k=")</f>
        <v>#VALUE!</v>
      </c>
      <c r="HK33" s="22" t="e">
        <f aca="false">AND('Current Index'!E789,"AAAAAH7Z79o=")</f>
        <v>#VALUE!</v>
      </c>
      <c r="HL33" s="22" t="e">
        <f aca="false">AND('Current Index'!F789,"AAAAAH7Z79s=")</f>
        <v>#VALUE!</v>
      </c>
      <c r="HM33" s="22" t="e">
        <f aca="false">AND('Current Index'!G789,"AAAAAH7Z79w=")</f>
        <v>#VALUE!</v>
      </c>
      <c r="HN33" s="22" t="e">
        <f aca="false">AND('Current Index'!H789,"AAAAAH7Z790=")</f>
        <v>#VALUE!</v>
      </c>
      <c r="HO33" s="22" t="e">
        <f aca="false">AND('Current Index'!I789,"AAAAAH7Z794=")</f>
        <v>#VALUE!</v>
      </c>
      <c r="HP33" s="22" t="n">
        <f aca="false">IF('Current Index'!790:790,"AAAAAH7Z798=",0)</f>
        <v>0</v>
      </c>
      <c r="HQ33" s="22" t="e">
        <f aca="false">AND('Current Index'!A790,"AAAAAH7Z7+A=")</f>
        <v>#VALUE!</v>
      </c>
      <c r="HR33" s="22" t="e">
        <f aca="false">AND('current index'!#ref!,"AAAAAH7Z7+E=")</f>
        <v>#VALUE!</v>
      </c>
      <c r="HS33" s="22" t="e">
        <f aca="false">AND('Current Index'!B790,"AAAAAH7Z7+I=")</f>
        <v>#VALUE!</v>
      </c>
      <c r="HT33" s="22" t="e">
        <f aca="false">AND('Current Index'!C790,"AAAAAH7Z7+M=")</f>
        <v>#VALUE!</v>
      </c>
      <c r="HU33" s="22" t="e">
        <f aca="false">AND('Current Index'!D790,"AAAAAH7Z7+Q=")</f>
        <v>#VALUE!</v>
      </c>
      <c r="HV33" s="22" t="e">
        <f aca="false">AND('Current Index'!E790,"AAAAAH7Z7+U=")</f>
        <v>#VALUE!</v>
      </c>
      <c r="HW33" s="22" t="e">
        <f aca="false">AND('Current Index'!F790,"AAAAAH7Z7+Y=")</f>
        <v>#VALUE!</v>
      </c>
      <c r="HX33" s="22" t="e">
        <f aca="false">AND('Current Index'!G790,"AAAAAH7Z7+c=")</f>
        <v>#VALUE!</v>
      </c>
      <c r="HY33" s="22" t="e">
        <f aca="false">AND('Current Index'!H790,"AAAAAH7Z7+g=")</f>
        <v>#VALUE!</v>
      </c>
      <c r="HZ33" s="22" t="e">
        <f aca="false">AND('Current Index'!I790,"AAAAAH7Z7+k=")</f>
        <v>#VALUE!</v>
      </c>
      <c r="IA33" s="22" t="n">
        <f aca="false">IF('Current Index'!791:791,"AAAAAH7Z7+o=",0)</f>
        <v>0</v>
      </c>
      <c r="IB33" s="22" t="e">
        <f aca="false">AND('Current Index'!A791,"AAAAAH7Z7+s=")</f>
        <v>#VALUE!</v>
      </c>
      <c r="IC33" s="22" t="e">
        <f aca="false">AND('current index'!#ref!,"AAAAAH7Z7+w=")</f>
        <v>#VALUE!</v>
      </c>
      <c r="ID33" s="22" t="e">
        <f aca="false">AND('Current Index'!B791,"AAAAAH7Z7+0=")</f>
        <v>#VALUE!</v>
      </c>
      <c r="IE33" s="22" t="e">
        <f aca="false">AND('Current Index'!C791,"AAAAAH7Z7+4=")</f>
        <v>#VALUE!</v>
      </c>
      <c r="IF33" s="22" t="e">
        <f aca="false">AND('Current Index'!D791,"AAAAAH7Z7+8=")</f>
        <v>#VALUE!</v>
      </c>
      <c r="IG33" s="22" t="e">
        <f aca="false">AND('Current Index'!E791,"AAAAAH7Z7/A=")</f>
        <v>#VALUE!</v>
      </c>
      <c r="IH33" s="22" t="e">
        <f aca="false">AND('Current Index'!F791,"AAAAAH7Z7/E=")</f>
        <v>#VALUE!</v>
      </c>
      <c r="II33" s="22" t="e">
        <f aca="false">AND('Current Index'!G791,"AAAAAH7Z7/I=")</f>
        <v>#VALUE!</v>
      </c>
      <c r="IJ33" s="22" t="e">
        <f aca="false">AND('Current Index'!H791,"AAAAAH7Z7/M=")</f>
        <v>#VALUE!</v>
      </c>
      <c r="IK33" s="22" t="e">
        <f aca="false">AND('Current Index'!I791,"AAAAAH7Z7/Q=")</f>
        <v>#VALUE!</v>
      </c>
      <c r="IL33" s="22" t="n">
        <f aca="false">IF('Current Index'!792:792,"AAAAAH7Z7/U=",0)</f>
        <v>0</v>
      </c>
      <c r="IM33" s="22" t="e">
        <f aca="false">AND('Current Index'!A792,"AAAAAH7Z7/Y=")</f>
        <v>#VALUE!</v>
      </c>
      <c r="IN33" s="22" t="e">
        <f aca="false">AND('current index'!#ref!,"AAAAAH7Z7/c=")</f>
        <v>#VALUE!</v>
      </c>
      <c r="IO33" s="22" t="e">
        <f aca="false">AND('Current Index'!B792,"AAAAAH7Z7/g=")</f>
        <v>#VALUE!</v>
      </c>
      <c r="IP33" s="22" t="e">
        <f aca="false">AND('Current Index'!C792,"AAAAAH7Z7/k=")</f>
        <v>#VALUE!</v>
      </c>
      <c r="IQ33" s="22" t="e">
        <f aca="false">AND('Current Index'!D792,"AAAAAH7Z7/o=")</f>
        <v>#VALUE!</v>
      </c>
      <c r="IR33" s="22" t="e">
        <f aca="false">AND('Current Index'!E792,"AAAAAH7Z7/s=")</f>
        <v>#VALUE!</v>
      </c>
      <c r="IS33" s="22" t="e">
        <f aca="false">AND('Current Index'!F792,"AAAAAH7Z7/w=")</f>
        <v>#VALUE!</v>
      </c>
      <c r="IT33" s="22" t="e">
        <f aca="false">AND('Current Index'!G792,"AAAAAH7Z7/0=")</f>
        <v>#VALUE!</v>
      </c>
      <c r="IU33" s="22" t="e">
        <f aca="false">AND('Current Index'!H792,"AAAAAH7Z7/4=")</f>
        <v>#VALUE!</v>
      </c>
      <c r="IV33" s="22" t="e">
        <f aca="false">AND('Current Index'!I792,"AAAAAH7Z7/8=")</f>
        <v>#VALUE!</v>
      </c>
    </row>
    <row r="34" customFormat="false" ht="12.75" hidden="false" customHeight="false" outlineLevel="0" collapsed="false">
      <c r="A34" s="22" t="n">
        <f aca="false">IF('Current Index'!794:794,"AAAAAEw8eQA=",0)</f>
        <v>0</v>
      </c>
      <c r="B34" s="22" t="e">
        <f aca="false">AND('Current Index'!A794,"AAAAAEw8eQE=")</f>
        <v>#VALUE!</v>
      </c>
      <c r="C34" s="22" t="e">
        <f aca="false">AND('current index'!#ref!,"AAAAAEw8eQI=")</f>
        <v>#VALUE!</v>
      </c>
      <c r="D34" s="22" t="e">
        <f aca="false">AND('Current Index'!B794,"AAAAAEw8eQM=")</f>
        <v>#VALUE!</v>
      </c>
      <c r="E34" s="22" t="e">
        <f aca="false">AND('Current Index'!C794,"AAAAAEw8eQQ=")</f>
        <v>#VALUE!</v>
      </c>
      <c r="F34" s="22" t="e">
        <f aca="false">AND('Current Index'!D794,"AAAAAEw8eQU=")</f>
        <v>#VALUE!</v>
      </c>
      <c r="G34" s="22" t="e">
        <f aca="false">AND('Current Index'!E794,"AAAAAEw8eQY=")</f>
        <v>#VALUE!</v>
      </c>
      <c r="H34" s="22" t="e">
        <f aca="false">AND('Current Index'!F794,"AAAAAEw8eQc=")</f>
        <v>#VALUE!</v>
      </c>
      <c r="I34" s="22" t="e">
        <f aca="false">AND('Current Index'!G794,"AAAAAEw8eQg=")</f>
        <v>#VALUE!</v>
      </c>
      <c r="J34" s="22" t="e">
        <f aca="false">AND('Current Index'!H794,"AAAAAEw8eQk=")</f>
        <v>#VALUE!</v>
      </c>
      <c r="K34" s="22" t="e">
        <f aca="false">AND('Current Index'!I794,"AAAAAEw8eQo=")</f>
        <v>#VALUE!</v>
      </c>
      <c r="L34" s="22" t="n">
        <f aca="false">IF('Current Index'!795:795,"AAAAAEw8eQs=",0)</f>
        <v>0</v>
      </c>
      <c r="M34" s="22" t="e">
        <f aca="false">AND('Current Index'!A795,"AAAAAEw8eQw=")</f>
        <v>#VALUE!</v>
      </c>
      <c r="N34" s="22" t="e">
        <f aca="false">AND('current index'!#ref!,"AAAAAEw8eQ0=")</f>
        <v>#VALUE!</v>
      </c>
      <c r="O34" s="22" t="e">
        <f aca="false">AND('Current Index'!B795,"AAAAAEw8eQ4=")</f>
        <v>#VALUE!</v>
      </c>
      <c r="P34" s="22" t="e">
        <f aca="false">AND('Current Index'!C795,"AAAAAEw8eQ8=")</f>
        <v>#VALUE!</v>
      </c>
      <c r="Q34" s="22" t="e">
        <f aca="false">AND('Current Index'!D795,"AAAAAEw8eRA=")</f>
        <v>#VALUE!</v>
      </c>
      <c r="R34" s="22" t="e">
        <f aca="false">AND('Current Index'!E795,"AAAAAEw8eRE=")</f>
        <v>#VALUE!</v>
      </c>
      <c r="S34" s="22" t="e">
        <f aca="false">AND('Current Index'!F795,"AAAAAEw8eRI=")</f>
        <v>#VALUE!</v>
      </c>
      <c r="T34" s="22" t="e">
        <f aca="false">AND('Current Index'!G795,"AAAAAEw8eRM=")</f>
        <v>#VALUE!</v>
      </c>
      <c r="U34" s="22" t="e">
        <f aca="false">AND('Current Index'!H795,"AAAAAEw8eRQ=")</f>
        <v>#VALUE!</v>
      </c>
      <c r="V34" s="22" t="e">
        <f aca="false">AND('Current Index'!I795,"AAAAAEw8eRU=")</f>
        <v>#VALUE!</v>
      </c>
      <c r="W34" s="22" t="e">
        <f aca="false">IF('current index'!#ref!,"AAAAAEw8eRY=",0)</f>
        <v>#VALUE!</v>
      </c>
      <c r="X34" s="22" t="e">
        <f aca="false">AND('current index'!#ref!,"AAAAAEw8eRc=")</f>
        <v>#VALUE!</v>
      </c>
      <c r="Y34" s="22" t="e">
        <f aca="false">AND('current index'!#ref!,"AAAAAEw8eRg=")</f>
        <v>#VALUE!</v>
      </c>
      <c r="Z34" s="22" t="e">
        <f aca="false">AND('current index'!#ref!,"AAAAAEw8eRk=")</f>
        <v>#VALUE!</v>
      </c>
      <c r="AA34" s="22" t="e">
        <f aca="false">AND('current index'!#ref!,"AAAAAEw8eRo=")</f>
        <v>#VALUE!</v>
      </c>
      <c r="AB34" s="22" t="e">
        <f aca="false">AND('current index'!#ref!,"AAAAAEw8eRs=")</f>
        <v>#VALUE!</v>
      </c>
      <c r="AC34" s="22" t="e">
        <f aca="false">AND('current index'!#ref!,"AAAAAEw8eRw=")</f>
        <v>#VALUE!</v>
      </c>
      <c r="AD34" s="22" t="e">
        <f aca="false">AND('current index'!#ref!,"AAAAAEw8eR0=")</f>
        <v>#VALUE!</v>
      </c>
      <c r="AE34" s="22" t="e">
        <f aca="false">AND('current index'!#ref!,"AAAAAEw8eR4=")</f>
        <v>#VALUE!</v>
      </c>
      <c r="AF34" s="22" t="e">
        <f aca="false">AND('current index'!#ref!,"AAAAAEw8eR8=")</f>
        <v>#VALUE!</v>
      </c>
      <c r="AG34" s="22" t="e">
        <f aca="false">AND('current index'!#ref!,"AAAAAEw8eSA=")</f>
        <v>#VALUE!</v>
      </c>
      <c r="AH34" s="22" t="e">
        <f aca="false">IF(#REF!,"AAAAAEw8eSE=",0)</f>
        <v>#REF!</v>
      </c>
      <c r="AI34" s="22" t="e">
        <f aca="false">AND(#REF!,"AAAAAEw8eSI=")</f>
        <v>#VALUE!</v>
      </c>
      <c r="AJ34" s="22" t="e">
        <f aca="false">AND('current index'!#ref!,"AAAAAEw8eSM=")</f>
        <v>#VALUE!</v>
      </c>
      <c r="AK34" s="22" t="e">
        <f aca="false">AND(#REF!,"AAAAAEw8eSQ=")</f>
        <v>#VALUE!</v>
      </c>
      <c r="AL34" s="22" t="e">
        <f aca="false">AND(#REF!,"AAAAAEw8eSU=")</f>
        <v>#VALUE!</v>
      </c>
      <c r="AM34" s="22" t="e">
        <f aca="false">AND(#REF!,"AAAAAEw8eSY=")</f>
        <v>#VALUE!</v>
      </c>
      <c r="AN34" s="22" t="e">
        <f aca="false">AND(#REF!,"AAAAAEw8eSc=")</f>
        <v>#VALUE!</v>
      </c>
      <c r="AO34" s="22" t="e">
        <f aca="false">AND(#REF!,"AAAAAEw8eSg=")</f>
        <v>#VALUE!</v>
      </c>
      <c r="AP34" s="22" t="e">
        <f aca="false">AND(#REF!,"AAAAAEw8eSk=")</f>
        <v>#VALUE!</v>
      </c>
      <c r="AQ34" s="22" t="e">
        <f aca="false">AND(#REF!,"AAAAAEw8eSo=")</f>
        <v>#VALUE!</v>
      </c>
      <c r="AR34" s="22" t="e">
        <f aca="false">AND(#REF!,"AAAAAEw8eSs=")</f>
        <v>#VALUE!</v>
      </c>
      <c r="AS34" s="22" t="n">
        <f aca="false">IF('Current Index'!796:796,"AAAAAEw8eSw=",0)</f>
        <v>0</v>
      </c>
      <c r="AT34" s="22" t="e">
        <f aca="false">AND('Current Index'!A796,"AAAAAEw8eS0=")</f>
        <v>#VALUE!</v>
      </c>
      <c r="AU34" s="22" t="e">
        <f aca="false">AND('current index'!#ref!,"AAAAAEw8eS4=")</f>
        <v>#VALUE!</v>
      </c>
      <c r="AV34" s="22" t="e">
        <f aca="false">AND('Current Index'!B796,"AAAAAEw8eS8=")</f>
        <v>#VALUE!</v>
      </c>
      <c r="AW34" s="22" t="e">
        <f aca="false">AND('Current Index'!C796,"AAAAAEw8eTA=")</f>
        <v>#VALUE!</v>
      </c>
      <c r="AX34" s="22" t="e">
        <f aca="false">AND('Current Index'!D796,"AAAAAEw8eTE=")</f>
        <v>#VALUE!</v>
      </c>
      <c r="AY34" s="22" t="e">
        <f aca="false">AND('Current Index'!E796,"AAAAAEw8eTI=")</f>
        <v>#VALUE!</v>
      </c>
      <c r="AZ34" s="22" t="e">
        <f aca="false">AND('Current Index'!F796,"AAAAAEw8eTM=")</f>
        <v>#VALUE!</v>
      </c>
      <c r="BA34" s="22" t="e">
        <f aca="false">AND('Current Index'!G796,"AAAAAEw8eTQ=")</f>
        <v>#VALUE!</v>
      </c>
      <c r="BB34" s="22" t="e">
        <f aca="false">AND('Current Index'!H796,"AAAAAEw8eTU=")</f>
        <v>#VALUE!</v>
      </c>
      <c r="BC34" s="22" t="e">
        <f aca="false">AND('Current Index'!I796,"AAAAAEw8eTY=")</f>
        <v>#VALUE!</v>
      </c>
      <c r="BD34" s="22" t="n">
        <f aca="false">IF('Current Index'!797:797,"AAAAAEw8eTc=",0)</f>
        <v>0</v>
      </c>
      <c r="BE34" s="22" t="e">
        <f aca="false">AND('Current Index'!A797,"AAAAAEw8eTg=")</f>
        <v>#VALUE!</v>
      </c>
      <c r="BF34" s="22" t="e">
        <f aca="false">AND('current index'!#ref!,"AAAAAEw8eTk=")</f>
        <v>#VALUE!</v>
      </c>
      <c r="BG34" s="22" t="e">
        <f aca="false">AND('Current Index'!B797,"AAAAAEw8eTo=")</f>
        <v>#VALUE!</v>
      </c>
      <c r="BH34" s="22" t="e">
        <f aca="false">AND('Current Index'!C797,"AAAAAEw8eTs=")</f>
        <v>#VALUE!</v>
      </c>
      <c r="BI34" s="22" t="e">
        <f aca="false">AND('Current Index'!D797,"AAAAAEw8eTw=")</f>
        <v>#VALUE!</v>
      </c>
      <c r="BJ34" s="22" t="e">
        <f aca="false">AND('Current Index'!E797,"AAAAAEw8eT0=")</f>
        <v>#VALUE!</v>
      </c>
      <c r="BK34" s="22" t="e">
        <f aca="false">AND('Current Index'!F797,"AAAAAEw8eT4=")</f>
        <v>#VALUE!</v>
      </c>
      <c r="BL34" s="22" t="e">
        <f aca="false">AND('Current Index'!G797,"AAAAAEw8eT8=")</f>
        <v>#VALUE!</v>
      </c>
      <c r="BM34" s="22" t="e">
        <f aca="false">AND('Current Index'!H797,"AAAAAEw8eUA=")</f>
        <v>#VALUE!</v>
      </c>
      <c r="BN34" s="22" t="e">
        <f aca="false">AND('Current Index'!I797,"AAAAAEw8eUE=")</f>
        <v>#VALUE!</v>
      </c>
      <c r="BO34" s="22" t="n">
        <f aca="false">IF('Current Index'!798:798,"AAAAAEw8eUI=",0)</f>
        <v>0</v>
      </c>
      <c r="BP34" s="22" t="e">
        <f aca="false">AND('Current Index'!A798,"AAAAAEw8eUM=")</f>
        <v>#VALUE!</v>
      </c>
      <c r="BQ34" s="22" t="e">
        <f aca="false">AND('current index'!#ref!,"AAAAAEw8eUQ=")</f>
        <v>#VALUE!</v>
      </c>
      <c r="BR34" s="22" t="e">
        <f aca="false">AND('Current Index'!B798,"AAAAAEw8eUU=")</f>
        <v>#VALUE!</v>
      </c>
      <c r="BS34" s="22" t="e">
        <f aca="false">AND('Current Index'!C798,"AAAAAEw8eUY=")</f>
        <v>#VALUE!</v>
      </c>
      <c r="BT34" s="22" t="e">
        <f aca="false">AND('Current Index'!D798,"AAAAAEw8eUc=")</f>
        <v>#VALUE!</v>
      </c>
      <c r="BU34" s="22" t="e">
        <f aca="false">AND('Current Index'!E798,"AAAAAEw8eUg=")</f>
        <v>#VALUE!</v>
      </c>
      <c r="BV34" s="22" t="e">
        <f aca="false">AND('Current Index'!F798,"AAAAAEw8eUk=")</f>
        <v>#VALUE!</v>
      </c>
      <c r="BW34" s="22" t="e">
        <f aca="false">AND('Current Index'!G798,"AAAAAEw8eUo=")</f>
        <v>#VALUE!</v>
      </c>
      <c r="BX34" s="22" t="e">
        <f aca="false">AND('Current Index'!H798,"AAAAAEw8eUs=")</f>
        <v>#VALUE!</v>
      </c>
      <c r="BY34" s="22" t="e">
        <f aca="false">AND('Current Index'!I798,"AAAAAEw8eUw=")</f>
        <v>#VALUE!</v>
      </c>
      <c r="BZ34" s="22" t="n">
        <f aca="false">IF('Current Index'!799:799,"AAAAAEw8eU0=",0)</f>
        <v>0</v>
      </c>
      <c r="CA34" s="22" t="e">
        <f aca="false">AND('Current Index'!A799,"AAAAAEw8eU4=")</f>
        <v>#VALUE!</v>
      </c>
      <c r="CB34" s="22" t="e">
        <f aca="false">AND('current index'!#ref!,"AAAAAEw8eU8=")</f>
        <v>#VALUE!</v>
      </c>
      <c r="CC34" s="22" t="e">
        <f aca="false">AND('Current Index'!B799,"AAAAAEw8eVA=")</f>
        <v>#VALUE!</v>
      </c>
      <c r="CD34" s="22" t="e">
        <f aca="false">AND('Current Index'!C799,"AAAAAEw8eVE=")</f>
        <v>#VALUE!</v>
      </c>
      <c r="CE34" s="22" t="e">
        <f aca="false">AND('Current Index'!D799,"AAAAAEw8eVI=")</f>
        <v>#VALUE!</v>
      </c>
      <c r="CF34" s="22" t="e">
        <f aca="false">AND('Current Index'!E799,"AAAAAEw8eVM=")</f>
        <v>#VALUE!</v>
      </c>
      <c r="CG34" s="22" t="e">
        <f aca="false">AND('Current Index'!F799,"AAAAAEw8eVQ=")</f>
        <v>#VALUE!</v>
      </c>
      <c r="CH34" s="22" t="e">
        <f aca="false">AND('Current Index'!G799,"AAAAAEw8eVU=")</f>
        <v>#VALUE!</v>
      </c>
      <c r="CI34" s="22" t="e">
        <f aca="false">AND('Current Index'!H799,"AAAAAEw8eVY=")</f>
        <v>#VALUE!</v>
      </c>
      <c r="CJ34" s="22" t="e">
        <f aca="false">AND('Current Index'!I799,"AAAAAEw8eVc=")</f>
        <v>#VALUE!</v>
      </c>
      <c r="CK34" s="22" t="e">
        <f aca="false">IF('current index'!#ref!,"AAAAAEw8eVg=",0)</f>
        <v>#VALUE!</v>
      </c>
      <c r="CL34" s="22" t="e">
        <f aca="false">AND('current index'!#ref!,"AAAAAEw8eVk=")</f>
        <v>#VALUE!</v>
      </c>
      <c r="CM34" s="22" t="e">
        <f aca="false">AND('current index'!#ref!,"AAAAAEw8eVo=")</f>
        <v>#VALUE!</v>
      </c>
      <c r="CN34" s="22" t="e">
        <f aca="false">AND('current index'!#ref!,"AAAAAEw8eVs=")</f>
        <v>#VALUE!</v>
      </c>
      <c r="CO34" s="22" t="e">
        <f aca="false">AND('current index'!#ref!,"AAAAAEw8eVw=")</f>
        <v>#VALUE!</v>
      </c>
      <c r="CP34" s="22" t="e">
        <f aca="false">AND('current index'!#ref!,"AAAAAEw8eV0=")</f>
        <v>#VALUE!</v>
      </c>
      <c r="CQ34" s="22" t="e">
        <f aca="false">AND('current index'!#ref!,"AAAAAEw8eV4=")</f>
        <v>#VALUE!</v>
      </c>
      <c r="CR34" s="22" t="e">
        <f aca="false">AND('current index'!#ref!,"AAAAAEw8eV8=")</f>
        <v>#VALUE!</v>
      </c>
      <c r="CS34" s="22" t="e">
        <f aca="false">AND('current index'!#ref!,"AAAAAEw8eWA=")</f>
        <v>#VALUE!</v>
      </c>
      <c r="CT34" s="22" t="e">
        <f aca="false">AND('current index'!#ref!,"AAAAAEw8eWE=")</f>
        <v>#VALUE!</v>
      </c>
      <c r="CU34" s="22" t="e">
        <f aca="false">AND('current index'!#ref!,"AAAAAEw8eWI=")</f>
        <v>#VALUE!</v>
      </c>
      <c r="CV34" s="22" t="n">
        <f aca="false">IF('Current Index'!800:800,"AAAAAEw8eWM=",0)</f>
        <v>0</v>
      </c>
      <c r="CW34" s="22" t="e">
        <f aca="false">AND('Current Index'!A800,"AAAAAEw8eWQ=")</f>
        <v>#VALUE!</v>
      </c>
      <c r="CX34" s="22" t="e">
        <f aca="false">AND('current index'!#ref!,"AAAAAEw8eWU=")</f>
        <v>#VALUE!</v>
      </c>
      <c r="CY34" s="22" t="e">
        <f aca="false">AND('Current Index'!B800,"AAAAAEw8eWY=")</f>
        <v>#VALUE!</v>
      </c>
      <c r="CZ34" s="22" t="e">
        <f aca="false">AND('Current Index'!C800,"AAAAAEw8eWc=")</f>
        <v>#VALUE!</v>
      </c>
      <c r="DA34" s="22" t="e">
        <f aca="false">AND('Current Index'!D800,"AAAAAEw8eWg=")</f>
        <v>#VALUE!</v>
      </c>
      <c r="DB34" s="22" t="e">
        <f aca="false">AND('Current Index'!E800,"AAAAAEw8eWk=")</f>
        <v>#VALUE!</v>
      </c>
      <c r="DC34" s="22" t="e">
        <f aca="false">AND('Current Index'!F800,"AAAAAEw8eWo=")</f>
        <v>#VALUE!</v>
      </c>
      <c r="DD34" s="22" t="e">
        <f aca="false">AND('Current Index'!G800,"AAAAAEw8eWs=")</f>
        <v>#VALUE!</v>
      </c>
      <c r="DE34" s="22" t="e">
        <f aca="false">AND('Current Index'!H800,"AAAAAEw8eWw=")</f>
        <v>#VALUE!</v>
      </c>
      <c r="DF34" s="22" t="e">
        <f aca="false">AND('Current Index'!I800,"AAAAAEw8eW0=")</f>
        <v>#VALUE!</v>
      </c>
      <c r="DG34" s="22" t="n">
        <f aca="false">IF('Current Index'!801:801,"AAAAAEw8eW4=",0)</f>
        <v>0</v>
      </c>
      <c r="DH34" s="22" t="e">
        <f aca="false">AND('Current Index'!A801,"AAAAAEw8eW8=")</f>
        <v>#VALUE!</v>
      </c>
      <c r="DI34" s="22" t="e">
        <f aca="false">AND('current index'!#ref!,"AAAAAEw8eXA=")</f>
        <v>#VALUE!</v>
      </c>
      <c r="DJ34" s="22" t="e">
        <f aca="false">AND('Current Index'!B801,"AAAAAEw8eXE=")</f>
        <v>#VALUE!</v>
      </c>
      <c r="DK34" s="22" t="e">
        <f aca="false">AND('Current Index'!C801,"AAAAAEw8eXI=")</f>
        <v>#VALUE!</v>
      </c>
      <c r="DL34" s="22" t="e">
        <f aca="false">AND('Current Index'!D801,"AAAAAEw8eXM=")</f>
        <v>#VALUE!</v>
      </c>
      <c r="DM34" s="22" t="e">
        <f aca="false">AND('Current Index'!E801,"AAAAAEw8eXQ=")</f>
        <v>#VALUE!</v>
      </c>
      <c r="DN34" s="22" t="e">
        <f aca="false">AND('Current Index'!F801,"AAAAAEw8eXU=")</f>
        <v>#VALUE!</v>
      </c>
      <c r="DO34" s="22" t="e">
        <f aca="false">AND('Current Index'!G801,"AAAAAEw8eXY=")</f>
        <v>#VALUE!</v>
      </c>
      <c r="DP34" s="22" t="e">
        <f aca="false">AND('Current Index'!H801,"AAAAAEw8eXc=")</f>
        <v>#VALUE!</v>
      </c>
      <c r="DQ34" s="22" t="e">
        <f aca="false">AND('Current Index'!I801,"AAAAAEw8eXg=")</f>
        <v>#VALUE!</v>
      </c>
      <c r="DR34" s="22" t="n">
        <f aca="false">IF('Current Index'!802:802,"AAAAAEw8eXk=",0)</f>
        <v>0</v>
      </c>
      <c r="DS34" s="22" t="e">
        <f aca="false">AND('Current Index'!A802,"AAAAAEw8eXo=")</f>
        <v>#VALUE!</v>
      </c>
      <c r="DT34" s="22" t="e">
        <f aca="false">AND('current index'!#ref!,"AAAAAEw8eXs=")</f>
        <v>#VALUE!</v>
      </c>
      <c r="DU34" s="22" t="e">
        <f aca="false">AND('Current Index'!B802,"AAAAAEw8eXw=")</f>
        <v>#VALUE!</v>
      </c>
      <c r="DV34" s="22" t="e">
        <f aca="false">AND('Current Index'!C802,"AAAAAEw8eX0=")</f>
        <v>#VALUE!</v>
      </c>
      <c r="DW34" s="22" t="e">
        <f aca="false">AND('Current Index'!D802,"AAAAAEw8eX4=")</f>
        <v>#VALUE!</v>
      </c>
      <c r="DX34" s="22" t="e">
        <f aca="false">AND('Current Index'!E802,"AAAAAEw8eX8=")</f>
        <v>#VALUE!</v>
      </c>
      <c r="DY34" s="22" t="e">
        <f aca="false">AND('Current Index'!F802,"AAAAAEw8eYA=")</f>
        <v>#VALUE!</v>
      </c>
      <c r="DZ34" s="22" t="e">
        <f aca="false">AND('Current Index'!G802,"AAAAAEw8eYE=")</f>
        <v>#VALUE!</v>
      </c>
      <c r="EA34" s="22" t="e">
        <f aca="false">AND('Current Index'!H802,"AAAAAEw8eYI=")</f>
        <v>#VALUE!</v>
      </c>
      <c r="EB34" s="22" t="e">
        <f aca="false">AND('Current Index'!I802,"AAAAAEw8eYM=")</f>
        <v>#VALUE!</v>
      </c>
      <c r="EC34" s="22" t="n">
        <f aca="false">IF('Current Index'!803:803,"AAAAAEw8eYQ=",0)</f>
        <v>0</v>
      </c>
      <c r="ED34" s="22" t="e">
        <f aca="false">AND('Current Index'!A803,"AAAAAEw8eYU=")</f>
        <v>#VALUE!</v>
      </c>
      <c r="EE34" s="22" t="e">
        <f aca="false">AND('current index'!#ref!,"AAAAAEw8eYY=")</f>
        <v>#VALUE!</v>
      </c>
      <c r="EF34" s="22" t="e">
        <f aca="false">AND('Current Index'!B803,"AAAAAEw8eYc=")</f>
        <v>#VALUE!</v>
      </c>
      <c r="EG34" s="22" t="e">
        <f aca="false">AND('Current Index'!C803,"AAAAAEw8eYg=")</f>
        <v>#VALUE!</v>
      </c>
      <c r="EH34" s="22" t="e">
        <f aca="false">AND('Current Index'!D803,"AAAAAEw8eYk=")</f>
        <v>#VALUE!</v>
      </c>
      <c r="EI34" s="22" t="e">
        <f aca="false">AND('Current Index'!E803,"AAAAAEw8eYo=")</f>
        <v>#VALUE!</v>
      </c>
      <c r="EJ34" s="22" t="e">
        <f aca="false">AND('Current Index'!F803,"AAAAAEw8eYs=")</f>
        <v>#VALUE!</v>
      </c>
      <c r="EK34" s="22" t="e">
        <f aca="false">AND('Current Index'!G803,"AAAAAEw8eYw=")</f>
        <v>#VALUE!</v>
      </c>
      <c r="EL34" s="22" t="e">
        <f aca="false">AND('Current Index'!H803,"AAAAAEw8eY0=")</f>
        <v>#VALUE!</v>
      </c>
      <c r="EM34" s="22" t="e">
        <f aca="false">AND('Current Index'!I803,"AAAAAEw8eY4=")</f>
        <v>#VALUE!</v>
      </c>
      <c r="EN34" s="22" t="n">
        <f aca="false">IF('Current Index'!804:804,"AAAAAEw8eY8=",0)</f>
        <v>0</v>
      </c>
      <c r="EO34" s="22" t="e">
        <f aca="false">AND('Current Index'!A804,"AAAAAEw8eZA=")</f>
        <v>#VALUE!</v>
      </c>
      <c r="EP34" s="22" t="e">
        <f aca="false">AND('current index'!#ref!,"AAAAAEw8eZE=")</f>
        <v>#VALUE!</v>
      </c>
      <c r="EQ34" s="22" t="e">
        <f aca="false">AND('Current Index'!B804,"AAAAAEw8eZI=")</f>
        <v>#VALUE!</v>
      </c>
      <c r="ER34" s="22" t="e">
        <f aca="false">AND('Current Index'!C804,"AAAAAEw8eZM=")</f>
        <v>#VALUE!</v>
      </c>
      <c r="ES34" s="22" t="e">
        <f aca="false">AND('Current Index'!D804,"AAAAAEw8eZQ=")</f>
        <v>#VALUE!</v>
      </c>
      <c r="ET34" s="22" t="e">
        <f aca="false">AND('Current Index'!E804,"AAAAAEw8eZU=")</f>
        <v>#VALUE!</v>
      </c>
      <c r="EU34" s="22" t="e">
        <f aca="false">AND('Current Index'!F804,"AAAAAEw8eZY=")</f>
        <v>#VALUE!</v>
      </c>
      <c r="EV34" s="22" t="e">
        <f aca="false">AND('Current Index'!G804,"AAAAAEw8eZc=")</f>
        <v>#VALUE!</v>
      </c>
      <c r="EW34" s="22" t="e">
        <f aca="false">AND('Current Index'!H804,"AAAAAEw8eZg=")</f>
        <v>#VALUE!</v>
      </c>
      <c r="EX34" s="22" t="e">
        <f aca="false">AND('Current Index'!I804,"AAAAAEw8eZk=")</f>
        <v>#VALUE!</v>
      </c>
      <c r="EY34" s="22" t="n">
        <f aca="false">IF('Current Index'!805:805,"AAAAAEw8eZo=",0)</f>
        <v>0</v>
      </c>
      <c r="EZ34" s="22" t="e">
        <f aca="false">AND('Current Index'!A805,"AAAAAEw8eZs=")</f>
        <v>#VALUE!</v>
      </c>
      <c r="FA34" s="22" t="e">
        <f aca="false">AND('current index'!#ref!,"AAAAAEw8eZw=")</f>
        <v>#VALUE!</v>
      </c>
      <c r="FB34" s="22" t="e">
        <f aca="false">AND('Current Index'!B805,"AAAAAEw8eZ0=")</f>
        <v>#VALUE!</v>
      </c>
      <c r="FC34" s="22" t="e">
        <f aca="false">AND('Current Index'!C805,"AAAAAEw8eZ4=")</f>
        <v>#VALUE!</v>
      </c>
      <c r="FD34" s="22" t="e">
        <f aca="false">AND('Current Index'!D805,"AAAAAEw8eZ8=")</f>
        <v>#VALUE!</v>
      </c>
      <c r="FE34" s="22" t="e">
        <f aca="false">AND('Current Index'!E805,"AAAAAEw8eaA=")</f>
        <v>#VALUE!</v>
      </c>
      <c r="FF34" s="22" t="e">
        <f aca="false">AND('Current Index'!F805,"AAAAAEw8eaE=")</f>
        <v>#VALUE!</v>
      </c>
      <c r="FG34" s="22" t="e">
        <f aca="false">AND('Current Index'!G805,"AAAAAEw8eaI=")</f>
        <v>#VALUE!</v>
      </c>
      <c r="FH34" s="22" t="e">
        <f aca="false">AND('Current Index'!H805,"AAAAAEw8eaM=")</f>
        <v>#VALUE!</v>
      </c>
      <c r="FI34" s="22" t="e">
        <f aca="false">AND('Current Index'!I805,"AAAAAEw8eaQ=")</f>
        <v>#VALUE!</v>
      </c>
      <c r="FJ34" s="22" t="n">
        <f aca="false">IF('Current Index'!806:806,"AAAAAEw8eaU=",0)</f>
        <v>0</v>
      </c>
      <c r="FK34" s="22" t="e">
        <f aca="false">AND('Current Index'!A806,"AAAAAEw8eaY=")</f>
        <v>#VALUE!</v>
      </c>
      <c r="FL34" s="22" t="e">
        <f aca="false">AND('current index'!#ref!,"AAAAAEw8eac=")</f>
        <v>#VALUE!</v>
      </c>
      <c r="FM34" s="22" t="e">
        <f aca="false">AND('Current Index'!B806,"AAAAAEw8eag=")</f>
        <v>#VALUE!</v>
      </c>
      <c r="FN34" s="22" t="e">
        <f aca="false">AND('Current Index'!C806,"AAAAAEw8eak=")</f>
        <v>#VALUE!</v>
      </c>
      <c r="FO34" s="22" t="e">
        <f aca="false">AND('Current Index'!D806,"AAAAAEw8eao=")</f>
        <v>#VALUE!</v>
      </c>
      <c r="FP34" s="22" t="e">
        <f aca="false">AND('Current Index'!E806,"AAAAAEw8eas=")</f>
        <v>#VALUE!</v>
      </c>
      <c r="FQ34" s="22" t="e">
        <f aca="false">AND('Current Index'!F806,"AAAAAEw8eaw=")</f>
        <v>#VALUE!</v>
      </c>
      <c r="FR34" s="22" t="e">
        <f aca="false">AND('Current Index'!G806,"AAAAAEw8ea0=")</f>
        <v>#VALUE!</v>
      </c>
      <c r="FS34" s="22" t="e">
        <f aca="false">AND('Current Index'!H806,"AAAAAEw8ea4=")</f>
        <v>#VALUE!</v>
      </c>
      <c r="FT34" s="22" t="e">
        <f aca="false">AND('Current Index'!I806,"AAAAAEw8ea8=")</f>
        <v>#VALUE!</v>
      </c>
      <c r="FU34" s="22" t="n">
        <f aca="false">IF('Current Index'!807:807,"AAAAAEw8ebA=",0)</f>
        <v>0</v>
      </c>
      <c r="FV34" s="22" t="e">
        <f aca="false">AND('Current Index'!A807,"AAAAAEw8ebE=")</f>
        <v>#VALUE!</v>
      </c>
      <c r="FW34" s="22" t="e">
        <f aca="false">AND('current index'!#ref!,"AAAAAEw8ebI=")</f>
        <v>#VALUE!</v>
      </c>
      <c r="FX34" s="22" t="e">
        <f aca="false">AND('Current Index'!B807,"AAAAAEw8ebM=")</f>
        <v>#VALUE!</v>
      </c>
      <c r="FY34" s="22" t="e">
        <f aca="false">AND('Current Index'!C807,"AAAAAEw8ebQ=")</f>
        <v>#VALUE!</v>
      </c>
      <c r="FZ34" s="22" t="e">
        <f aca="false">AND('Current Index'!D807,"AAAAAEw8ebU=")</f>
        <v>#VALUE!</v>
      </c>
      <c r="GA34" s="22" t="e">
        <f aca="false">AND('Current Index'!E807,"AAAAAEw8ebY=")</f>
        <v>#VALUE!</v>
      </c>
      <c r="GB34" s="22" t="e">
        <f aca="false">AND('Current Index'!F807,"AAAAAEw8ebc=")</f>
        <v>#VALUE!</v>
      </c>
      <c r="GC34" s="22" t="e">
        <f aca="false">AND('Current Index'!G807,"AAAAAEw8ebg=")</f>
        <v>#VALUE!</v>
      </c>
      <c r="GD34" s="22" t="e">
        <f aca="false">AND('Current Index'!H807,"AAAAAEw8ebk=")</f>
        <v>#VALUE!</v>
      </c>
      <c r="GE34" s="22" t="e">
        <f aca="false">AND('Current Index'!I807,"AAAAAEw8ebo=")</f>
        <v>#VALUE!</v>
      </c>
      <c r="GF34" s="22" t="n">
        <f aca="false">IF('Current Index'!808:808,"AAAAAEw8ebs=",0)</f>
        <v>0</v>
      </c>
      <c r="GG34" s="22" t="e">
        <f aca="false">AND('Current Index'!A808,"AAAAAEw8ebw=")</f>
        <v>#VALUE!</v>
      </c>
      <c r="GH34" s="22" t="e">
        <f aca="false">AND('current index'!#ref!,"AAAAAEw8eb0=")</f>
        <v>#VALUE!</v>
      </c>
      <c r="GI34" s="22" t="e">
        <f aca="false">AND('Current Index'!B808,"AAAAAEw8eb4=")</f>
        <v>#VALUE!</v>
      </c>
      <c r="GJ34" s="22" t="e">
        <f aca="false">AND('Current Index'!C808,"AAAAAEw8eb8=")</f>
        <v>#VALUE!</v>
      </c>
      <c r="GK34" s="22" t="e">
        <f aca="false">AND('Current Index'!D808,"AAAAAEw8ecA=")</f>
        <v>#VALUE!</v>
      </c>
      <c r="GL34" s="22" t="e">
        <f aca="false">AND('Current Index'!E808,"AAAAAEw8ecE=")</f>
        <v>#VALUE!</v>
      </c>
      <c r="GM34" s="22" t="e">
        <f aca="false">AND('Current Index'!F808,"AAAAAEw8ecI=")</f>
        <v>#VALUE!</v>
      </c>
      <c r="GN34" s="22" t="e">
        <f aca="false">AND('Current Index'!G808,"AAAAAEw8ecM=")</f>
        <v>#VALUE!</v>
      </c>
      <c r="GO34" s="22" t="e">
        <f aca="false">AND('Current Index'!H808,"AAAAAEw8ecQ=")</f>
        <v>#VALUE!</v>
      </c>
      <c r="GP34" s="22" t="e">
        <f aca="false">AND('Current Index'!I808,"AAAAAEw8ecU=")</f>
        <v>#VALUE!</v>
      </c>
      <c r="GQ34" s="22" t="n">
        <f aca="false">IF('Current Index'!809:809,"AAAAAEw8ecY=",0)</f>
        <v>0</v>
      </c>
      <c r="GR34" s="22" t="e">
        <f aca="false">AND('Current Index'!A809,"AAAAAEw8ecc=")</f>
        <v>#VALUE!</v>
      </c>
      <c r="GS34" s="22" t="e">
        <f aca="false">AND('current index'!#ref!,"AAAAAEw8ecg=")</f>
        <v>#VALUE!</v>
      </c>
      <c r="GT34" s="22" t="e">
        <f aca="false">AND('Current Index'!B809,"AAAAAEw8eck=")</f>
        <v>#VALUE!</v>
      </c>
      <c r="GU34" s="22" t="e">
        <f aca="false">AND('Current Index'!C809,"AAAAAEw8eco=")</f>
        <v>#VALUE!</v>
      </c>
      <c r="GV34" s="22" t="e">
        <f aca="false">AND('Current Index'!D809,"AAAAAEw8ecs=")</f>
        <v>#VALUE!</v>
      </c>
      <c r="GW34" s="22" t="e">
        <f aca="false">AND('Current Index'!E809,"AAAAAEw8ecw=")</f>
        <v>#VALUE!</v>
      </c>
      <c r="GX34" s="22" t="e">
        <f aca="false">AND('Current Index'!F809,"AAAAAEw8ec0=")</f>
        <v>#VALUE!</v>
      </c>
      <c r="GY34" s="22" t="e">
        <f aca="false">AND('Current Index'!G809,"AAAAAEw8ec4=")</f>
        <v>#VALUE!</v>
      </c>
      <c r="GZ34" s="22" t="e">
        <f aca="false">AND('Current Index'!H809,"AAAAAEw8ec8=")</f>
        <v>#VALUE!</v>
      </c>
      <c r="HA34" s="22" t="e">
        <f aca="false">AND('Current Index'!I809,"AAAAAEw8edA=")</f>
        <v>#VALUE!</v>
      </c>
      <c r="HB34" s="22" t="n">
        <f aca="false">IF('Current Index'!811:811,"AAAAAEw8edE=",0)</f>
        <v>0</v>
      </c>
      <c r="HC34" s="22" t="e">
        <f aca="false">AND('Current Index'!A811,"AAAAAEw8edI=")</f>
        <v>#VALUE!</v>
      </c>
      <c r="HD34" s="22" t="e">
        <f aca="false">AND('current index'!#ref!,"AAAAAEw8edM=")</f>
        <v>#VALUE!</v>
      </c>
      <c r="HE34" s="22" t="e">
        <f aca="false">AND('Current Index'!B811,"AAAAAEw8edQ=")</f>
        <v>#VALUE!</v>
      </c>
      <c r="HF34" s="22" t="e">
        <f aca="false">AND('Current Index'!C811,"AAAAAEw8edU=")</f>
        <v>#VALUE!</v>
      </c>
      <c r="HG34" s="22" t="e">
        <f aca="false">AND('Current Index'!D811,"AAAAAEw8edY=")</f>
        <v>#VALUE!</v>
      </c>
      <c r="HH34" s="22" t="e">
        <f aca="false">AND('Current Index'!E811,"AAAAAEw8edc=")</f>
        <v>#VALUE!</v>
      </c>
      <c r="HI34" s="22" t="e">
        <f aca="false">AND('Current Index'!F811,"AAAAAEw8edg=")</f>
        <v>#VALUE!</v>
      </c>
      <c r="HJ34" s="22" t="e">
        <f aca="false">AND('Current Index'!G811,"AAAAAEw8edk=")</f>
        <v>#VALUE!</v>
      </c>
      <c r="HK34" s="22" t="e">
        <f aca="false">AND('Current Index'!H811,"AAAAAEw8edo=")</f>
        <v>#VALUE!</v>
      </c>
      <c r="HL34" s="22" t="e">
        <f aca="false">AND('Current Index'!I811,"AAAAAEw8eds=")</f>
        <v>#VALUE!</v>
      </c>
      <c r="HM34" s="22" t="n">
        <f aca="false">IF('Current Index'!812:812,"AAAAAEw8edw=",0)</f>
        <v>0</v>
      </c>
      <c r="HN34" s="22" t="e">
        <f aca="false">AND('Current Index'!A812,"AAAAAEw8ed0=")</f>
        <v>#VALUE!</v>
      </c>
      <c r="HO34" s="22" t="e">
        <f aca="false">AND('current index'!#ref!,"AAAAAEw8ed4=")</f>
        <v>#VALUE!</v>
      </c>
      <c r="HP34" s="22" t="e">
        <f aca="false">AND('Current Index'!B812,"AAAAAEw8ed8=")</f>
        <v>#VALUE!</v>
      </c>
      <c r="HQ34" s="22" t="e">
        <f aca="false">AND('Current Index'!C812,"AAAAAEw8eeA=")</f>
        <v>#VALUE!</v>
      </c>
      <c r="HR34" s="22" t="e">
        <f aca="false">AND('Current Index'!D812,"AAAAAEw8eeE=")</f>
        <v>#VALUE!</v>
      </c>
      <c r="HS34" s="22" t="e">
        <f aca="false">AND('Current Index'!E812,"AAAAAEw8eeI=")</f>
        <v>#VALUE!</v>
      </c>
      <c r="HT34" s="22" t="e">
        <f aca="false">AND('Current Index'!F812,"AAAAAEw8eeM=")</f>
        <v>#VALUE!</v>
      </c>
      <c r="HU34" s="22" t="e">
        <f aca="false">AND('Current Index'!G812,"AAAAAEw8eeQ=")</f>
        <v>#VALUE!</v>
      </c>
      <c r="HV34" s="22" t="e">
        <f aca="false">AND('Current Index'!H812,"AAAAAEw8eeU=")</f>
        <v>#VALUE!</v>
      </c>
      <c r="HW34" s="22" t="e">
        <f aca="false">AND('Current Index'!I812,"AAAAAEw8eeY=")</f>
        <v>#VALUE!</v>
      </c>
      <c r="HX34" s="22" t="n">
        <f aca="false">IF('Current Index'!813:813,"AAAAAEw8eec=",0)</f>
        <v>0</v>
      </c>
      <c r="HY34" s="22" t="e">
        <f aca="false">AND('Current Index'!A813,"AAAAAEw8eeg=")</f>
        <v>#VALUE!</v>
      </c>
      <c r="HZ34" s="22" t="e">
        <f aca="false">AND('current index'!#ref!,"AAAAAEw8eek=")</f>
        <v>#VALUE!</v>
      </c>
      <c r="IA34" s="22" t="e">
        <f aca="false">AND('Current Index'!B813,"AAAAAEw8eeo=")</f>
        <v>#VALUE!</v>
      </c>
      <c r="IB34" s="22" t="e">
        <f aca="false">AND('Current Index'!C813,"AAAAAEw8ees=")</f>
        <v>#VALUE!</v>
      </c>
      <c r="IC34" s="22" t="e">
        <f aca="false">AND('Current Index'!D813,"AAAAAEw8eew=")</f>
        <v>#VALUE!</v>
      </c>
      <c r="ID34" s="22" t="e">
        <f aca="false">AND('Current Index'!E813,"AAAAAEw8ee0=")</f>
        <v>#VALUE!</v>
      </c>
      <c r="IE34" s="22" t="e">
        <f aca="false">AND('Current Index'!F813,"AAAAAEw8ee4=")</f>
        <v>#VALUE!</v>
      </c>
      <c r="IF34" s="22" t="e">
        <f aca="false">AND('Current Index'!G813,"AAAAAEw8ee8=")</f>
        <v>#VALUE!</v>
      </c>
      <c r="IG34" s="22" t="e">
        <f aca="false">AND('Current Index'!H813,"AAAAAEw8efA=")</f>
        <v>#VALUE!</v>
      </c>
      <c r="IH34" s="22" t="e">
        <f aca="false">AND('Current Index'!I813,"AAAAAEw8efE=")</f>
        <v>#VALUE!</v>
      </c>
      <c r="II34" s="22" t="n">
        <f aca="false">IF('Current Index'!814:814,"AAAAAEw8efI=",0)</f>
        <v>0</v>
      </c>
      <c r="IJ34" s="22" t="e">
        <f aca="false">AND('Current Index'!A814,"AAAAAEw8efM=")</f>
        <v>#VALUE!</v>
      </c>
      <c r="IK34" s="22" t="e">
        <f aca="false">AND('current index'!#ref!,"AAAAAEw8efQ=")</f>
        <v>#VALUE!</v>
      </c>
      <c r="IL34" s="22" t="e">
        <f aca="false">AND('Current Index'!B814,"AAAAAEw8efU=")</f>
        <v>#VALUE!</v>
      </c>
      <c r="IM34" s="22" t="e">
        <f aca="false">AND('Current Index'!C814,"AAAAAEw8efY=")</f>
        <v>#VALUE!</v>
      </c>
      <c r="IN34" s="22" t="e">
        <f aca="false">AND('Current Index'!D814,"AAAAAEw8efc=")</f>
        <v>#VALUE!</v>
      </c>
      <c r="IO34" s="22" t="e">
        <f aca="false">AND('Current Index'!E814,"AAAAAEw8efg=")</f>
        <v>#VALUE!</v>
      </c>
      <c r="IP34" s="22" t="e">
        <f aca="false">AND('Current Index'!F814,"AAAAAEw8efk=")</f>
        <v>#VALUE!</v>
      </c>
      <c r="IQ34" s="22" t="e">
        <f aca="false">AND('Current Index'!G814,"AAAAAEw8efo=")</f>
        <v>#VALUE!</v>
      </c>
      <c r="IR34" s="22" t="e">
        <f aca="false">AND('Current Index'!H814,"AAAAAEw8efs=")</f>
        <v>#VALUE!</v>
      </c>
      <c r="IS34" s="22" t="e">
        <f aca="false">AND('Current Index'!I814,"AAAAAEw8efw=")</f>
        <v>#VALUE!</v>
      </c>
      <c r="IT34" s="22" t="n">
        <f aca="false">IF('Current Index'!815:815,"AAAAAEw8ef0=",0)</f>
        <v>0</v>
      </c>
      <c r="IU34" s="22" t="e">
        <f aca="false">AND('Current Index'!A815,"AAAAAEw8ef4=")</f>
        <v>#VALUE!</v>
      </c>
      <c r="IV34" s="22" t="e">
        <f aca="false">AND('current index'!#ref!,"AAAAAEw8ef8=")</f>
        <v>#VALUE!</v>
      </c>
    </row>
    <row r="35" customFormat="false" ht="12.75" hidden="false" customHeight="false" outlineLevel="0" collapsed="false">
      <c r="A35" s="22" t="e">
        <f aca="false">AND('Current Index'!B815,"AAAAADa3fwA=")</f>
        <v>#VALUE!</v>
      </c>
      <c r="B35" s="22" t="e">
        <f aca="false">AND('Current Index'!C815,"AAAAADa3fwE=")</f>
        <v>#VALUE!</v>
      </c>
      <c r="C35" s="22" t="e">
        <f aca="false">AND('Current Index'!D815,"AAAAADa3fwI=")</f>
        <v>#VALUE!</v>
      </c>
      <c r="D35" s="22" t="e">
        <f aca="false">AND('Current Index'!E815,"AAAAADa3fwM=")</f>
        <v>#VALUE!</v>
      </c>
      <c r="E35" s="22" t="e">
        <f aca="false">AND('Current Index'!F815,"AAAAADa3fwQ=")</f>
        <v>#VALUE!</v>
      </c>
      <c r="F35" s="22" t="e">
        <f aca="false">AND('Current Index'!G815,"AAAAADa3fwU=")</f>
        <v>#VALUE!</v>
      </c>
      <c r="G35" s="22" t="e">
        <f aca="false">AND('Current Index'!H815,"AAAAADa3fwY=")</f>
        <v>#VALUE!</v>
      </c>
      <c r="H35" s="22" t="e">
        <f aca="false">AND('Current Index'!I815,"AAAAADa3fwc=")</f>
        <v>#VALUE!</v>
      </c>
      <c r="I35" s="22" t="n">
        <f aca="false">IF('Current Index'!816:816,"AAAAADa3fwg=",0)</f>
        <v>0</v>
      </c>
      <c r="J35" s="22" t="e">
        <f aca="false">AND('Current Index'!A816,"AAAAADa3fwk=")</f>
        <v>#VALUE!</v>
      </c>
      <c r="K35" s="22" t="e">
        <f aca="false">AND('current index'!#ref!,"AAAAADa3fwo=")</f>
        <v>#VALUE!</v>
      </c>
      <c r="L35" s="22" t="e">
        <f aca="false">AND('Current Index'!B816,"AAAAADa3fws=")</f>
        <v>#VALUE!</v>
      </c>
      <c r="M35" s="22" t="e">
        <f aca="false">AND('Current Index'!C816,"AAAAADa3fww=")</f>
        <v>#VALUE!</v>
      </c>
      <c r="N35" s="22" t="e">
        <f aca="false">AND('Current Index'!D816,"AAAAADa3fw0=")</f>
        <v>#VALUE!</v>
      </c>
      <c r="O35" s="22" t="e">
        <f aca="false">AND('Current Index'!E816,"AAAAADa3fw4=")</f>
        <v>#VALUE!</v>
      </c>
      <c r="P35" s="22" t="e">
        <f aca="false">AND('Current Index'!F816,"AAAAADa3fw8=")</f>
        <v>#VALUE!</v>
      </c>
      <c r="Q35" s="22" t="e">
        <f aca="false">AND('Current Index'!G816,"AAAAADa3fxA=")</f>
        <v>#VALUE!</v>
      </c>
      <c r="R35" s="22" t="e">
        <f aca="false">AND('Current Index'!H816,"AAAAADa3fxE=")</f>
        <v>#VALUE!</v>
      </c>
      <c r="S35" s="22" t="e">
        <f aca="false">AND('Current Index'!I816,"AAAAADa3fxI=")</f>
        <v>#VALUE!</v>
      </c>
      <c r="T35" s="22" t="n">
        <f aca="false">IF('Current Index'!817:817,"AAAAADa3fxM=",0)</f>
        <v>0</v>
      </c>
      <c r="U35" s="22" t="e">
        <f aca="false">AND('Current Index'!A817,"AAAAADa3fxQ=")</f>
        <v>#VALUE!</v>
      </c>
      <c r="V35" s="22" t="e">
        <f aca="false">AND('current index'!#ref!,"AAAAADa3fxU=")</f>
        <v>#VALUE!</v>
      </c>
      <c r="W35" s="22" t="e">
        <f aca="false">AND('Current Index'!B817,"AAAAADa3fxY=")</f>
        <v>#VALUE!</v>
      </c>
      <c r="X35" s="22" t="e">
        <f aca="false">AND('Current Index'!C817,"AAAAADa3fxc=")</f>
        <v>#VALUE!</v>
      </c>
      <c r="Y35" s="22" t="e">
        <f aca="false">AND('Current Index'!D817,"AAAAADa3fxg=")</f>
        <v>#VALUE!</v>
      </c>
      <c r="Z35" s="22" t="e">
        <f aca="false">AND('Current Index'!E817,"AAAAADa3fxk=")</f>
        <v>#VALUE!</v>
      </c>
      <c r="AA35" s="22" t="e">
        <f aca="false">AND('Current Index'!F817,"AAAAADa3fxo=")</f>
        <v>#VALUE!</v>
      </c>
      <c r="AB35" s="22" t="e">
        <f aca="false">AND('Current Index'!G817,"AAAAADa3fxs=")</f>
        <v>#VALUE!</v>
      </c>
      <c r="AC35" s="22" t="e">
        <f aca="false">AND('Current Index'!H817,"AAAAADa3fxw=")</f>
        <v>#VALUE!</v>
      </c>
      <c r="AD35" s="22" t="e">
        <f aca="false">AND('Current Index'!I817,"AAAAADa3fx0=")</f>
        <v>#VALUE!</v>
      </c>
      <c r="AE35" s="22" t="n">
        <f aca="false">IF('Current Index'!818:818,"AAAAADa3fx4=",0)</f>
        <v>0</v>
      </c>
      <c r="AF35" s="22" t="e">
        <f aca="false">AND('Current Index'!A818,"AAAAADa3fx8=")</f>
        <v>#VALUE!</v>
      </c>
      <c r="AG35" s="22" t="e">
        <f aca="false">AND('current index'!#ref!,"AAAAADa3fyA=")</f>
        <v>#VALUE!</v>
      </c>
      <c r="AH35" s="22" t="e">
        <f aca="false">AND('Current Index'!B818,"AAAAADa3fyE=")</f>
        <v>#VALUE!</v>
      </c>
      <c r="AI35" s="22" t="e">
        <f aca="false">AND('Current Index'!C818,"AAAAADa3fyI=")</f>
        <v>#VALUE!</v>
      </c>
      <c r="AJ35" s="22" t="e">
        <f aca="false">AND('Current Index'!D818,"AAAAADa3fyM=")</f>
        <v>#VALUE!</v>
      </c>
      <c r="AK35" s="22" t="e">
        <f aca="false">AND('Current Index'!E818,"AAAAADa3fyQ=")</f>
        <v>#VALUE!</v>
      </c>
      <c r="AL35" s="22" t="e">
        <f aca="false">AND('Current Index'!F818,"AAAAADa3fyU=")</f>
        <v>#VALUE!</v>
      </c>
      <c r="AM35" s="22" t="e">
        <f aca="false">AND('Current Index'!G818,"AAAAADa3fyY=")</f>
        <v>#VALUE!</v>
      </c>
      <c r="AN35" s="22" t="e">
        <f aca="false">AND('Current Index'!H818,"AAAAADa3fyc=")</f>
        <v>#VALUE!</v>
      </c>
      <c r="AO35" s="22" t="e">
        <f aca="false">AND('Current Index'!I818,"AAAAADa3fyg=")</f>
        <v>#VALUE!</v>
      </c>
      <c r="AP35" s="22" t="n">
        <f aca="false">IF('Current Index'!819:819,"AAAAADa3fyk=",0)</f>
        <v>0</v>
      </c>
      <c r="AQ35" s="22" t="e">
        <f aca="false">AND('Current Index'!A819,"AAAAADa3fyo=")</f>
        <v>#VALUE!</v>
      </c>
      <c r="AR35" s="22" t="e">
        <f aca="false">AND('current index'!#ref!,"AAAAADa3fys=")</f>
        <v>#VALUE!</v>
      </c>
      <c r="AS35" s="22" t="e">
        <f aca="false">AND('Current Index'!B819,"AAAAADa3fyw=")</f>
        <v>#VALUE!</v>
      </c>
      <c r="AT35" s="22" t="e">
        <f aca="false">AND('Current Index'!C819,"AAAAADa3fy0=")</f>
        <v>#VALUE!</v>
      </c>
      <c r="AU35" s="22" t="e">
        <f aca="false">AND('Current Index'!D819,"AAAAADa3fy4=")</f>
        <v>#VALUE!</v>
      </c>
      <c r="AV35" s="22" t="e">
        <f aca="false">AND('Current Index'!E819,"AAAAADa3fy8=")</f>
        <v>#VALUE!</v>
      </c>
      <c r="AW35" s="22" t="e">
        <f aca="false">AND('Current Index'!F819,"AAAAADa3fzA=")</f>
        <v>#VALUE!</v>
      </c>
      <c r="AX35" s="22" t="e">
        <f aca="false">AND('Current Index'!G819,"AAAAADa3fzE=")</f>
        <v>#VALUE!</v>
      </c>
      <c r="AY35" s="22" t="e">
        <f aca="false">AND('Current Index'!H819,"AAAAADa3fzI=")</f>
        <v>#VALUE!</v>
      </c>
      <c r="AZ35" s="22" t="e">
        <f aca="false">AND('Current Index'!I819,"AAAAADa3fzM=")</f>
        <v>#VALUE!</v>
      </c>
      <c r="BA35" s="22" t="n">
        <f aca="false">IF('Current Index'!820:820,"AAAAADa3fzQ=",0)</f>
        <v>0</v>
      </c>
      <c r="BB35" s="22" t="e">
        <f aca="false">AND('Current Index'!A820,"AAAAADa3fzU=")</f>
        <v>#VALUE!</v>
      </c>
      <c r="BC35" s="22" t="e">
        <f aca="false">AND('current index'!#ref!,"AAAAADa3fzY=")</f>
        <v>#VALUE!</v>
      </c>
      <c r="BD35" s="22" t="e">
        <f aca="false">AND('Current Index'!B820,"AAAAADa3fzc=")</f>
        <v>#VALUE!</v>
      </c>
      <c r="BE35" s="22" t="e">
        <f aca="false">AND('Current Index'!C820,"AAAAADa3fzg=")</f>
        <v>#VALUE!</v>
      </c>
      <c r="BF35" s="22" t="e">
        <f aca="false">AND('Current Index'!D820,"AAAAADa3fzk=")</f>
        <v>#VALUE!</v>
      </c>
      <c r="BG35" s="22" t="e">
        <f aca="false">AND('Current Index'!E820,"AAAAADa3fzo=")</f>
        <v>#VALUE!</v>
      </c>
      <c r="BH35" s="22" t="e">
        <f aca="false">AND('Current Index'!F820,"AAAAADa3fzs=")</f>
        <v>#VALUE!</v>
      </c>
      <c r="BI35" s="22" t="e">
        <f aca="false">AND('Current Index'!G820,"AAAAADa3fzw=")</f>
        <v>#VALUE!</v>
      </c>
      <c r="BJ35" s="22" t="e">
        <f aca="false">AND('Current Index'!H820,"AAAAADa3fz0=")</f>
        <v>#VALUE!</v>
      </c>
      <c r="BK35" s="22" t="e">
        <f aca="false">AND('Current Index'!I820,"AAAAADa3fz4=")</f>
        <v>#VALUE!</v>
      </c>
      <c r="BL35" s="22" t="n">
        <f aca="false">IF('Current Index'!821:821,"AAAAADa3fz8=",0)</f>
        <v>0</v>
      </c>
      <c r="BM35" s="22" t="e">
        <f aca="false">AND('Current Index'!A821,"AAAAADa3f0A=")</f>
        <v>#VALUE!</v>
      </c>
      <c r="BN35" s="22" t="e">
        <f aca="false">AND('current index'!#ref!,"AAAAADa3f0E=")</f>
        <v>#VALUE!</v>
      </c>
      <c r="BO35" s="22" t="e">
        <f aca="false">AND('Current Index'!B821,"AAAAADa3f0I=")</f>
        <v>#VALUE!</v>
      </c>
      <c r="BP35" s="22" t="e">
        <f aca="false">AND('Current Index'!C821,"AAAAADa3f0M=")</f>
        <v>#VALUE!</v>
      </c>
      <c r="BQ35" s="22" t="e">
        <f aca="false">AND('Current Index'!D821,"AAAAADa3f0Q=")</f>
        <v>#VALUE!</v>
      </c>
      <c r="BR35" s="22" t="e">
        <f aca="false">AND('Current Index'!E821,"AAAAADa3f0U=")</f>
        <v>#VALUE!</v>
      </c>
      <c r="BS35" s="22" t="e">
        <f aca="false">AND('Current Index'!F821,"AAAAADa3f0Y=")</f>
        <v>#VALUE!</v>
      </c>
      <c r="BT35" s="22" t="e">
        <f aca="false">AND('Current Index'!G821,"AAAAADa3f0c=")</f>
        <v>#VALUE!</v>
      </c>
      <c r="BU35" s="22" t="e">
        <f aca="false">AND('Current Index'!H821,"AAAAADa3f0g=")</f>
        <v>#VALUE!</v>
      </c>
      <c r="BV35" s="22" t="e">
        <f aca="false">AND('Current Index'!I821,"AAAAADa3f0k=")</f>
        <v>#VALUE!</v>
      </c>
      <c r="BW35" s="22" t="n">
        <f aca="false">IF('Current Index'!822:822,"AAAAADa3f0o=",0)</f>
        <v>0</v>
      </c>
      <c r="BX35" s="22" t="e">
        <f aca="false">AND('Current Index'!A822,"AAAAADa3f0s=")</f>
        <v>#VALUE!</v>
      </c>
      <c r="BY35" s="22" t="e">
        <f aca="false">AND('current index'!#ref!,"AAAAADa3f0w=")</f>
        <v>#VALUE!</v>
      </c>
      <c r="BZ35" s="22" t="e">
        <f aca="false">AND('Current Index'!B822,"AAAAADa3f00=")</f>
        <v>#VALUE!</v>
      </c>
      <c r="CA35" s="22" t="e">
        <f aca="false">AND('Current Index'!C822,"AAAAADa3f04=")</f>
        <v>#VALUE!</v>
      </c>
      <c r="CB35" s="22" t="e">
        <f aca="false">AND('Current Index'!D822,"AAAAADa3f08=")</f>
        <v>#VALUE!</v>
      </c>
      <c r="CC35" s="22" t="e">
        <f aca="false">AND('Current Index'!E822,"AAAAADa3f1A=")</f>
        <v>#VALUE!</v>
      </c>
      <c r="CD35" s="22" t="e">
        <f aca="false">AND('Current Index'!F822,"AAAAADa3f1E=")</f>
        <v>#VALUE!</v>
      </c>
      <c r="CE35" s="22" t="e">
        <f aca="false">AND('Current Index'!G822,"AAAAADa3f1I=")</f>
        <v>#VALUE!</v>
      </c>
      <c r="CF35" s="22" t="e">
        <f aca="false">AND('Current Index'!H822,"AAAAADa3f1M=")</f>
        <v>#VALUE!</v>
      </c>
      <c r="CG35" s="22" t="e">
        <f aca="false">AND('Current Index'!I822,"AAAAADa3f1Q=")</f>
        <v>#VALUE!</v>
      </c>
      <c r="CH35" s="22" t="n">
        <f aca="false">IF('Current Index'!823:823,"AAAAADa3f1U=",0)</f>
        <v>0</v>
      </c>
      <c r="CI35" s="22" t="e">
        <f aca="false">AND('Current Index'!A823,"AAAAADa3f1Y=")</f>
        <v>#VALUE!</v>
      </c>
      <c r="CJ35" s="22" t="e">
        <f aca="false">AND('current index'!#ref!,"AAAAADa3f1c=")</f>
        <v>#VALUE!</v>
      </c>
      <c r="CK35" s="22" t="e">
        <f aca="false">AND('Current Index'!B823,"AAAAADa3f1g=")</f>
        <v>#VALUE!</v>
      </c>
      <c r="CL35" s="22" t="e">
        <f aca="false">AND('Current Index'!C823,"AAAAADa3f1k=")</f>
        <v>#VALUE!</v>
      </c>
      <c r="CM35" s="22" t="e">
        <f aca="false">AND('Current Index'!D823,"AAAAADa3f1o=")</f>
        <v>#VALUE!</v>
      </c>
      <c r="CN35" s="22" t="e">
        <f aca="false">AND('Current Index'!E823,"AAAAADa3f1s=")</f>
        <v>#VALUE!</v>
      </c>
      <c r="CO35" s="22" t="e">
        <f aca="false">AND('Current Index'!F823,"AAAAADa3f1w=")</f>
        <v>#VALUE!</v>
      </c>
      <c r="CP35" s="22" t="e">
        <f aca="false">AND('Current Index'!G823,"AAAAADa3f10=")</f>
        <v>#VALUE!</v>
      </c>
      <c r="CQ35" s="22" t="e">
        <f aca="false">AND('Current Index'!H823,"AAAAADa3f14=")</f>
        <v>#VALUE!</v>
      </c>
      <c r="CR35" s="22" t="e">
        <f aca="false">AND('Current Index'!I823,"AAAAADa3f18=")</f>
        <v>#VALUE!</v>
      </c>
      <c r="CS35" s="22" t="n">
        <f aca="false">IF('Current Index'!831:831,"AAAAADa3f2A=",0)</f>
        <v>0</v>
      </c>
      <c r="CT35" s="22" t="e">
        <f aca="false">AND('Current Index'!A831,"AAAAADa3f2E=")</f>
        <v>#VALUE!</v>
      </c>
      <c r="CU35" s="22" t="e">
        <f aca="false">AND('current index'!#ref!,"AAAAADa3f2I=")</f>
        <v>#VALUE!</v>
      </c>
      <c r="CV35" s="22" t="e">
        <f aca="false">AND('Current Index'!B831,"AAAAADa3f2M=")</f>
        <v>#VALUE!</v>
      </c>
      <c r="CW35" s="22" t="e">
        <f aca="false">AND('Current Index'!C831,"AAAAADa3f2Q=")</f>
        <v>#VALUE!</v>
      </c>
      <c r="CX35" s="22" t="e">
        <f aca="false">AND('Current Index'!D831,"AAAAADa3f2U=")</f>
        <v>#VALUE!</v>
      </c>
      <c r="CY35" s="22" t="e">
        <f aca="false">AND('Current Index'!E831,"AAAAADa3f2Y=")</f>
        <v>#VALUE!</v>
      </c>
      <c r="CZ35" s="22" t="e">
        <f aca="false">AND('Current Index'!F831,"AAAAADa3f2c=")</f>
        <v>#VALUE!</v>
      </c>
      <c r="DA35" s="22" t="e">
        <f aca="false">AND('Current Index'!G831,"AAAAADa3f2g=")</f>
        <v>#VALUE!</v>
      </c>
      <c r="DB35" s="22" t="e">
        <f aca="false">AND('Current Index'!H831,"AAAAADa3f2k=")</f>
        <v>#VALUE!</v>
      </c>
      <c r="DC35" s="22" t="e">
        <f aca="false">AND('Current Index'!I831,"AAAAADa3f2o=")</f>
        <v>#VALUE!</v>
      </c>
      <c r="DD35" s="22" t="e">
        <f aca="false">IF('current index'!#ref!,"AAAAADa3f2s=",0)</f>
        <v>#VALUE!</v>
      </c>
      <c r="DE35" s="22" t="e">
        <f aca="false">AND('current index'!#ref!,"AAAAADa3f2w=")</f>
        <v>#VALUE!</v>
      </c>
      <c r="DF35" s="22" t="e">
        <f aca="false">AND('current index'!#ref!,"AAAAADa3f20=")</f>
        <v>#VALUE!</v>
      </c>
      <c r="DG35" s="22" t="e">
        <f aca="false">AND('current index'!#ref!,"AAAAADa3f24=")</f>
        <v>#VALUE!</v>
      </c>
      <c r="DH35" s="22" t="e">
        <f aca="false">AND('current index'!#ref!,"AAAAADa3f28=")</f>
        <v>#VALUE!</v>
      </c>
      <c r="DI35" s="22" t="e">
        <f aca="false">AND('current index'!#ref!,"AAAAADa3f3A=")</f>
        <v>#VALUE!</v>
      </c>
      <c r="DJ35" s="22" t="e">
        <f aca="false">AND('current index'!#ref!,"AAAAADa3f3E=")</f>
        <v>#VALUE!</v>
      </c>
      <c r="DK35" s="22" t="e">
        <f aca="false">AND('current index'!#ref!,"AAAAADa3f3I=")</f>
        <v>#VALUE!</v>
      </c>
      <c r="DL35" s="22" t="e">
        <f aca="false">AND('current index'!#ref!,"AAAAADa3f3M=")</f>
        <v>#VALUE!</v>
      </c>
      <c r="DM35" s="22" t="e">
        <f aca="false">AND('current index'!#ref!,"AAAAADa3f3Q=")</f>
        <v>#VALUE!</v>
      </c>
      <c r="DN35" s="22" t="e">
        <f aca="false">AND('current index'!#ref!,"AAAAADa3f3U=")</f>
        <v>#VALUE!</v>
      </c>
      <c r="DO35" s="22" t="e">
        <f aca="false">IF(#REF!,"AAAAADa3f3Y=",0)</f>
        <v>#REF!</v>
      </c>
      <c r="DP35" s="22" t="e">
        <f aca="false">AND(#REF!,"AAAAADa3f3c=")</f>
        <v>#VALUE!</v>
      </c>
      <c r="DQ35" s="22" t="e">
        <f aca="false">AND('current index'!#ref!,"AAAAADa3f3g=")</f>
        <v>#VALUE!</v>
      </c>
      <c r="DR35" s="22" t="e">
        <f aca="false">AND(#REF!,"AAAAADa3f3k=")</f>
        <v>#VALUE!</v>
      </c>
      <c r="DS35" s="22" t="e">
        <f aca="false">AND(#REF!,"AAAAADa3f3o=")</f>
        <v>#VALUE!</v>
      </c>
      <c r="DT35" s="22" t="e">
        <f aca="false">AND(#REF!,"AAAAADa3f3s=")</f>
        <v>#VALUE!</v>
      </c>
      <c r="DU35" s="22" t="e">
        <f aca="false">AND(#REF!,"AAAAADa3f3w=")</f>
        <v>#VALUE!</v>
      </c>
      <c r="DV35" s="22" t="e">
        <f aca="false">AND(#REF!,"AAAAADa3f30=")</f>
        <v>#VALUE!</v>
      </c>
      <c r="DW35" s="22" t="e">
        <f aca="false">AND(#REF!,"AAAAADa3f34=")</f>
        <v>#VALUE!</v>
      </c>
      <c r="DX35" s="22" t="e">
        <f aca="false">AND(#REF!,"AAAAADa3f38=")</f>
        <v>#VALUE!</v>
      </c>
      <c r="DY35" s="22" t="e">
        <f aca="false">AND(#REF!,"AAAAADa3f4A=")</f>
        <v>#VALUE!</v>
      </c>
      <c r="DZ35" s="22" t="e">
        <f aca="false">IF('current index'!#ref!,"AAAAADa3f4E=",0)</f>
        <v>#VALUE!</v>
      </c>
      <c r="EA35" s="22" t="e">
        <f aca="false">AND('current index'!#ref!,"AAAAADa3f4I=")</f>
        <v>#VALUE!</v>
      </c>
      <c r="EB35" s="22" t="e">
        <f aca="false">AND('current index'!#ref!,"AAAAADa3f4M=")</f>
        <v>#VALUE!</v>
      </c>
      <c r="EC35" s="22" t="e">
        <f aca="false">AND('current index'!#ref!,"AAAAADa3f4Q=")</f>
        <v>#VALUE!</v>
      </c>
      <c r="ED35" s="22" t="e">
        <f aca="false">AND('current index'!#ref!,"AAAAADa3f4U=")</f>
        <v>#VALUE!</v>
      </c>
      <c r="EE35" s="22" t="e">
        <f aca="false">AND('current index'!#ref!,"AAAAADa3f4Y=")</f>
        <v>#VALUE!</v>
      </c>
      <c r="EF35" s="22" t="e">
        <f aca="false">AND('current index'!#ref!,"AAAAADa3f4c=")</f>
        <v>#VALUE!</v>
      </c>
      <c r="EG35" s="22" t="e">
        <f aca="false">AND('current index'!#ref!,"AAAAADa3f4g=")</f>
        <v>#VALUE!</v>
      </c>
      <c r="EH35" s="22" t="e">
        <f aca="false">AND('current index'!#ref!,"AAAAADa3f4k=")</f>
        <v>#VALUE!</v>
      </c>
      <c r="EI35" s="22" t="e">
        <f aca="false">AND('current index'!#ref!,"AAAAADa3f4o=")</f>
        <v>#VALUE!</v>
      </c>
      <c r="EJ35" s="22" t="e">
        <f aca="false">AND('current index'!#ref!,"AAAAADa3f4s=")</f>
        <v>#VALUE!</v>
      </c>
      <c r="EK35" s="22" t="n">
        <f aca="false">IF('Current Index'!832:832,"AAAAADa3f4w=",0)</f>
        <v>0</v>
      </c>
      <c r="EL35" s="22" t="e">
        <f aca="false">AND('Current Index'!A832,"AAAAADa3f40=")</f>
        <v>#VALUE!</v>
      </c>
      <c r="EM35" s="22" t="e">
        <f aca="false">AND('current index'!#ref!,"AAAAADa3f44=")</f>
        <v>#VALUE!</v>
      </c>
      <c r="EN35" s="22" t="e">
        <f aca="false">AND('Current Index'!B832,"AAAAADa3f48=")</f>
        <v>#VALUE!</v>
      </c>
      <c r="EO35" s="22" t="e">
        <f aca="false">AND('Current Index'!C832,"AAAAADa3f5A=")</f>
        <v>#VALUE!</v>
      </c>
      <c r="EP35" s="22" t="e">
        <f aca="false">AND('Current Index'!D832,"AAAAADa3f5E=")</f>
        <v>#VALUE!</v>
      </c>
      <c r="EQ35" s="22" t="e">
        <f aca="false">AND('Current Index'!E832,"AAAAADa3f5I=")</f>
        <v>#VALUE!</v>
      </c>
      <c r="ER35" s="22" t="e">
        <f aca="false">AND('Current Index'!F832,"AAAAADa3f5M=")</f>
        <v>#VALUE!</v>
      </c>
      <c r="ES35" s="22" t="e">
        <f aca="false">AND('Current Index'!G832,"AAAAADa3f5Q=")</f>
        <v>#VALUE!</v>
      </c>
      <c r="ET35" s="22" t="e">
        <f aca="false">AND('Current Index'!H832,"AAAAADa3f5U=")</f>
        <v>#VALUE!</v>
      </c>
      <c r="EU35" s="22" t="e">
        <f aca="false">AND('Current Index'!I832,"AAAAADa3f5Y=")</f>
        <v>#VALUE!</v>
      </c>
      <c r="EV35" s="22" t="n">
        <f aca="false">IF('Current Index'!833:833,"AAAAADa3f5c=",0)</f>
        <v>0</v>
      </c>
      <c r="EW35" s="22" t="e">
        <f aca="false">AND('Current Index'!A833,"AAAAADa3f5g=")</f>
        <v>#VALUE!</v>
      </c>
      <c r="EX35" s="22" t="e">
        <f aca="false">AND('current index'!#ref!,"AAAAADa3f5k=")</f>
        <v>#VALUE!</v>
      </c>
      <c r="EY35" s="22" t="e">
        <f aca="false">AND('Current Index'!B833,"AAAAADa3f5o=")</f>
        <v>#VALUE!</v>
      </c>
      <c r="EZ35" s="22" t="e">
        <f aca="false">AND('Current Index'!C833,"AAAAADa3f5s=")</f>
        <v>#VALUE!</v>
      </c>
      <c r="FA35" s="22" t="e">
        <f aca="false">AND('Current Index'!D833,"AAAAADa3f5w=")</f>
        <v>#VALUE!</v>
      </c>
      <c r="FB35" s="22" t="e">
        <f aca="false">AND('Current Index'!E833,"AAAAADa3f50=")</f>
        <v>#VALUE!</v>
      </c>
      <c r="FC35" s="22" t="e">
        <f aca="false">AND('Current Index'!F833,"AAAAADa3f54=")</f>
        <v>#VALUE!</v>
      </c>
      <c r="FD35" s="22" t="e">
        <f aca="false">AND('Current Index'!G833,"AAAAADa3f58=")</f>
        <v>#VALUE!</v>
      </c>
      <c r="FE35" s="22" t="e">
        <f aca="false">AND('Current Index'!H833,"AAAAADa3f6A=")</f>
        <v>#VALUE!</v>
      </c>
      <c r="FF35" s="22" t="e">
        <f aca="false">AND('Current Index'!I833,"AAAAADa3f6E=")</f>
        <v>#VALUE!</v>
      </c>
      <c r="FG35" s="22" t="n">
        <f aca="false">IF('Current Index'!834:834,"AAAAADa3f6I=",0)</f>
        <v>0</v>
      </c>
      <c r="FH35" s="22" t="e">
        <f aca="false">AND('Current Index'!A834,"AAAAADa3f6M=")</f>
        <v>#VALUE!</v>
      </c>
      <c r="FI35" s="22" t="e">
        <f aca="false">AND('current index'!#ref!,"AAAAADa3f6Q=")</f>
        <v>#VALUE!</v>
      </c>
      <c r="FJ35" s="22" t="e">
        <f aca="false">AND('Current Index'!B834,"AAAAADa3f6U=")</f>
        <v>#VALUE!</v>
      </c>
      <c r="FK35" s="22" t="e">
        <f aca="false">AND('Current Index'!C834,"AAAAADa3f6Y=")</f>
        <v>#VALUE!</v>
      </c>
      <c r="FL35" s="22" t="e">
        <f aca="false">AND('Current Index'!D834,"AAAAADa3f6c=")</f>
        <v>#VALUE!</v>
      </c>
      <c r="FM35" s="22" t="e">
        <f aca="false">AND('Current Index'!E834,"AAAAADa3f6g=")</f>
        <v>#VALUE!</v>
      </c>
      <c r="FN35" s="22" t="e">
        <f aca="false">AND('Current Index'!F834,"AAAAADa3f6k=")</f>
        <v>#VALUE!</v>
      </c>
      <c r="FO35" s="22" t="e">
        <f aca="false">AND('Current Index'!G834,"AAAAADa3f6o=")</f>
        <v>#VALUE!</v>
      </c>
      <c r="FP35" s="22" t="e">
        <f aca="false">AND('Current Index'!H834,"AAAAADa3f6s=")</f>
        <v>#VALUE!</v>
      </c>
      <c r="FQ35" s="22" t="e">
        <f aca="false">AND('Current Index'!I834,"AAAAADa3f6w=")</f>
        <v>#VALUE!</v>
      </c>
      <c r="FR35" s="22" t="e">
        <f aca="false">IF('current index'!#ref!,"AAAAADa3f60=",0)</f>
        <v>#VALUE!</v>
      </c>
      <c r="FS35" s="22" t="e">
        <f aca="false">AND('current index'!#ref!,"AAAAADa3f64=")</f>
        <v>#VALUE!</v>
      </c>
      <c r="FT35" s="22" t="e">
        <f aca="false">AND('current index'!#ref!,"AAAAADa3f68=")</f>
        <v>#VALUE!</v>
      </c>
      <c r="FU35" s="22" t="e">
        <f aca="false">AND('current index'!#ref!,"AAAAADa3f7A=")</f>
        <v>#VALUE!</v>
      </c>
      <c r="FV35" s="22" t="e">
        <f aca="false">AND('current index'!#ref!,"AAAAADa3f7E=")</f>
        <v>#VALUE!</v>
      </c>
      <c r="FW35" s="22" t="e">
        <f aca="false">AND('current index'!#ref!,"AAAAADa3f7I=")</f>
        <v>#VALUE!</v>
      </c>
      <c r="FX35" s="22" t="e">
        <f aca="false">AND('current index'!#ref!,"AAAAADa3f7M=")</f>
        <v>#VALUE!</v>
      </c>
      <c r="FY35" s="22" t="e">
        <f aca="false">AND('current index'!#ref!,"AAAAADa3f7Q=")</f>
        <v>#VALUE!</v>
      </c>
      <c r="FZ35" s="22" t="e">
        <f aca="false">AND('current index'!#ref!,"AAAAADa3f7U=")</f>
        <v>#VALUE!</v>
      </c>
      <c r="GA35" s="22" t="e">
        <f aca="false">AND('current index'!#ref!,"AAAAADa3f7Y=")</f>
        <v>#VALUE!</v>
      </c>
      <c r="GB35" s="22" t="e">
        <f aca="false">AND('current index'!#ref!,"AAAAADa3f7c=")</f>
        <v>#VALUE!</v>
      </c>
      <c r="GC35" s="22" t="n">
        <f aca="false">IF('Current Index'!835:835,"AAAAADa3f7g=",0)</f>
        <v>0</v>
      </c>
      <c r="GD35" s="22" t="e">
        <f aca="false">AND('Current Index'!A835,"AAAAADa3f7k=")</f>
        <v>#VALUE!</v>
      </c>
      <c r="GE35" s="22" t="e">
        <f aca="false">AND('current index'!#ref!,"AAAAADa3f7o=")</f>
        <v>#VALUE!</v>
      </c>
      <c r="GF35" s="22" t="e">
        <f aca="false">AND('Current Index'!B835,"AAAAADa3f7s=")</f>
        <v>#VALUE!</v>
      </c>
      <c r="GG35" s="22" t="e">
        <f aca="false">AND('Current Index'!C835,"AAAAADa3f7w=")</f>
        <v>#VALUE!</v>
      </c>
      <c r="GH35" s="22" t="e">
        <f aca="false">AND('Current Index'!D835,"AAAAADa3f70=")</f>
        <v>#VALUE!</v>
      </c>
      <c r="GI35" s="22" t="e">
        <f aca="false">AND('Current Index'!E835,"AAAAADa3f74=")</f>
        <v>#VALUE!</v>
      </c>
      <c r="GJ35" s="22" t="e">
        <f aca="false">AND('Current Index'!F835,"AAAAADa3f78=")</f>
        <v>#VALUE!</v>
      </c>
      <c r="GK35" s="22" t="e">
        <f aca="false">AND('Current Index'!G835,"AAAAADa3f8A=")</f>
        <v>#VALUE!</v>
      </c>
      <c r="GL35" s="22" t="e">
        <f aca="false">AND('Current Index'!H835,"AAAAADa3f8E=")</f>
        <v>#VALUE!</v>
      </c>
      <c r="GM35" s="22" t="e">
        <f aca="false">AND('Current Index'!I835,"AAAAADa3f8I=")</f>
        <v>#VALUE!</v>
      </c>
      <c r="GN35" s="22" t="e">
        <f aca="false">IF('current index'!#ref!,"AAAAADa3f8M=",0)</f>
        <v>#VALUE!</v>
      </c>
      <c r="GO35" s="22" t="e">
        <f aca="false">AND('current index'!#ref!,"AAAAADa3f8Q=")</f>
        <v>#VALUE!</v>
      </c>
      <c r="GP35" s="22" t="e">
        <f aca="false">AND('current index'!#ref!,"AAAAADa3f8U=")</f>
        <v>#VALUE!</v>
      </c>
      <c r="GQ35" s="22" t="e">
        <f aca="false">AND('current index'!#ref!,"AAAAADa3f8Y=")</f>
        <v>#VALUE!</v>
      </c>
      <c r="GR35" s="22" t="e">
        <f aca="false">AND('current index'!#ref!,"AAAAADa3f8c=")</f>
        <v>#VALUE!</v>
      </c>
      <c r="GS35" s="22" t="e">
        <f aca="false">AND('current index'!#ref!,"AAAAADa3f8g=")</f>
        <v>#VALUE!</v>
      </c>
      <c r="GT35" s="22" t="e">
        <f aca="false">AND('current index'!#ref!,"AAAAADa3f8k=")</f>
        <v>#VALUE!</v>
      </c>
      <c r="GU35" s="22" t="e">
        <f aca="false">AND('current index'!#ref!,"AAAAADa3f8o=")</f>
        <v>#VALUE!</v>
      </c>
      <c r="GV35" s="22" t="e">
        <f aca="false">AND('current index'!#ref!,"AAAAADa3f8s=")</f>
        <v>#VALUE!</v>
      </c>
      <c r="GW35" s="22" t="e">
        <f aca="false">AND('current index'!#ref!,"AAAAADa3f8w=")</f>
        <v>#VALUE!</v>
      </c>
      <c r="GX35" s="22" t="e">
        <f aca="false">AND('current index'!#ref!,"AAAAADa3f80=")</f>
        <v>#VALUE!</v>
      </c>
      <c r="GY35" s="22" t="n">
        <f aca="false">IF('Current Index'!836:836,"AAAAADa3f84=",0)</f>
        <v>0</v>
      </c>
      <c r="GZ35" s="22" t="e">
        <f aca="false">AND('Current Index'!A836,"AAAAADa3f88=")</f>
        <v>#VALUE!</v>
      </c>
      <c r="HA35" s="22" t="e">
        <f aca="false">AND('current index'!#ref!,"AAAAADa3f9A=")</f>
        <v>#VALUE!</v>
      </c>
      <c r="HB35" s="22" t="e">
        <f aca="false">AND('Current Index'!B836,"AAAAADa3f9E=")</f>
        <v>#VALUE!</v>
      </c>
      <c r="HC35" s="22" t="e">
        <f aca="false">AND('Current Index'!C836,"AAAAADa3f9I=")</f>
        <v>#VALUE!</v>
      </c>
      <c r="HD35" s="22" t="e">
        <f aca="false">AND('Current Index'!D836,"AAAAADa3f9M=")</f>
        <v>#VALUE!</v>
      </c>
      <c r="HE35" s="22" t="e">
        <f aca="false">AND('Current Index'!E836,"AAAAADa3f9Q=")</f>
        <v>#VALUE!</v>
      </c>
      <c r="HF35" s="22" t="e">
        <f aca="false">AND('Current Index'!F836,"AAAAADa3f9U=")</f>
        <v>#VALUE!</v>
      </c>
      <c r="HG35" s="22" t="e">
        <f aca="false">AND('Current Index'!G836,"AAAAADa3f9Y=")</f>
        <v>#VALUE!</v>
      </c>
      <c r="HH35" s="22" t="e">
        <f aca="false">AND('Current Index'!H836,"AAAAADa3f9c=")</f>
        <v>#VALUE!</v>
      </c>
      <c r="HI35" s="22" t="e">
        <f aca="false">AND('Current Index'!I836,"AAAAADa3f9g=")</f>
        <v>#VALUE!</v>
      </c>
      <c r="HJ35" s="22" t="n">
        <f aca="false">IF('Current Index'!837:837,"AAAAADa3f9k=",0)</f>
        <v>0</v>
      </c>
      <c r="HK35" s="22" t="e">
        <f aca="false">AND('Current Index'!A837,"AAAAADa3f9o=")</f>
        <v>#VALUE!</v>
      </c>
      <c r="HL35" s="22" t="e">
        <f aca="false">AND('current index'!#ref!,"AAAAADa3f9s=")</f>
        <v>#VALUE!</v>
      </c>
      <c r="HM35" s="22" t="e">
        <f aca="false">AND('Current Index'!B837,"AAAAADa3f9w=")</f>
        <v>#VALUE!</v>
      </c>
      <c r="HN35" s="22" t="e">
        <f aca="false">AND('Current Index'!C837,"AAAAADa3f90=")</f>
        <v>#VALUE!</v>
      </c>
      <c r="HO35" s="22" t="e">
        <f aca="false">AND('Current Index'!D837,"AAAAADa3f94=")</f>
        <v>#VALUE!</v>
      </c>
      <c r="HP35" s="22" t="e">
        <f aca="false">AND('Current Index'!E837,"AAAAADa3f98=")</f>
        <v>#VALUE!</v>
      </c>
      <c r="HQ35" s="22" t="e">
        <f aca="false">AND('Current Index'!F837,"AAAAADa3f+A=")</f>
        <v>#VALUE!</v>
      </c>
      <c r="HR35" s="22" t="e">
        <f aca="false">AND('Current Index'!G837,"AAAAADa3f+E=")</f>
        <v>#VALUE!</v>
      </c>
      <c r="HS35" s="22" t="e">
        <f aca="false">AND('Current Index'!H837,"AAAAADa3f+I=")</f>
        <v>#VALUE!</v>
      </c>
      <c r="HT35" s="22" t="e">
        <f aca="false">AND('Current Index'!I837,"AAAAADa3f+M=")</f>
        <v>#VALUE!</v>
      </c>
      <c r="HU35" s="22" t="n">
        <f aca="false">IF('Current Index'!838:838,"AAAAADa3f+Q=",0)</f>
        <v>0</v>
      </c>
      <c r="HV35" s="22" t="e">
        <f aca="false">AND('Current Index'!A838,"AAAAADa3f+U=")</f>
        <v>#VALUE!</v>
      </c>
      <c r="HW35" s="22" t="e">
        <f aca="false">AND('current index'!#ref!,"AAAAADa3f+Y=")</f>
        <v>#VALUE!</v>
      </c>
      <c r="HX35" s="22" t="e">
        <f aca="false">AND('Current Index'!B838,"AAAAADa3f+c=")</f>
        <v>#VALUE!</v>
      </c>
      <c r="HY35" s="22" t="e">
        <f aca="false">AND('Current Index'!C838,"AAAAADa3f+g=")</f>
        <v>#VALUE!</v>
      </c>
      <c r="HZ35" s="22" t="e">
        <f aca="false">AND('Current Index'!D838,"AAAAADa3f+k=")</f>
        <v>#VALUE!</v>
      </c>
      <c r="IA35" s="22" t="e">
        <f aca="false">AND('Current Index'!E838,"AAAAADa3f+o=")</f>
        <v>#VALUE!</v>
      </c>
      <c r="IB35" s="22" t="e">
        <f aca="false">AND('Current Index'!F838,"AAAAADa3f+s=")</f>
        <v>#VALUE!</v>
      </c>
      <c r="IC35" s="22" t="e">
        <f aca="false">AND('Current Index'!G838,"AAAAADa3f+w=")</f>
        <v>#VALUE!</v>
      </c>
      <c r="ID35" s="22" t="e">
        <f aca="false">AND('Current Index'!H838,"AAAAADa3f+0=")</f>
        <v>#VALUE!</v>
      </c>
      <c r="IE35" s="22" t="e">
        <f aca="false">AND('Current Index'!I838,"AAAAADa3f+4=")</f>
        <v>#VALUE!</v>
      </c>
      <c r="IF35" s="22" t="n">
        <f aca="false">IF('Current Index'!839:839,"AAAAADa3f+8=",0)</f>
        <v>0</v>
      </c>
      <c r="IG35" s="22" t="e">
        <f aca="false">AND('Current Index'!A839,"AAAAADa3f/A=")</f>
        <v>#VALUE!</v>
      </c>
      <c r="IH35" s="22" t="e">
        <f aca="false">AND('current index'!#ref!,"AAAAADa3f/E=")</f>
        <v>#VALUE!</v>
      </c>
      <c r="II35" s="22" t="e">
        <f aca="false">AND('Current Index'!B839,"AAAAADa3f/I=")</f>
        <v>#VALUE!</v>
      </c>
      <c r="IJ35" s="22" t="e">
        <f aca="false">AND('Current Index'!C839,"AAAAADa3f/M=")</f>
        <v>#VALUE!</v>
      </c>
      <c r="IK35" s="22" t="e">
        <f aca="false">AND('Current Index'!D839,"AAAAADa3f/Q=")</f>
        <v>#VALUE!</v>
      </c>
      <c r="IL35" s="22" t="e">
        <f aca="false">AND('Current Index'!E839,"AAAAADa3f/U=")</f>
        <v>#VALUE!</v>
      </c>
      <c r="IM35" s="22" t="e">
        <f aca="false">AND('Current Index'!F839,"AAAAADa3f/Y=")</f>
        <v>#VALUE!</v>
      </c>
      <c r="IN35" s="22" t="e">
        <f aca="false">AND('Current Index'!G839,"AAAAADa3f/c=")</f>
        <v>#VALUE!</v>
      </c>
      <c r="IO35" s="22" t="e">
        <f aca="false">AND('Current Index'!H839,"AAAAADa3f/g=")</f>
        <v>#VALUE!</v>
      </c>
      <c r="IP35" s="22" t="e">
        <f aca="false">AND('Current Index'!I839,"AAAAADa3f/k=")</f>
        <v>#VALUE!</v>
      </c>
      <c r="IQ35" s="22" t="n">
        <f aca="false">IF('Current Index'!840:840,"AAAAADa3f/o=",0)</f>
        <v>0</v>
      </c>
      <c r="IR35" s="22" t="e">
        <f aca="false">AND('Current Index'!A840,"AAAAADa3f/s=")</f>
        <v>#VALUE!</v>
      </c>
      <c r="IS35" s="22" t="e">
        <f aca="false">AND('current index'!#ref!,"AAAAADa3f/w=")</f>
        <v>#VALUE!</v>
      </c>
      <c r="IT35" s="22" t="e">
        <f aca="false">AND('Current Index'!B840,"AAAAADa3f/0=")</f>
        <v>#VALUE!</v>
      </c>
      <c r="IU35" s="22" t="e">
        <f aca="false">AND('Current Index'!C840,"AAAAADa3f/4=")</f>
        <v>#VALUE!</v>
      </c>
      <c r="IV35" s="22" t="e">
        <f aca="false">AND('Current Index'!D840,"AAAAADa3f/8=")</f>
        <v>#VALUE!</v>
      </c>
    </row>
    <row r="36" customFormat="false" ht="12.75" hidden="false" customHeight="false" outlineLevel="0" collapsed="false">
      <c r="A36" s="22" t="e">
        <f aca="false">AND('Current Index'!E840,"AAAAABxv/QA=")</f>
        <v>#VALUE!</v>
      </c>
      <c r="B36" s="22" t="e">
        <f aca="false">AND('Current Index'!F840,"AAAAABxv/QE=")</f>
        <v>#VALUE!</v>
      </c>
      <c r="C36" s="22" t="e">
        <f aca="false">AND('Current Index'!G840,"AAAAABxv/QI=")</f>
        <v>#VALUE!</v>
      </c>
      <c r="D36" s="22" t="e">
        <f aca="false">AND('Current Index'!H840,"AAAAABxv/QM=")</f>
        <v>#VALUE!</v>
      </c>
      <c r="E36" s="22" t="e">
        <f aca="false">AND('Current Index'!I840,"AAAAABxv/QQ=")</f>
        <v>#VALUE!</v>
      </c>
      <c r="F36" s="22" t="str">
        <f aca="false">IF('Current Index'!841:841,"AAAAABxv/QU=",0)</f>
        <v>AAAAABxv/QU=</v>
      </c>
      <c r="G36" s="22" t="e">
        <f aca="false">AND('Current Index'!A841,"AAAAABxv/QY=")</f>
        <v>#VALUE!</v>
      </c>
      <c r="H36" s="22" t="e">
        <f aca="false">AND('current index'!#ref!,"AAAAABxv/Qc=")</f>
        <v>#VALUE!</v>
      </c>
      <c r="I36" s="22" t="e">
        <f aca="false">AND('Current Index'!B841,"AAAAABxv/Qg=")</f>
        <v>#VALUE!</v>
      </c>
      <c r="J36" s="22" t="e">
        <f aca="false">AND('Current Index'!C841,"AAAAABxv/Qk=")</f>
        <v>#VALUE!</v>
      </c>
      <c r="K36" s="22" t="e">
        <f aca="false">AND('Current Index'!D841,"AAAAABxv/Qo=")</f>
        <v>#VALUE!</v>
      </c>
      <c r="L36" s="22" t="e">
        <f aca="false">AND('Current Index'!E841,"AAAAABxv/Qs=")</f>
        <v>#VALUE!</v>
      </c>
      <c r="M36" s="22" t="e">
        <f aca="false">AND('Current Index'!F841,"AAAAABxv/Qw=")</f>
        <v>#VALUE!</v>
      </c>
      <c r="N36" s="22" t="e">
        <f aca="false">AND('Current Index'!G841,"AAAAABxv/Q0=")</f>
        <v>#VALUE!</v>
      </c>
      <c r="O36" s="22" t="e">
        <f aca="false">AND('Current Index'!H841,"AAAAABxv/Q4=")</f>
        <v>#VALUE!</v>
      </c>
      <c r="P36" s="22" t="e">
        <f aca="false">AND('Current Index'!I841,"AAAAABxv/Q8=")</f>
        <v>#VALUE!</v>
      </c>
      <c r="Q36" s="22" t="e">
        <f aca="false">IF(#REF!,"AAAAABxv/RA=",0)</f>
        <v>#REF!</v>
      </c>
      <c r="R36" s="22" t="e">
        <f aca="false">AND(#REF!,"AAAAABxv/RE=")</f>
        <v>#VALUE!</v>
      </c>
      <c r="S36" s="22" t="e">
        <f aca="false">AND('current index'!#ref!,"AAAAABxv/RI=")</f>
        <v>#VALUE!</v>
      </c>
      <c r="T36" s="22" t="e">
        <f aca="false">AND(#REF!,"AAAAABxv/RM=")</f>
        <v>#VALUE!</v>
      </c>
      <c r="U36" s="22" t="e">
        <f aca="false">AND(#REF!,"AAAAABxv/RQ=")</f>
        <v>#VALUE!</v>
      </c>
      <c r="V36" s="22" t="e">
        <f aca="false">AND(#REF!,"AAAAABxv/RU=")</f>
        <v>#VALUE!</v>
      </c>
      <c r="W36" s="22" t="e">
        <f aca="false">AND(#REF!,"AAAAABxv/RY=")</f>
        <v>#VALUE!</v>
      </c>
      <c r="X36" s="22" t="e">
        <f aca="false">AND(#REF!,"AAAAABxv/Rc=")</f>
        <v>#VALUE!</v>
      </c>
      <c r="Y36" s="22" t="e">
        <f aca="false">AND(#REF!,"AAAAABxv/Rg=")</f>
        <v>#VALUE!</v>
      </c>
      <c r="Z36" s="22" t="e">
        <f aca="false">AND(#REF!,"AAAAABxv/Rk=")</f>
        <v>#VALUE!</v>
      </c>
      <c r="AA36" s="22" t="e">
        <f aca="false">AND(#REF!,"AAAAABxv/Ro=")</f>
        <v>#VALUE!</v>
      </c>
      <c r="AB36" s="22" t="n">
        <f aca="false">IF('Current Index'!842:842,"AAAAABxv/Rs=",0)</f>
        <v>0</v>
      </c>
      <c r="AC36" s="22" t="e">
        <f aca="false">AND('Current Index'!A842,"AAAAABxv/Rw=")</f>
        <v>#VALUE!</v>
      </c>
      <c r="AD36" s="22" t="e">
        <f aca="false">AND('current index'!#ref!,"AAAAABxv/R0=")</f>
        <v>#VALUE!</v>
      </c>
      <c r="AE36" s="22" t="e">
        <f aca="false">AND('Current Index'!B842,"AAAAABxv/R4=")</f>
        <v>#VALUE!</v>
      </c>
      <c r="AF36" s="22" t="e">
        <f aca="false">AND('Current Index'!C842,"AAAAABxv/R8=")</f>
        <v>#VALUE!</v>
      </c>
      <c r="AG36" s="22" t="e">
        <f aca="false">AND('Current Index'!D842,"AAAAABxv/SA=")</f>
        <v>#VALUE!</v>
      </c>
      <c r="AH36" s="22" t="e">
        <f aca="false">AND('Current Index'!E842,"AAAAABxv/SE=")</f>
        <v>#VALUE!</v>
      </c>
      <c r="AI36" s="22" t="e">
        <f aca="false">AND('Current Index'!F842,"AAAAABxv/SI=")</f>
        <v>#VALUE!</v>
      </c>
      <c r="AJ36" s="22" t="e">
        <f aca="false">AND('Current Index'!G842,"AAAAABxv/SM=")</f>
        <v>#VALUE!</v>
      </c>
      <c r="AK36" s="22" t="e">
        <f aca="false">AND('Current Index'!H842,"AAAAABxv/SQ=")</f>
        <v>#VALUE!</v>
      </c>
      <c r="AL36" s="22" t="e">
        <f aca="false">AND('Current Index'!I842,"AAAAABxv/SU=")</f>
        <v>#VALUE!</v>
      </c>
      <c r="AM36" s="22" t="n">
        <f aca="false">IF('Current Index'!843:843,"AAAAABxv/SY=",0)</f>
        <v>0</v>
      </c>
      <c r="AN36" s="22" t="e">
        <f aca="false">AND('Current Index'!A843,"AAAAABxv/Sc=")</f>
        <v>#VALUE!</v>
      </c>
      <c r="AO36" s="22" t="e">
        <f aca="false">AND('current index'!#ref!,"AAAAABxv/Sg=")</f>
        <v>#VALUE!</v>
      </c>
      <c r="AP36" s="22" t="e">
        <f aca="false">AND('Current Index'!B843,"AAAAABxv/Sk=")</f>
        <v>#VALUE!</v>
      </c>
      <c r="AQ36" s="22" t="e">
        <f aca="false">AND('Current Index'!C843,"AAAAABxv/So=")</f>
        <v>#VALUE!</v>
      </c>
      <c r="AR36" s="22" t="e">
        <f aca="false">AND('Current Index'!D843,"AAAAABxv/Ss=")</f>
        <v>#VALUE!</v>
      </c>
      <c r="AS36" s="22" t="e">
        <f aca="false">AND('Current Index'!E843,"AAAAABxv/Sw=")</f>
        <v>#VALUE!</v>
      </c>
      <c r="AT36" s="22" t="e">
        <f aca="false">AND('Current Index'!F843,"AAAAABxv/S0=")</f>
        <v>#VALUE!</v>
      </c>
      <c r="AU36" s="22" t="e">
        <f aca="false">AND('Current Index'!G843,"AAAAABxv/S4=")</f>
        <v>#VALUE!</v>
      </c>
      <c r="AV36" s="22" t="e">
        <f aca="false">AND('Current Index'!H843,"AAAAABxv/S8=")</f>
        <v>#VALUE!</v>
      </c>
      <c r="AW36" s="22" t="e">
        <f aca="false">AND('Current Index'!I843,"AAAAABxv/TA=")</f>
        <v>#VALUE!</v>
      </c>
      <c r="AX36" s="22" t="n">
        <f aca="false">IF('Current Index'!844:844,"AAAAABxv/TE=",0)</f>
        <v>0</v>
      </c>
      <c r="AY36" s="22" t="e">
        <f aca="false">AND('Current Index'!A844,"AAAAABxv/TI=")</f>
        <v>#VALUE!</v>
      </c>
      <c r="AZ36" s="22" t="e">
        <f aca="false">AND('current index'!#ref!,"AAAAABxv/TM=")</f>
        <v>#VALUE!</v>
      </c>
      <c r="BA36" s="22" t="e">
        <f aca="false">AND('Current Index'!B844,"AAAAABxv/TQ=")</f>
        <v>#VALUE!</v>
      </c>
      <c r="BB36" s="22" t="e">
        <f aca="false">AND('Current Index'!C844,"AAAAABxv/TU=")</f>
        <v>#VALUE!</v>
      </c>
      <c r="BC36" s="22" t="e">
        <f aca="false">AND('Current Index'!D844,"AAAAABxv/TY=")</f>
        <v>#VALUE!</v>
      </c>
      <c r="BD36" s="22" t="e">
        <f aca="false">AND('Current Index'!E844,"AAAAABxv/Tc=")</f>
        <v>#VALUE!</v>
      </c>
      <c r="BE36" s="22" t="e">
        <f aca="false">AND('Current Index'!F844,"AAAAABxv/Tg=")</f>
        <v>#VALUE!</v>
      </c>
      <c r="BF36" s="22" t="e">
        <f aca="false">AND('Current Index'!G844,"AAAAABxv/Tk=")</f>
        <v>#VALUE!</v>
      </c>
      <c r="BG36" s="22" t="e">
        <f aca="false">AND('Current Index'!H844,"AAAAABxv/To=")</f>
        <v>#VALUE!</v>
      </c>
      <c r="BH36" s="22" t="e">
        <f aca="false">AND('Current Index'!I844,"AAAAABxv/Ts=")</f>
        <v>#VALUE!</v>
      </c>
      <c r="BI36" s="22" t="e">
        <f aca="false">IF(#REF!,"AAAAABxv/Tw=",0)</f>
        <v>#REF!</v>
      </c>
      <c r="BJ36" s="22" t="e">
        <f aca="false">AND(#REF!,"AAAAABxv/T0=")</f>
        <v>#VALUE!</v>
      </c>
      <c r="BK36" s="22" t="e">
        <f aca="false">AND('current index'!#ref!,"AAAAABxv/T4=")</f>
        <v>#VALUE!</v>
      </c>
      <c r="BL36" s="22" t="e">
        <f aca="false">AND(#REF!,"AAAAABxv/T8=")</f>
        <v>#VALUE!</v>
      </c>
      <c r="BM36" s="22" t="e">
        <f aca="false">AND(#REF!,"AAAAABxv/UA=")</f>
        <v>#VALUE!</v>
      </c>
      <c r="BN36" s="22" t="e">
        <f aca="false">AND(#REF!,"AAAAABxv/UE=")</f>
        <v>#VALUE!</v>
      </c>
      <c r="BO36" s="22" t="e">
        <f aca="false">AND(#REF!,"AAAAABxv/UI=")</f>
        <v>#VALUE!</v>
      </c>
      <c r="BP36" s="22" t="e">
        <f aca="false">AND(#REF!,"AAAAABxv/UM=")</f>
        <v>#VALUE!</v>
      </c>
      <c r="BQ36" s="22" t="e">
        <f aca="false">AND(#REF!,"AAAAABxv/UQ=")</f>
        <v>#VALUE!</v>
      </c>
      <c r="BR36" s="22" t="e">
        <f aca="false">AND(#REF!,"AAAAABxv/UU=")</f>
        <v>#VALUE!</v>
      </c>
      <c r="BS36" s="22" t="e">
        <f aca="false">AND(#REF!,"AAAAABxv/UY=")</f>
        <v>#VALUE!</v>
      </c>
      <c r="BT36" s="22" t="n">
        <f aca="false">IF('Current Index'!845:845,"AAAAABxv/Uc=",0)</f>
        <v>0</v>
      </c>
      <c r="BU36" s="22" t="e">
        <f aca="false">AND('Current Index'!A845,"AAAAABxv/Ug=")</f>
        <v>#VALUE!</v>
      </c>
      <c r="BV36" s="22" t="e">
        <f aca="false">AND('current index'!#ref!,"AAAAABxv/Uk=")</f>
        <v>#VALUE!</v>
      </c>
      <c r="BW36" s="22" t="e">
        <f aca="false">AND('Current Index'!B845,"AAAAABxv/Uo=")</f>
        <v>#VALUE!</v>
      </c>
      <c r="BX36" s="22" t="e">
        <f aca="false">AND('Current Index'!C845,"AAAAABxv/Us=")</f>
        <v>#VALUE!</v>
      </c>
      <c r="BY36" s="22" t="e">
        <f aca="false">AND('Current Index'!D845,"AAAAABxv/Uw=")</f>
        <v>#VALUE!</v>
      </c>
      <c r="BZ36" s="22" t="e">
        <f aca="false">AND('Current Index'!E845,"AAAAABxv/U0=")</f>
        <v>#VALUE!</v>
      </c>
      <c r="CA36" s="22" t="e">
        <f aca="false">AND('Current Index'!F845,"AAAAABxv/U4=")</f>
        <v>#VALUE!</v>
      </c>
      <c r="CB36" s="22" t="e">
        <f aca="false">AND('Current Index'!G845,"AAAAABxv/U8=")</f>
        <v>#VALUE!</v>
      </c>
      <c r="CC36" s="22" t="e">
        <f aca="false">AND('Current Index'!H845,"AAAAABxv/VA=")</f>
        <v>#VALUE!</v>
      </c>
      <c r="CD36" s="22" t="e">
        <f aca="false">AND('Current Index'!I845,"AAAAABxv/VE=")</f>
        <v>#VALUE!</v>
      </c>
      <c r="CE36" s="22" t="e">
        <f aca="false">IF('current index'!#ref!,"AAAAABxv/VI=",0)</f>
        <v>#VALUE!</v>
      </c>
      <c r="CF36" s="22" t="e">
        <f aca="false">AND('current index'!#ref!,"AAAAABxv/VM=")</f>
        <v>#VALUE!</v>
      </c>
      <c r="CG36" s="22" t="e">
        <f aca="false">AND('current index'!#ref!,"AAAAABxv/VQ=")</f>
        <v>#VALUE!</v>
      </c>
      <c r="CH36" s="22" t="e">
        <f aca="false">AND('current index'!#ref!,"AAAAABxv/VU=")</f>
        <v>#VALUE!</v>
      </c>
      <c r="CI36" s="22" t="e">
        <f aca="false">AND('current index'!#ref!,"AAAAABxv/VY=")</f>
        <v>#VALUE!</v>
      </c>
      <c r="CJ36" s="22" t="e">
        <f aca="false">AND('current index'!#ref!,"AAAAABxv/Vc=")</f>
        <v>#VALUE!</v>
      </c>
      <c r="CK36" s="22" t="e">
        <f aca="false">AND('current index'!#ref!,"AAAAABxv/Vg=")</f>
        <v>#VALUE!</v>
      </c>
      <c r="CL36" s="22" t="e">
        <f aca="false">AND('current index'!#ref!,"AAAAABxv/Vk=")</f>
        <v>#VALUE!</v>
      </c>
      <c r="CM36" s="22" t="e">
        <f aca="false">AND('current index'!#ref!,"AAAAABxv/Vo=")</f>
        <v>#VALUE!</v>
      </c>
      <c r="CN36" s="22" t="e">
        <f aca="false">AND('current index'!#ref!,"AAAAABxv/Vs=")</f>
        <v>#VALUE!</v>
      </c>
      <c r="CO36" s="22" t="e">
        <f aca="false">AND('current index'!#ref!,"AAAAABxv/Vw=")</f>
        <v>#VALUE!</v>
      </c>
      <c r="CP36" s="22" t="n">
        <f aca="false">IF('Current Index'!846:846,"AAAAABxv/V0=",0)</f>
        <v>0</v>
      </c>
      <c r="CQ36" s="22" t="e">
        <f aca="false">AND('Current Index'!A846,"AAAAABxv/V4=")</f>
        <v>#VALUE!</v>
      </c>
      <c r="CR36" s="22" t="e">
        <f aca="false">AND('current index'!#ref!,"AAAAABxv/V8=")</f>
        <v>#VALUE!</v>
      </c>
      <c r="CS36" s="22" t="e">
        <f aca="false">AND('Current Index'!B846,"AAAAABxv/WA=")</f>
        <v>#VALUE!</v>
      </c>
      <c r="CT36" s="22" t="e">
        <f aca="false">AND('Current Index'!C846,"AAAAABxv/WE=")</f>
        <v>#VALUE!</v>
      </c>
      <c r="CU36" s="22" t="e">
        <f aca="false">AND('Current Index'!D846,"AAAAABxv/WI=")</f>
        <v>#VALUE!</v>
      </c>
      <c r="CV36" s="22" t="e">
        <f aca="false">AND('Current Index'!E846,"AAAAABxv/WM=")</f>
        <v>#VALUE!</v>
      </c>
      <c r="CW36" s="22" t="e">
        <f aca="false">AND('Current Index'!F846,"AAAAABxv/WQ=")</f>
        <v>#VALUE!</v>
      </c>
      <c r="CX36" s="22" t="e">
        <f aca="false">AND('Current Index'!G846,"AAAAABxv/WU=")</f>
        <v>#VALUE!</v>
      </c>
      <c r="CY36" s="22" t="e">
        <f aca="false">AND('Current Index'!H846,"AAAAABxv/WY=")</f>
        <v>#VALUE!</v>
      </c>
      <c r="CZ36" s="22" t="e">
        <f aca="false">AND('Current Index'!I846,"AAAAABxv/Wc=")</f>
        <v>#VALUE!</v>
      </c>
      <c r="DA36" s="22" t="e">
        <f aca="false">IF('current index'!#ref!,"AAAAABxv/Wg=",0)</f>
        <v>#VALUE!</v>
      </c>
      <c r="DB36" s="22" t="e">
        <f aca="false">AND('current index'!#ref!,"AAAAABxv/Wk=")</f>
        <v>#VALUE!</v>
      </c>
      <c r="DC36" s="22" t="e">
        <f aca="false">AND('current index'!#ref!,"AAAAABxv/Wo=")</f>
        <v>#VALUE!</v>
      </c>
      <c r="DD36" s="22" t="e">
        <f aca="false">AND('current index'!#ref!,"AAAAABxv/Ws=")</f>
        <v>#VALUE!</v>
      </c>
      <c r="DE36" s="22" t="e">
        <f aca="false">AND('current index'!#ref!,"AAAAABxv/Ww=")</f>
        <v>#VALUE!</v>
      </c>
      <c r="DF36" s="22" t="e">
        <f aca="false">AND('current index'!#ref!,"AAAAABxv/W0=")</f>
        <v>#VALUE!</v>
      </c>
      <c r="DG36" s="22" t="e">
        <f aca="false">AND('current index'!#ref!,"AAAAABxv/W4=")</f>
        <v>#VALUE!</v>
      </c>
      <c r="DH36" s="22" t="e">
        <f aca="false">AND('current index'!#ref!,"AAAAABxv/W8=")</f>
        <v>#VALUE!</v>
      </c>
      <c r="DI36" s="22" t="e">
        <f aca="false">AND('current index'!#ref!,"AAAAABxv/XA=")</f>
        <v>#VALUE!</v>
      </c>
      <c r="DJ36" s="22" t="e">
        <f aca="false">AND('current index'!#ref!,"AAAAABxv/XE=")</f>
        <v>#VALUE!</v>
      </c>
      <c r="DK36" s="22" t="e">
        <f aca="false">AND('current index'!#ref!,"AAAAABxv/XI=")</f>
        <v>#VALUE!</v>
      </c>
      <c r="DL36" s="22" t="n">
        <f aca="false">IF('Current Index'!847:847,"AAAAABxv/XM=",0)</f>
        <v>0</v>
      </c>
      <c r="DM36" s="22" t="e">
        <f aca="false">AND('Current Index'!A847,"AAAAABxv/XQ=")</f>
        <v>#VALUE!</v>
      </c>
      <c r="DN36" s="22" t="e">
        <f aca="false">AND('current index'!#ref!,"AAAAABxv/XU=")</f>
        <v>#VALUE!</v>
      </c>
      <c r="DO36" s="22" t="e">
        <f aca="false">AND('Current Index'!B847,"AAAAABxv/XY=")</f>
        <v>#VALUE!</v>
      </c>
      <c r="DP36" s="22" t="e">
        <f aca="false">AND('Current Index'!C847,"AAAAABxv/Xc=")</f>
        <v>#VALUE!</v>
      </c>
      <c r="DQ36" s="22" t="e">
        <f aca="false">AND('Current Index'!D847,"AAAAABxv/Xg=")</f>
        <v>#VALUE!</v>
      </c>
      <c r="DR36" s="22" t="e">
        <f aca="false">AND('Current Index'!E847,"AAAAABxv/Xk=")</f>
        <v>#VALUE!</v>
      </c>
      <c r="DS36" s="22" t="e">
        <f aca="false">AND('Current Index'!F847,"AAAAABxv/Xo=")</f>
        <v>#VALUE!</v>
      </c>
      <c r="DT36" s="22" t="e">
        <f aca="false">AND('Current Index'!G847,"AAAAABxv/Xs=")</f>
        <v>#VALUE!</v>
      </c>
      <c r="DU36" s="22" t="e">
        <f aca="false">AND('Current Index'!H847,"AAAAABxv/Xw=")</f>
        <v>#VALUE!</v>
      </c>
      <c r="DV36" s="22" t="e">
        <f aca="false">AND('Current Index'!I847,"AAAAABxv/X0=")</f>
        <v>#VALUE!</v>
      </c>
      <c r="DW36" s="22" t="n">
        <f aca="false">IF('Current Index'!848:848,"AAAAABxv/X4=",0)</f>
        <v>0</v>
      </c>
      <c r="DX36" s="22" t="e">
        <f aca="false">AND('Current Index'!A848,"AAAAABxv/X8=")</f>
        <v>#VALUE!</v>
      </c>
      <c r="DY36" s="22" t="e">
        <f aca="false">AND('current index'!#ref!,"AAAAABxv/YA=")</f>
        <v>#VALUE!</v>
      </c>
      <c r="DZ36" s="22" t="e">
        <f aca="false">AND('Current Index'!B848,"AAAAABxv/YE=")</f>
        <v>#VALUE!</v>
      </c>
      <c r="EA36" s="22" t="e">
        <f aca="false">AND('Current Index'!C848,"AAAAABxv/YI=")</f>
        <v>#VALUE!</v>
      </c>
      <c r="EB36" s="22" t="e">
        <f aca="false">AND('Current Index'!D848,"AAAAABxv/YM=")</f>
        <v>#VALUE!</v>
      </c>
      <c r="EC36" s="22" t="e">
        <f aca="false">AND('Current Index'!E848,"AAAAABxv/YQ=")</f>
        <v>#VALUE!</v>
      </c>
      <c r="ED36" s="22" t="e">
        <f aca="false">AND('Current Index'!F848,"AAAAABxv/YU=")</f>
        <v>#VALUE!</v>
      </c>
      <c r="EE36" s="22" t="e">
        <f aca="false">AND('Current Index'!G848,"AAAAABxv/YY=")</f>
        <v>#VALUE!</v>
      </c>
      <c r="EF36" s="22" t="e">
        <f aca="false">AND('Current Index'!H848,"AAAAABxv/Yc=")</f>
        <v>#VALUE!</v>
      </c>
      <c r="EG36" s="22" t="e">
        <f aca="false">AND('Current Index'!I848,"AAAAABxv/Yg=")</f>
        <v>#VALUE!</v>
      </c>
      <c r="EH36" s="22" t="n">
        <f aca="false">IF('Current Index'!849:849,"AAAAABxv/Yk=",0)</f>
        <v>0</v>
      </c>
      <c r="EI36" s="22" t="e">
        <f aca="false">AND('Current Index'!A849,"AAAAABxv/Yo=")</f>
        <v>#VALUE!</v>
      </c>
      <c r="EJ36" s="22" t="e">
        <f aca="false">AND('current index'!#ref!,"AAAAABxv/Ys=")</f>
        <v>#VALUE!</v>
      </c>
      <c r="EK36" s="22" t="e">
        <f aca="false">AND('Current Index'!B849,"AAAAABxv/Yw=")</f>
        <v>#VALUE!</v>
      </c>
      <c r="EL36" s="22" t="e">
        <f aca="false">AND('Current Index'!C849,"AAAAABxv/Y0=")</f>
        <v>#VALUE!</v>
      </c>
      <c r="EM36" s="22" t="e">
        <f aca="false">AND('Current Index'!D849,"AAAAABxv/Y4=")</f>
        <v>#VALUE!</v>
      </c>
      <c r="EN36" s="22" t="e">
        <f aca="false">AND('Current Index'!E849,"AAAAABxv/Y8=")</f>
        <v>#VALUE!</v>
      </c>
      <c r="EO36" s="22" t="e">
        <f aca="false">AND('Current Index'!F849,"AAAAABxv/ZA=")</f>
        <v>#VALUE!</v>
      </c>
      <c r="EP36" s="22" t="e">
        <f aca="false">AND('Current Index'!G849,"AAAAABxv/ZE=")</f>
        <v>#VALUE!</v>
      </c>
      <c r="EQ36" s="22" t="e">
        <f aca="false">AND('Current Index'!H849,"AAAAABxv/ZI=")</f>
        <v>#VALUE!</v>
      </c>
      <c r="ER36" s="22" t="e">
        <f aca="false">AND('Current Index'!I849,"AAAAABxv/ZM=")</f>
        <v>#VALUE!</v>
      </c>
      <c r="ES36" s="22" t="n">
        <f aca="false">IF('Current Index'!850:850,"AAAAABxv/ZQ=",0)</f>
        <v>0</v>
      </c>
      <c r="ET36" s="22" t="e">
        <f aca="false">AND('Current Index'!A850,"AAAAABxv/ZU=")</f>
        <v>#VALUE!</v>
      </c>
      <c r="EU36" s="22" t="e">
        <f aca="false">AND('current index'!#ref!,"AAAAABxv/ZY=")</f>
        <v>#VALUE!</v>
      </c>
      <c r="EV36" s="22" t="e">
        <f aca="false">AND('Current Index'!B850,"AAAAABxv/Zc=")</f>
        <v>#VALUE!</v>
      </c>
      <c r="EW36" s="22" t="e">
        <f aca="false">AND('Current Index'!C850,"AAAAABxv/Zg=")</f>
        <v>#VALUE!</v>
      </c>
      <c r="EX36" s="22" t="e">
        <f aca="false">AND('Current Index'!D850,"AAAAABxv/Zk=")</f>
        <v>#VALUE!</v>
      </c>
      <c r="EY36" s="22" t="e">
        <f aca="false">AND('Current Index'!E850,"AAAAABxv/Zo=")</f>
        <v>#VALUE!</v>
      </c>
      <c r="EZ36" s="22" t="e">
        <f aca="false">AND('Current Index'!F850,"AAAAABxv/Zs=")</f>
        <v>#VALUE!</v>
      </c>
      <c r="FA36" s="22" t="e">
        <f aca="false">AND('Current Index'!G850,"AAAAABxv/Zw=")</f>
        <v>#VALUE!</v>
      </c>
      <c r="FB36" s="22" t="e">
        <f aca="false">AND('Current Index'!H850,"AAAAABxv/Z0=")</f>
        <v>#VALUE!</v>
      </c>
      <c r="FC36" s="22" t="e">
        <f aca="false">AND('Current Index'!I850,"AAAAABxv/Z4=")</f>
        <v>#VALUE!</v>
      </c>
      <c r="FD36" s="22" t="n">
        <f aca="false">IF('Current Index'!851:851,"AAAAABxv/Z8=",0)</f>
        <v>0</v>
      </c>
      <c r="FE36" s="22" t="e">
        <f aca="false">AND('Current Index'!A851,"AAAAABxv/aA=")</f>
        <v>#VALUE!</v>
      </c>
      <c r="FF36" s="22" t="e">
        <f aca="false">AND('current index'!#ref!,"AAAAABxv/aE=")</f>
        <v>#VALUE!</v>
      </c>
      <c r="FG36" s="22" t="e">
        <f aca="false">AND('Current Index'!B851,"AAAAABxv/aI=")</f>
        <v>#VALUE!</v>
      </c>
      <c r="FH36" s="22" t="e">
        <f aca="false">AND('Current Index'!C851,"AAAAABxv/aM=")</f>
        <v>#VALUE!</v>
      </c>
      <c r="FI36" s="22" t="e">
        <f aca="false">AND('Current Index'!D851,"AAAAABxv/aQ=")</f>
        <v>#VALUE!</v>
      </c>
      <c r="FJ36" s="22" t="e">
        <f aca="false">AND('Current Index'!E851,"AAAAABxv/aU=")</f>
        <v>#VALUE!</v>
      </c>
      <c r="FK36" s="22" t="e">
        <f aca="false">AND('Current Index'!F851,"AAAAABxv/aY=")</f>
        <v>#VALUE!</v>
      </c>
      <c r="FL36" s="22" t="e">
        <f aca="false">AND('Current Index'!G851,"AAAAABxv/ac=")</f>
        <v>#VALUE!</v>
      </c>
      <c r="FM36" s="22" t="e">
        <f aca="false">AND('Current Index'!H851,"AAAAABxv/ag=")</f>
        <v>#VALUE!</v>
      </c>
      <c r="FN36" s="22" t="e">
        <f aca="false">AND('Current Index'!I851,"AAAAABxv/ak=")</f>
        <v>#VALUE!</v>
      </c>
      <c r="FO36" s="22" t="e">
        <f aca="false">IF('current index'!#ref!,"AAAAABxv/ao=",0)</f>
        <v>#VALUE!</v>
      </c>
      <c r="FP36" s="22" t="e">
        <f aca="false">AND('current index'!#ref!,"AAAAABxv/as=")</f>
        <v>#VALUE!</v>
      </c>
      <c r="FQ36" s="22" t="e">
        <f aca="false">AND('current index'!#ref!,"AAAAABxv/aw=")</f>
        <v>#VALUE!</v>
      </c>
      <c r="FR36" s="22" t="e">
        <f aca="false">AND('current index'!#ref!,"AAAAABxv/a0=")</f>
        <v>#VALUE!</v>
      </c>
      <c r="FS36" s="22" t="e">
        <f aca="false">AND('current index'!#ref!,"AAAAABxv/a4=")</f>
        <v>#VALUE!</v>
      </c>
      <c r="FT36" s="22" t="e">
        <f aca="false">AND('current index'!#ref!,"AAAAABxv/a8=")</f>
        <v>#VALUE!</v>
      </c>
      <c r="FU36" s="22" t="e">
        <f aca="false">AND('current index'!#ref!,"AAAAABxv/bA=")</f>
        <v>#VALUE!</v>
      </c>
      <c r="FV36" s="22" t="e">
        <f aca="false">AND('current index'!#ref!,"AAAAABxv/bE=")</f>
        <v>#VALUE!</v>
      </c>
      <c r="FW36" s="22" t="e">
        <f aca="false">AND('current index'!#ref!,"AAAAABxv/bI=")</f>
        <v>#VALUE!</v>
      </c>
      <c r="FX36" s="22" t="e">
        <f aca="false">AND('current index'!#ref!,"AAAAABxv/bM=")</f>
        <v>#VALUE!</v>
      </c>
      <c r="FY36" s="22" t="e">
        <f aca="false">AND('current index'!#ref!,"AAAAABxv/bQ=")</f>
        <v>#VALUE!</v>
      </c>
      <c r="FZ36" s="22" t="n">
        <f aca="false">IF('Current Index'!852:852,"AAAAABxv/bU=",0)</f>
        <v>0</v>
      </c>
      <c r="GA36" s="22" t="e">
        <f aca="false">AND('Current Index'!A852,"AAAAABxv/bY=")</f>
        <v>#VALUE!</v>
      </c>
      <c r="GB36" s="22" t="e">
        <f aca="false">AND('current index'!#ref!,"AAAAABxv/bc=")</f>
        <v>#VALUE!</v>
      </c>
      <c r="GC36" s="22" t="e">
        <f aca="false">AND('Current Index'!B852,"AAAAABxv/bg=")</f>
        <v>#VALUE!</v>
      </c>
      <c r="GD36" s="22" t="e">
        <f aca="false">AND('Current Index'!C852,"AAAAABxv/bk=")</f>
        <v>#VALUE!</v>
      </c>
      <c r="GE36" s="22" t="e">
        <f aca="false">AND('Current Index'!D852,"AAAAABxv/bo=")</f>
        <v>#VALUE!</v>
      </c>
      <c r="GF36" s="22" t="e">
        <f aca="false">AND('Current Index'!E852,"AAAAABxv/bs=")</f>
        <v>#VALUE!</v>
      </c>
      <c r="GG36" s="22" t="e">
        <f aca="false">AND('Current Index'!F852,"AAAAABxv/bw=")</f>
        <v>#VALUE!</v>
      </c>
      <c r="GH36" s="22" t="e">
        <f aca="false">AND('Current Index'!G852,"AAAAABxv/b0=")</f>
        <v>#VALUE!</v>
      </c>
      <c r="GI36" s="22" t="e">
        <f aca="false">AND('Current Index'!H852,"AAAAABxv/b4=")</f>
        <v>#VALUE!</v>
      </c>
      <c r="GJ36" s="22" t="e">
        <f aca="false">AND('Current Index'!I852,"AAAAABxv/b8=")</f>
        <v>#VALUE!</v>
      </c>
      <c r="GK36" s="22" t="e">
        <f aca="false">IF('current index'!#ref!,"AAAAABxv/cA=",0)</f>
        <v>#VALUE!</v>
      </c>
      <c r="GL36" s="22" t="e">
        <f aca="false">AND('current index'!#ref!,"AAAAABxv/cE=")</f>
        <v>#VALUE!</v>
      </c>
      <c r="GM36" s="22" t="e">
        <f aca="false">AND('current index'!#ref!,"AAAAABxv/cI=")</f>
        <v>#VALUE!</v>
      </c>
      <c r="GN36" s="22" t="e">
        <f aca="false">AND('current index'!#ref!,"AAAAABxv/cM=")</f>
        <v>#VALUE!</v>
      </c>
      <c r="GO36" s="22" t="e">
        <f aca="false">AND('current index'!#ref!,"AAAAABxv/cQ=")</f>
        <v>#VALUE!</v>
      </c>
      <c r="GP36" s="22" t="e">
        <f aca="false">AND('current index'!#ref!,"AAAAABxv/cU=")</f>
        <v>#VALUE!</v>
      </c>
      <c r="GQ36" s="22" t="e">
        <f aca="false">AND('current index'!#ref!,"AAAAABxv/cY=")</f>
        <v>#VALUE!</v>
      </c>
      <c r="GR36" s="22" t="e">
        <f aca="false">AND('current index'!#ref!,"AAAAABxv/cc=")</f>
        <v>#VALUE!</v>
      </c>
      <c r="GS36" s="22" t="e">
        <f aca="false">AND('current index'!#ref!,"AAAAABxv/cg=")</f>
        <v>#VALUE!</v>
      </c>
      <c r="GT36" s="22" t="e">
        <f aca="false">AND('current index'!#ref!,"AAAAABxv/ck=")</f>
        <v>#VALUE!</v>
      </c>
      <c r="GU36" s="22" t="e">
        <f aca="false">AND('current index'!#ref!,"AAAAABxv/co=")</f>
        <v>#VALUE!</v>
      </c>
      <c r="GV36" s="22" t="n">
        <f aca="false">IF('Current Index'!853:853,"AAAAABxv/cs=",0)</f>
        <v>0</v>
      </c>
      <c r="GW36" s="22" t="e">
        <f aca="false">AND('Current Index'!A853,"AAAAABxv/cw=")</f>
        <v>#VALUE!</v>
      </c>
      <c r="GX36" s="22" t="e">
        <f aca="false">AND('current index'!#ref!,"AAAAABxv/c0=")</f>
        <v>#VALUE!</v>
      </c>
      <c r="GY36" s="22" t="e">
        <f aca="false">AND('Current Index'!B853,"AAAAABxv/c4=")</f>
        <v>#VALUE!</v>
      </c>
      <c r="GZ36" s="22" t="e">
        <f aca="false">AND('Current Index'!C853,"AAAAABxv/c8=")</f>
        <v>#VALUE!</v>
      </c>
      <c r="HA36" s="22" t="e">
        <f aca="false">AND('Current Index'!D853,"AAAAABxv/dA=")</f>
        <v>#VALUE!</v>
      </c>
      <c r="HB36" s="22" t="e">
        <f aca="false">AND('Current Index'!E853,"AAAAABxv/dE=")</f>
        <v>#VALUE!</v>
      </c>
      <c r="HC36" s="22" t="e">
        <f aca="false">AND('Current Index'!F853,"AAAAABxv/dI=")</f>
        <v>#VALUE!</v>
      </c>
      <c r="HD36" s="22" t="e">
        <f aca="false">AND('Current Index'!G853,"AAAAABxv/dM=")</f>
        <v>#VALUE!</v>
      </c>
      <c r="HE36" s="22" t="e">
        <f aca="false">AND('Current Index'!H853,"AAAAABxv/dQ=")</f>
        <v>#VALUE!</v>
      </c>
      <c r="HF36" s="22" t="e">
        <f aca="false">AND('Current Index'!I853,"AAAAABxv/dU=")</f>
        <v>#VALUE!</v>
      </c>
      <c r="HG36" s="22" t="n">
        <f aca="false">IF('Current Index'!854:854,"AAAAABxv/dY=",0)</f>
        <v>0</v>
      </c>
      <c r="HH36" s="22" t="e">
        <f aca="false">AND('Current Index'!A854,"AAAAABxv/dc=")</f>
        <v>#VALUE!</v>
      </c>
      <c r="HI36" s="22" t="e">
        <f aca="false">AND('current index'!#ref!,"AAAAABxv/dg=")</f>
        <v>#VALUE!</v>
      </c>
      <c r="HJ36" s="22" t="e">
        <f aca="false">AND('Current Index'!B854,"AAAAABxv/dk=")</f>
        <v>#VALUE!</v>
      </c>
      <c r="HK36" s="22" t="e">
        <f aca="false">AND('Current Index'!C854,"AAAAABxv/do=")</f>
        <v>#VALUE!</v>
      </c>
      <c r="HL36" s="22" t="e">
        <f aca="false">AND('Current Index'!D854,"AAAAABxv/ds=")</f>
        <v>#VALUE!</v>
      </c>
      <c r="HM36" s="22" t="e">
        <f aca="false">AND('Current Index'!E854,"AAAAABxv/dw=")</f>
        <v>#VALUE!</v>
      </c>
      <c r="HN36" s="22" t="e">
        <f aca="false">AND('Current Index'!F854,"AAAAABxv/d0=")</f>
        <v>#VALUE!</v>
      </c>
      <c r="HO36" s="22" t="e">
        <f aca="false">AND('Current Index'!G854,"AAAAABxv/d4=")</f>
        <v>#VALUE!</v>
      </c>
      <c r="HP36" s="22" t="e">
        <f aca="false">AND('Current Index'!H854,"AAAAABxv/d8=")</f>
        <v>#VALUE!</v>
      </c>
      <c r="HQ36" s="22" t="e">
        <f aca="false">AND('Current Index'!I854,"AAAAABxv/eA=")</f>
        <v>#VALUE!</v>
      </c>
      <c r="HR36" s="22" t="n">
        <f aca="false">IF('Current Index'!855:855,"AAAAABxv/eE=",0)</f>
        <v>0</v>
      </c>
      <c r="HS36" s="22" t="e">
        <f aca="false">AND('Current Index'!A855,"AAAAABxv/eI=")</f>
        <v>#VALUE!</v>
      </c>
      <c r="HT36" s="22" t="e">
        <f aca="false">AND('current index'!#ref!,"AAAAABxv/eM=")</f>
        <v>#VALUE!</v>
      </c>
      <c r="HU36" s="22" t="e">
        <f aca="false">AND('Current Index'!B855,"AAAAABxv/eQ=")</f>
        <v>#VALUE!</v>
      </c>
      <c r="HV36" s="22" t="e">
        <f aca="false">AND('Current Index'!C855,"AAAAABxv/eU=")</f>
        <v>#VALUE!</v>
      </c>
      <c r="HW36" s="22" t="e">
        <f aca="false">AND('Current Index'!D855,"AAAAABxv/eY=")</f>
        <v>#VALUE!</v>
      </c>
      <c r="HX36" s="22" t="e">
        <f aca="false">AND('Current Index'!E855,"AAAAABxv/ec=")</f>
        <v>#VALUE!</v>
      </c>
      <c r="HY36" s="22" t="e">
        <f aca="false">AND('Current Index'!F855,"AAAAABxv/eg=")</f>
        <v>#VALUE!</v>
      </c>
      <c r="HZ36" s="22" t="e">
        <f aca="false">AND('Current Index'!G855,"AAAAABxv/ek=")</f>
        <v>#VALUE!</v>
      </c>
      <c r="IA36" s="22" t="e">
        <f aca="false">AND('Current Index'!H855,"AAAAABxv/eo=")</f>
        <v>#VALUE!</v>
      </c>
      <c r="IB36" s="22" t="e">
        <f aca="false">AND('Current Index'!I855,"AAAAABxv/es=")</f>
        <v>#VALUE!</v>
      </c>
      <c r="IC36" s="22" t="n">
        <f aca="false">IF('Current Index'!856:856,"AAAAABxv/ew=",0)</f>
        <v>0</v>
      </c>
      <c r="ID36" s="22" t="e">
        <f aca="false">AND('Current Index'!A856,"AAAAABxv/e0=")</f>
        <v>#VALUE!</v>
      </c>
      <c r="IE36" s="22" t="e">
        <f aca="false">AND('current index'!#ref!,"AAAAABxv/e4=")</f>
        <v>#VALUE!</v>
      </c>
      <c r="IF36" s="22" t="e">
        <f aca="false">AND('Current Index'!B856,"AAAAABxv/e8=")</f>
        <v>#VALUE!</v>
      </c>
      <c r="IG36" s="22" t="e">
        <f aca="false">AND('Current Index'!C856,"AAAAABxv/fA=")</f>
        <v>#VALUE!</v>
      </c>
      <c r="IH36" s="22" t="e">
        <f aca="false">AND('Current Index'!D856,"AAAAABxv/fE=")</f>
        <v>#VALUE!</v>
      </c>
      <c r="II36" s="22" t="e">
        <f aca="false">AND('Current Index'!E856,"AAAAABxv/fI=")</f>
        <v>#VALUE!</v>
      </c>
      <c r="IJ36" s="22" t="e">
        <f aca="false">AND('Current Index'!F856,"AAAAABxv/fM=")</f>
        <v>#VALUE!</v>
      </c>
      <c r="IK36" s="22" t="e">
        <f aca="false">AND('Current Index'!G856,"AAAAABxv/fQ=")</f>
        <v>#VALUE!</v>
      </c>
      <c r="IL36" s="22" t="e">
        <f aca="false">AND('Current Index'!H856,"AAAAABxv/fU=")</f>
        <v>#VALUE!</v>
      </c>
      <c r="IM36" s="22" t="e">
        <f aca="false">AND('Current Index'!I856,"AAAAABxv/fY=")</f>
        <v>#VALUE!</v>
      </c>
      <c r="IN36" s="22" t="n">
        <f aca="false">IF('Current Index'!857:857,"AAAAABxv/fc=",0)</f>
        <v>0</v>
      </c>
      <c r="IO36" s="22" t="e">
        <f aca="false">AND('Current Index'!A857,"AAAAABxv/fg=")</f>
        <v>#VALUE!</v>
      </c>
      <c r="IP36" s="22" t="e">
        <f aca="false">AND('current index'!#ref!,"AAAAABxv/fk=")</f>
        <v>#VALUE!</v>
      </c>
      <c r="IQ36" s="22" t="e">
        <f aca="false">AND('Current Index'!B857,"AAAAABxv/fo=")</f>
        <v>#VALUE!</v>
      </c>
      <c r="IR36" s="22" t="e">
        <f aca="false">AND('Current Index'!C857,"AAAAABxv/fs=")</f>
        <v>#VALUE!</v>
      </c>
      <c r="IS36" s="22" t="e">
        <f aca="false">AND('Current Index'!D857,"AAAAABxv/fw=")</f>
        <v>#VALUE!</v>
      </c>
      <c r="IT36" s="22" t="e">
        <f aca="false">AND('Current Index'!E857,"AAAAABxv/f0=")</f>
        <v>#VALUE!</v>
      </c>
      <c r="IU36" s="22" t="e">
        <f aca="false">AND('Current Index'!F857,"AAAAABxv/f4=")</f>
        <v>#VALUE!</v>
      </c>
      <c r="IV36" s="22" t="e">
        <f aca="false">AND('Current Index'!G857,"AAAAABxv/f8=")</f>
        <v>#VALUE!</v>
      </c>
    </row>
    <row r="37" customFormat="false" ht="12.75" hidden="false" customHeight="false" outlineLevel="0" collapsed="false">
      <c r="A37" s="22" t="e">
        <f aca="false">AND('Current Index'!H857,"AAAAAH226wA=")</f>
        <v>#VALUE!</v>
      </c>
      <c r="B37" s="22" t="e">
        <f aca="false">AND('Current Index'!I857,"AAAAAH226wE=")</f>
        <v>#VALUE!</v>
      </c>
      <c r="C37" s="22" t="e">
        <f aca="false">IF('current index'!#ref!,"AAAAAH226wI=",0)</f>
        <v>#VALUE!</v>
      </c>
      <c r="D37" s="22" t="e">
        <f aca="false">AND('current index'!#ref!,"AAAAAH226wM=")</f>
        <v>#VALUE!</v>
      </c>
      <c r="E37" s="22" t="e">
        <f aca="false">AND('current index'!#ref!,"AAAAAH226wQ=")</f>
        <v>#VALUE!</v>
      </c>
      <c r="F37" s="22" t="e">
        <f aca="false">AND('current index'!#ref!,"AAAAAH226wU=")</f>
        <v>#VALUE!</v>
      </c>
      <c r="G37" s="22" t="e">
        <f aca="false">AND('current index'!#ref!,"AAAAAH226wY=")</f>
        <v>#VALUE!</v>
      </c>
      <c r="H37" s="22" t="e">
        <f aca="false">AND('current index'!#ref!,"AAAAAH226wc=")</f>
        <v>#VALUE!</v>
      </c>
      <c r="I37" s="22" t="e">
        <f aca="false">AND('current index'!#ref!,"AAAAAH226wg=")</f>
        <v>#VALUE!</v>
      </c>
      <c r="J37" s="22" t="e">
        <f aca="false">AND('current index'!#ref!,"AAAAAH226wk=")</f>
        <v>#VALUE!</v>
      </c>
      <c r="K37" s="22" t="e">
        <f aca="false">AND('current index'!#ref!,"AAAAAH226wo=")</f>
        <v>#VALUE!</v>
      </c>
      <c r="L37" s="22" t="e">
        <f aca="false">AND('current index'!#ref!,"AAAAAH226ws=")</f>
        <v>#VALUE!</v>
      </c>
      <c r="M37" s="22" t="e">
        <f aca="false">AND('current index'!#ref!,"AAAAAH226ww=")</f>
        <v>#VALUE!</v>
      </c>
      <c r="N37" s="22" t="e">
        <f aca="false">IF('current index'!#ref!,"AAAAAH226w0=",0)</f>
        <v>#VALUE!</v>
      </c>
      <c r="O37" s="22" t="e">
        <f aca="false">AND('current index'!#ref!,"AAAAAH226w4=")</f>
        <v>#VALUE!</v>
      </c>
      <c r="P37" s="22" t="e">
        <f aca="false">AND('current index'!#ref!,"AAAAAH226w8=")</f>
        <v>#VALUE!</v>
      </c>
      <c r="Q37" s="22" t="e">
        <f aca="false">AND('current index'!#ref!,"AAAAAH226xA=")</f>
        <v>#VALUE!</v>
      </c>
      <c r="R37" s="22" t="e">
        <f aca="false">AND('current index'!#ref!,"AAAAAH226xE=")</f>
        <v>#VALUE!</v>
      </c>
      <c r="S37" s="22" t="e">
        <f aca="false">AND('current index'!#ref!,"AAAAAH226xI=")</f>
        <v>#VALUE!</v>
      </c>
      <c r="T37" s="22" t="e">
        <f aca="false">AND('current index'!#ref!,"AAAAAH226xM=")</f>
        <v>#VALUE!</v>
      </c>
      <c r="U37" s="22" t="e">
        <f aca="false">AND('current index'!#ref!,"AAAAAH226xQ=")</f>
        <v>#VALUE!</v>
      </c>
      <c r="V37" s="22" t="e">
        <f aca="false">AND('current index'!#ref!,"AAAAAH226xU=")</f>
        <v>#VALUE!</v>
      </c>
      <c r="W37" s="22" t="e">
        <f aca="false">AND('current index'!#ref!,"AAAAAH226xY=")</f>
        <v>#VALUE!</v>
      </c>
      <c r="X37" s="22" t="e">
        <f aca="false">AND('current index'!#ref!,"AAAAAH226xc=")</f>
        <v>#VALUE!</v>
      </c>
      <c r="Y37" s="22" t="n">
        <f aca="false">IF('Current Index'!859:859,"AAAAAH226xg=",0)</f>
        <v>0</v>
      </c>
      <c r="Z37" s="22" t="e">
        <f aca="false">AND('Current Index'!A859,"AAAAAH226xk=")</f>
        <v>#VALUE!</v>
      </c>
      <c r="AA37" s="22" t="e">
        <f aca="false">AND('current index'!#ref!,"AAAAAH226xo=")</f>
        <v>#VALUE!</v>
      </c>
      <c r="AB37" s="22" t="e">
        <f aca="false">AND('Current Index'!B859,"AAAAAH226xs=")</f>
        <v>#VALUE!</v>
      </c>
      <c r="AC37" s="22" t="e">
        <f aca="false">AND('Current Index'!C859,"AAAAAH226xw=")</f>
        <v>#VALUE!</v>
      </c>
      <c r="AD37" s="22" t="e">
        <f aca="false">AND('Current Index'!D859,"AAAAAH226x0=")</f>
        <v>#VALUE!</v>
      </c>
      <c r="AE37" s="22" t="e">
        <f aca="false">AND('Current Index'!E859,"AAAAAH226x4=")</f>
        <v>#VALUE!</v>
      </c>
      <c r="AF37" s="22" t="e">
        <f aca="false">AND('Current Index'!F859,"AAAAAH226x8=")</f>
        <v>#VALUE!</v>
      </c>
      <c r="AG37" s="22" t="e">
        <f aca="false">AND('Current Index'!G859,"AAAAAH226yA=")</f>
        <v>#VALUE!</v>
      </c>
      <c r="AH37" s="22" t="e">
        <f aca="false">AND('Current Index'!H859,"AAAAAH226yE=")</f>
        <v>#VALUE!</v>
      </c>
      <c r="AI37" s="22" t="e">
        <f aca="false">AND('Current Index'!I859,"AAAAAH226yI=")</f>
        <v>#VALUE!</v>
      </c>
      <c r="AJ37" s="22" t="n">
        <f aca="false">IF('Current Index'!860:860,"AAAAAH226yM=",0)</f>
        <v>0</v>
      </c>
      <c r="AK37" s="22" t="e">
        <f aca="false">AND('Current Index'!A860,"AAAAAH226yQ=")</f>
        <v>#VALUE!</v>
      </c>
      <c r="AL37" s="22" t="e">
        <f aca="false">AND('current index'!#ref!,"AAAAAH226yU=")</f>
        <v>#VALUE!</v>
      </c>
      <c r="AM37" s="22" t="e">
        <f aca="false">AND('Current Index'!B860,"AAAAAH226yY=")</f>
        <v>#VALUE!</v>
      </c>
      <c r="AN37" s="22" t="e">
        <f aca="false">AND('Current Index'!C860,"AAAAAH226yc=")</f>
        <v>#VALUE!</v>
      </c>
      <c r="AO37" s="22" t="e">
        <f aca="false">AND('Current Index'!D860,"AAAAAH226yg=")</f>
        <v>#VALUE!</v>
      </c>
      <c r="AP37" s="22" t="e">
        <f aca="false">AND('Current Index'!E860,"AAAAAH226yk=")</f>
        <v>#VALUE!</v>
      </c>
      <c r="AQ37" s="22" t="e">
        <f aca="false">AND('Current Index'!F860,"AAAAAH226yo=")</f>
        <v>#VALUE!</v>
      </c>
      <c r="AR37" s="22" t="e">
        <f aca="false">AND('Current Index'!G860,"AAAAAH226ys=")</f>
        <v>#VALUE!</v>
      </c>
      <c r="AS37" s="22" t="e">
        <f aca="false">AND('Current Index'!H860,"AAAAAH226yw=")</f>
        <v>#VALUE!</v>
      </c>
      <c r="AT37" s="22" t="e">
        <f aca="false">AND('Current Index'!I860,"AAAAAH226y0=")</f>
        <v>#VALUE!</v>
      </c>
      <c r="AU37" s="22" t="e">
        <f aca="false">IF('current index'!#ref!,"AAAAAH226y4=",0)</f>
        <v>#VALUE!</v>
      </c>
      <c r="AV37" s="22" t="e">
        <f aca="false">AND('current index'!#ref!,"AAAAAH226y8=")</f>
        <v>#VALUE!</v>
      </c>
      <c r="AW37" s="22" t="e">
        <f aca="false">AND('current index'!#ref!,"AAAAAH226zA=")</f>
        <v>#VALUE!</v>
      </c>
      <c r="AX37" s="22" t="e">
        <f aca="false">AND('current index'!#ref!,"AAAAAH226zE=")</f>
        <v>#VALUE!</v>
      </c>
      <c r="AY37" s="22" t="e">
        <f aca="false">AND('current index'!#ref!,"AAAAAH226zI=")</f>
        <v>#VALUE!</v>
      </c>
      <c r="AZ37" s="22" t="e">
        <f aca="false">AND('current index'!#ref!,"AAAAAH226zM=")</f>
        <v>#VALUE!</v>
      </c>
      <c r="BA37" s="22" t="e">
        <f aca="false">AND('current index'!#ref!,"AAAAAH226zQ=")</f>
        <v>#VALUE!</v>
      </c>
      <c r="BB37" s="22" t="e">
        <f aca="false">AND('current index'!#ref!,"AAAAAH226zU=")</f>
        <v>#VALUE!</v>
      </c>
      <c r="BC37" s="22" t="e">
        <f aca="false">AND('current index'!#ref!,"AAAAAH226zY=")</f>
        <v>#VALUE!</v>
      </c>
      <c r="BD37" s="22" t="e">
        <f aca="false">AND('current index'!#ref!,"AAAAAH226zc=")</f>
        <v>#VALUE!</v>
      </c>
      <c r="BE37" s="22" t="e">
        <f aca="false">AND('current index'!#ref!,"AAAAAH226zg=")</f>
        <v>#VALUE!</v>
      </c>
      <c r="BF37" s="22" t="n">
        <f aca="false">IF('Current Index'!862:862,"AAAAAH226zk=",0)</f>
        <v>0</v>
      </c>
      <c r="BG37" s="22" t="e">
        <f aca="false">AND('Current Index'!A862,"AAAAAH226zo=")</f>
        <v>#VALUE!</v>
      </c>
      <c r="BH37" s="22" t="e">
        <f aca="false">AND('current index'!#ref!,"AAAAAH226zs=")</f>
        <v>#VALUE!</v>
      </c>
      <c r="BI37" s="22" t="e">
        <f aca="false">AND('Current Index'!B862,"AAAAAH226zw=")</f>
        <v>#VALUE!</v>
      </c>
      <c r="BJ37" s="22" t="e">
        <f aca="false">AND('Current Index'!C862,"AAAAAH226z0=")</f>
        <v>#VALUE!</v>
      </c>
      <c r="BK37" s="22" t="e">
        <f aca="false">AND('Current Index'!D862,"AAAAAH226z4=")</f>
        <v>#VALUE!</v>
      </c>
      <c r="BL37" s="22" t="e">
        <f aca="false">AND('Current Index'!E862,"AAAAAH226z8=")</f>
        <v>#VALUE!</v>
      </c>
      <c r="BM37" s="22" t="e">
        <f aca="false">AND('Current Index'!F862,"AAAAAH2260A=")</f>
        <v>#VALUE!</v>
      </c>
      <c r="BN37" s="22" t="e">
        <f aca="false">AND('Current Index'!G862,"AAAAAH2260E=")</f>
        <v>#VALUE!</v>
      </c>
      <c r="BO37" s="22" t="e">
        <f aca="false">AND('Current Index'!H862,"AAAAAH2260I=")</f>
        <v>#VALUE!</v>
      </c>
      <c r="BP37" s="22" t="e">
        <f aca="false">AND('Current Index'!I862,"AAAAAH2260M=")</f>
        <v>#VALUE!</v>
      </c>
      <c r="BQ37" s="22" t="n">
        <f aca="false">IF('Current Index'!863:863,"AAAAAH2260Q=",0)</f>
        <v>0</v>
      </c>
      <c r="BR37" s="22" t="e">
        <f aca="false">AND('Current Index'!A863,"AAAAAH2260U=")</f>
        <v>#VALUE!</v>
      </c>
      <c r="BS37" s="22" t="e">
        <f aca="false">AND('current index'!#ref!,"AAAAAH2260Y=")</f>
        <v>#VALUE!</v>
      </c>
      <c r="BT37" s="22" t="e">
        <f aca="false">AND('Current Index'!B863,"AAAAAH2260c=")</f>
        <v>#VALUE!</v>
      </c>
      <c r="BU37" s="22" t="e">
        <f aca="false">AND('Current Index'!C863,"AAAAAH2260g=")</f>
        <v>#VALUE!</v>
      </c>
      <c r="BV37" s="22" t="e">
        <f aca="false">AND('Current Index'!D863,"AAAAAH2260k=")</f>
        <v>#VALUE!</v>
      </c>
      <c r="BW37" s="22" t="e">
        <f aca="false">AND('Current Index'!E863,"AAAAAH2260o=")</f>
        <v>#VALUE!</v>
      </c>
      <c r="BX37" s="22" t="e">
        <f aca="false">AND('Current Index'!F863,"AAAAAH2260s=")</f>
        <v>#VALUE!</v>
      </c>
      <c r="BY37" s="22" t="e">
        <f aca="false">AND('Current Index'!G863,"AAAAAH2260w=")</f>
        <v>#VALUE!</v>
      </c>
      <c r="BZ37" s="22" t="e">
        <f aca="false">AND('Current Index'!H863,"AAAAAH22600=")</f>
        <v>#VALUE!</v>
      </c>
      <c r="CA37" s="22" t="e">
        <f aca="false">AND('Current Index'!I863,"AAAAAH22604=")</f>
        <v>#VALUE!</v>
      </c>
      <c r="CB37" s="22" t="n">
        <f aca="false">IF('Current Index'!864:864,"AAAAAH22608=",0)</f>
        <v>0</v>
      </c>
      <c r="CC37" s="22" t="e">
        <f aca="false">AND('Current Index'!A864,"AAAAAH2261A=")</f>
        <v>#VALUE!</v>
      </c>
      <c r="CD37" s="22" t="e">
        <f aca="false">AND('current index'!#ref!,"AAAAAH2261E=")</f>
        <v>#VALUE!</v>
      </c>
      <c r="CE37" s="22" t="e">
        <f aca="false">AND('Current Index'!B864,"AAAAAH2261I=")</f>
        <v>#VALUE!</v>
      </c>
      <c r="CF37" s="22" t="e">
        <f aca="false">AND('Current Index'!C864,"AAAAAH2261M=")</f>
        <v>#VALUE!</v>
      </c>
      <c r="CG37" s="22" t="e">
        <f aca="false">AND('Current Index'!D864,"AAAAAH2261Q=")</f>
        <v>#VALUE!</v>
      </c>
      <c r="CH37" s="22" t="e">
        <f aca="false">AND('Current Index'!E864,"AAAAAH2261U=")</f>
        <v>#VALUE!</v>
      </c>
      <c r="CI37" s="22" t="e">
        <f aca="false">AND('Current Index'!F864,"AAAAAH2261Y=")</f>
        <v>#VALUE!</v>
      </c>
      <c r="CJ37" s="22" t="e">
        <f aca="false">AND('Current Index'!G864,"AAAAAH2261c=")</f>
        <v>#VALUE!</v>
      </c>
      <c r="CK37" s="22" t="e">
        <f aca="false">AND('Current Index'!H864,"AAAAAH2261g=")</f>
        <v>#VALUE!</v>
      </c>
      <c r="CL37" s="22" t="e">
        <f aca="false">AND('Current Index'!I864,"AAAAAH2261k=")</f>
        <v>#VALUE!</v>
      </c>
      <c r="CM37" s="22" t="e">
        <f aca="false">IF('current index'!#ref!,"AAAAAH2261o=",0)</f>
        <v>#VALUE!</v>
      </c>
      <c r="CN37" s="22" t="e">
        <f aca="false">AND('current index'!#ref!,"AAAAAH2261s=")</f>
        <v>#VALUE!</v>
      </c>
      <c r="CO37" s="22" t="e">
        <f aca="false">AND('current index'!#ref!,"AAAAAH2261w=")</f>
        <v>#VALUE!</v>
      </c>
      <c r="CP37" s="22" t="e">
        <f aca="false">AND('current index'!#ref!,"AAAAAH22610=")</f>
        <v>#VALUE!</v>
      </c>
      <c r="CQ37" s="22" t="e">
        <f aca="false">AND('current index'!#ref!,"AAAAAH22614=")</f>
        <v>#VALUE!</v>
      </c>
      <c r="CR37" s="22" t="e">
        <f aca="false">AND('current index'!#ref!,"AAAAAH22618=")</f>
        <v>#VALUE!</v>
      </c>
      <c r="CS37" s="22" t="e">
        <f aca="false">AND('current index'!#ref!,"AAAAAH2262A=")</f>
        <v>#VALUE!</v>
      </c>
      <c r="CT37" s="22" t="e">
        <f aca="false">AND('current index'!#ref!,"AAAAAH2262E=")</f>
        <v>#VALUE!</v>
      </c>
      <c r="CU37" s="22" t="e">
        <f aca="false">AND('current index'!#ref!,"AAAAAH2262I=")</f>
        <v>#VALUE!</v>
      </c>
      <c r="CV37" s="22" t="e">
        <f aca="false">AND('current index'!#ref!,"AAAAAH2262M=")</f>
        <v>#VALUE!</v>
      </c>
      <c r="CW37" s="22" t="e">
        <f aca="false">AND('current index'!#ref!,"AAAAAH2262Q=")</f>
        <v>#VALUE!</v>
      </c>
      <c r="CX37" s="22" t="n">
        <f aca="false">IF('Current Index'!865:865,"AAAAAH2262U=",0)</f>
        <v>0</v>
      </c>
      <c r="CY37" s="22" t="e">
        <f aca="false">AND('Current Index'!A865,"AAAAAH2262Y=")</f>
        <v>#VALUE!</v>
      </c>
      <c r="CZ37" s="22" t="e">
        <f aca="false">AND('current index'!#ref!,"AAAAAH2262c=")</f>
        <v>#VALUE!</v>
      </c>
      <c r="DA37" s="22" t="e">
        <f aca="false">AND('Current Index'!B865,"AAAAAH2262g=")</f>
        <v>#VALUE!</v>
      </c>
      <c r="DB37" s="22" t="e">
        <f aca="false">AND('Current Index'!C865,"AAAAAH2262k=")</f>
        <v>#VALUE!</v>
      </c>
      <c r="DC37" s="22" t="e">
        <f aca="false">AND('Current Index'!D865,"AAAAAH2262o=")</f>
        <v>#VALUE!</v>
      </c>
      <c r="DD37" s="22" t="e">
        <f aca="false">AND('Current Index'!E865,"AAAAAH2262s=")</f>
        <v>#VALUE!</v>
      </c>
      <c r="DE37" s="22" t="e">
        <f aca="false">AND('Current Index'!F865,"AAAAAH2262w=")</f>
        <v>#VALUE!</v>
      </c>
      <c r="DF37" s="22" t="e">
        <f aca="false">AND('Current Index'!G865,"AAAAAH22620=")</f>
        <v>#VALUE!</v>
      </c>
      <c r="DG37" s="22" t="e">
        <f aca="false">AND('Current Index'!H865,"AAAAAH22624=")</f>
        <v>#VALUE!</v>
      </c>
      <c r="DH37" s="22" t="e">
        <f aca="false">AND('Current Index'!I865,"AAAAAH22628=")</f>
        <v>#VALUE!</v>
      </c>
      <c r="DI37" s="22" t="n">
        <f aca="false">IF('Current Index'!866:866,"AAAAAH2263A=",0)</f>
        <v>0</v>
      </c>
      <c r="DJ37" s="22" t="e">
        <f aca="false">AND('Current Index'!A866,"AAAAAH2263E=")</f>
        <v>#VALUE!</v>
      </c>
      <c r="DK37" s="22" t="e">
        <f aca="false">AND('current index'!#ref!,"AAAAAH2263I=")</f>
        <v>#VALUE!</v>
      </c>
      <c r="DL37" s="22" t="e">
        <f aca="false">AND('Current Index'!B866,"AAAAAH2263M=")</f>
        <v>#VALUE!</v>
      </c>
      <c r="DM37" s="22" t="e">
        <f aca="false">AND('Current Index'!C866,"AAAAAH2263Q=")</f>
        <v>#VALUE!</v>
      </c>
      <c r="DN37" s="22" t="e">
        <f aca="false">AND('Current Index'!D866,"AAAAAH2263U=")</f>
        <v>#VALUE!</v>
      </c>
      <c r="DO37" s="22" t="e">
        <f aca="false">AND('Current Index'!E866,"AAAAAH2263Y=")</f>
        <v>#VALUE!</v>
      </c>
      <c r="DP37" s="22" t="e">
        <f aca="false">AND('Current Index'!F866,"AAAAAH2263c=")</f>
        <v>#VALUE!</v>
      </c>
      <c r="DQ37" s="22" t="e">
        <f aca="false">AND('Current Index'!G866,"AAAAAH2263g=")</f>
        <v>#VALUE!</v>
      </c>
      <c r="DR37" s="22" t="e">
        <f aca="false">AND('Current Index'!H866,"AAAAAH2263k=")</f>
        <v>#VALUE!</v>
      </c>
      <c r="DS37" s="22" t="e">
        <f aca="false">AND('Current Index'!I866,"AAAAAH2263o=")</f>
        <v>#VALUE!</v>
      </c>
      <c r="DT37" s="22" t="n">
        <f aca="false">IF('Current Index'!867:867,"AAAAAH2263s=",0)</f>
        <v>0</v>
      </c>
      <c r="DU37" s="22" t="e">
        <f aca="false">AND('Current Index'!A867,"AAAAAH2263w=")</f>
        <v>#VALUE!</v>
      </c>
      <c r="DV37" s="22" t="e">
        <f aca="false">AND('current index'!#ref!,"AAAAAH22630=")</f>
        <v>#VALUE!</v>
      </c>
      <c r="DW37" s="22" t="e">
        <f aca="false">AND('Current Index'!B867,"AAAAAH22634=")</f>
        <v>#VALUE!</v>
      </c>
      <c r="DX37" s="22" t="e">
        <f aca="false">AND('Current Index'!C867,"AAAAAH22638=")</f>
        <v>#VALUE!</v>
      </c>
      <c r="DY37" s="22" t="e">
        <f aca="false">AND('Current Index'!D867,"AAAAAH2264A=")</f>
        <v>#VALUE!</v>
      </c>
      <c r="DZ37" s="22" t="e">
        <f aca="false">AND('Current Index'!E867,"AAAAAH2264E=")</f>
        <v>#VALUE!</v>
      </c>
      <c r="EA37" s="22" t="e">
        <f aca="false">AND('Current Index'!F867,"AAAAAH2264I=")</f>
        <v>#VALUE!</v>
      </c>
      <c r="EB37" s="22" t="e">
        <f aca="false">AND('Current Index'!G867,"AAAAAH2264M=")</f>
        <v>#VALUE!</v>
      </c>
      <c r="EC37" s="22" t="e">
        <f aca="false">AND('Current Index'!H867,"AAAAAH2264Q=")</f>
        <v>#VALUE!</v>
      </c>
      <c r="ED37" s="22" t="e">
        <f aca="false">AND('Current Index'!I867,"AAAAAH2264U=")</f>
        <v>#VALUE!</v>
      </c>
      <c r="EE37" s="22" t="n">
        <f aca="false">IF('Current Index'!868:868,"AAAAAH2264Y=",0)</f>
        <v>0</v>
      </c>
      <c r="EF37" s="22" t="e">
        <f aca="false">AND('Current Index'!A868,"AAAAAH2264c=")</f>
        <v>#VALUE!</v>
      </c>
      <c r="EG37" s="22" t="e">
        <f aca="false">AND('current index'!#ref!,"AAAAAH2264g=")</f>
        <v>#VALUE!</v>
      </c>
      <c r="EH37" s="22" t="e">
        <f aca="false">AND('Current Index'!B868,"AAAAAH2264k=")</f>
        <v>#VALUE!</v>
      </c>
      <c r="EI37" s="22" t="e">
        <f aca="false">AND('Current Index'!C868,"AAAAAH2264o=")</f>
        <v>#VALUE!</v>
      </c>
      <c r="EJ37" s="22" t="e">
        <f aca="false">AND('Current Index'!D868,"AAAAAH2264s=")</f>
        <v>#VALUE!</v>
      </c>
      <c r="EK37" s="22" t="e">
        <f aca="false">AND('Current Index'!E868,"AAAAAH2264w=")</f>
        <v>#VALUE!</v>
      </c>
      <c r="EL37" s="22" t="e">
        <f aca="false">AND('Current Index'!F868,"AAAAAH22640=")</f>
        <v>#VALUE!</v>
      </c>
      <c r="EM37" s="22" t="e">
        <f aca="false">AND('Current Index'!G868,"AAAAAH22644=")</f>
        <v>#VALUE!</v>
      </c>
      <c r="EN37" s="22" t="e">
        <f aca="false">AND('Current Index'!H868,"AAAAAH22648=")</f>
        <v>#VALUE!</v>
      </c>
      <c r="EO37" s="22" t="e">
        <f aca="false">AND('Current Index'!I868,"AAAAAH2265A=")</f>
        <v>#VALUE!</v>
      </c>
      <c r="EP37" s="22" t="e">
        <f aca="false">IF('current index'!#ref!,"AAAAAH2265E=",0)</f>
        <v>#VALUE!</v>
      </c>
      <c r="EQ37" s="22" t="e">
        <f aca="false">AND('current index'!#ref!,"AAAAAH2265I=")</f>
        <v>#VALUE!</v>
      </c>
      <c r="ER37" s="22" t="e">
        <f aca="false">AND('current index'!#ref!,"AAAAAH2265M=")</f>
        <v>#VALUE!</v>
      </c>
      <c r="ES37" s="22" t="e">
        <f aca="false">AND('current index'!#ref!,"AAAAAH2265Q=")</f>
        <v>#VALUE!</v>
      </c>
      <c r="ET37" s="22" t="e">
        <f aca="false">AND('current index'!#ref!,"AAAAAH2265U=")</f>
        <v>#VALUE!</v>
      </c>
      <c r="EU37" s="22" t="e">
        <f aca="false">AND('current index'!#ref!,"AAAAAH2265Y=")</f>
        <v>#VALUE!</v>
      </c>
      <c r="EV37" s="22" t="e">
        <f aca="false">AND('current index'!#ref!,"AAAAAH2265c=")</f>
        <v>#VALUE!</v>
      </c>
      <c r="EW37" s="22" t="e">
        <f aca="false">AND('current index'!#ref!,"AAAAAH2265g=")</f>
        <v>#VALUE!</v>
      </c>
      <c r="EX37" s="22" t="e">
        <f aca="false">AND('current index'!#ref!,"AAAAAH2265k=")</f>
        <v>#VALUE!</v>
      </c>
      <c r="EY37" s="22" t="e">
        <f aca="false">AND('current index'!#ref!,"AAAAAH2265o=")</f>
        <v>#VALUE!</v>
      </c>
      <c r="EZ37" s="22" t="e">
        <f aca="false">AND('current index'!#ref!,"AAAAAH2265s=")</f>
        <v>#VALUE!</v>
      </c>
      <c r="FA37" s="22" t="n">
        <f aca="false">IF('Current Index'!869:869,"AAAAAH2265w=",0)</f>
        <v>0</v>
      </c>
      <c r="FB37" s="22" t="e">
        <f aca="false">AND('Current Index'!A869,"AAAAAH22650=")</f>
        <v>#VALUE!</v>
      </c>
      <c r="FC37" s="22" t="e">
        <f aca="false">AND('current index'!#ref!,"AAAAAH22654=")</f>
        <v>#VALUE!</v>
      </c>
      <c r="FD37" s="22" t="e">
        <f aca="false">AND('Current Index'!B869,"AAAAAH22658=")</f>
        <v>#VALUE!</v>
      </c>
      <c r="FE37" s="22" t="e">
        <f aca="false">AND('Current Index'!C869,"AAAAAH2266A=")</f>
        <v>#VALUE!</v>
      </c>
      <c r="FF37" s="22" t="e">
        <f aca="false">AND('Current Index'!D869,"AAAAAH2266E=")</f>
        <v>#VALUE!</v>
      </c>
      <c r="FG37" s="22" t="e">
        <f aca="false">AND('Current Index'!E869,"AAAAAH2266I=")</f>
        <v>#VALUE!</v>
      </c>
      <c r="FH37" s="22" t="e">
        <f aca="false">AND('Current Index'!F869,"AAAAAH2266M=")</f>
        <v>#VALUE!</v>
      </c>
      <c r="FI37" s="22" t="e">
        <f aca="false">AND('Current Index'!G869,"AAAAAH2266Q=")</f>
        <v>#VALUE!</v>
      </c>
      <c r="FJ37" s="22" t="e">
        <f aca="false">AND('Current Index'!H869,"AAAAAH2266U=")</f>
        <v>#VALUE!</v>
      </c>
      <c r="FK37" s="22" t="e">
        <f aca="false">AND('Current Index'!I869,"AAAAAH2266Y=")</f>
        <v>#VALUE!</v>
      </c>
      <c r="FL37" s="22" t="n">
        <f aca="false">IF('Current Index'!870:870,"AAAAAH2266c=",0)</f>
        <v>0</v>
      </c>
      <c r="FM37" s="22" t="e">
        <f aca="false">AND('Current Index'!A870,"AAAAAH2266g=")</f>
        <v>#VALUE!</v>
      </c>
      <c r="FN37" s="22" t="e">
        <f aca="false">AND('current index'!#ref!,"AAAAAH2266k=")</f>
        <v>#VALUE!</v>
      </c>
      <c r="FO37" s="22" t="e">
        <f aca="false">AND('Current Index'!B870,"AAAAAH2266o=")</f>
        <v>#VALUE!</v>
      </c>
      <c r="FP37" s="22" t="e">
        <f aca="false">AND('Current Index'!C870,"AAAAAH2266s=")</f>
        <v>#VALUE!</v>
      </c>
      <c r="FQ37" s="22" t="e">
        <f aca="false">AND('Current Index'!D870,"AAAAAH2266w=")</f>
        <v>#VALUE!</v>
      </c>
      <c r="FR37" s="22" t="e">
        <f aca="false">AND('Current Index'!E870,"AAAAAH22660=")</f>
        <v>#VALUE!</v>
      </c>
      <c r="FS37" s="22" t="e">
        <f aca="false">AND('Current Index'!F870,"AAAAAH22664=")</f>
        <v>#VALUE!</v>
      </c>
      <c r="FT37" s="22" t="e">
        <f aca="false">AND('Current Index'!G870,"AAAAAH22668=")</f>
        <v>#VALUE!</v>
      </c>
      <c r="FU37" s="22" t="e">
        <f aca="false">AND('Current Index'!H870,"AAAAAH2267A=")</f>
        <v>#VALUE!</v>
      </c>
      <c r="FV37" s="22" t="e">
        <f aca="false">AND('Current Index'!I870,"AAAAAH2267E=")</f>
        <v>#VALUE!</v>
      </c>
      <c r="FW37" s="22" t="n">
        <f aca="false">IF('Current Index'!871:871,"AAAAAH2267I=",0)</f>
        <v>0</v>
      </c>
      <c r="FX37" s="22" t="e">
        <f aca="false">AND('Current Index'!A871,"AAAAAH2267M=")</f>
        <v>#VALUE!</v>
      </c>
      <c r="FY37" s="22" t="e">
        <f aca="false">AND('current index'!#ref!,"AAAAAH2267Q=")</f>
        <v>#VALUE!</v>
      </c>
      <c r="FZ37" s="22" t="e">
        <f aca="false">AND('Current Index'!B871,"AAAAAH2267U=")</f>
        <v>#VALUE!</v>
      </c>
      <c r="GA37" s="22" t="e">
        <f aca="false">AND('Current Index'!C871,"AAAAAH2267Y=")</f>
        <v>#VALUE!</v>
      </c>
      <c r="GB37" s="22" t="e">
        <f aca="false">AND('Current Index'!D871,"AAAAAH2267c=")</f>
        <v>#VALUE!</v>
      </c>
      <c r="GC37" s="22" t="e">
        <f aca="false">AND('Current Index'!E871,"AAAAAH2267g=")</f>
        <v>#VALUE!</v>
      </c>
      <c r="GD37" s="22" t="e">
        <f aca="false">AND('Current Index'!F871,"AAAAAH2267k=")</f>
        <v>#VALUE!</v>
      </c>
      <c r="GE37" s="22" t="e">
        <f aca="false">AND('Current Index'!G871,"AAAAAH2267o=")</f>
        <v>#VALUE!</v>
      </c>
      <c r="GF37" s="22" t="e">
        <f aca="false">AND('Current Index'!H871,"AAAAAH2267s=")</f>
        <v>#VALUE!</v>
      </c>
      <c r="GG37" s="22" t="e">
        <f aca="false">AND('Current Index'!I871,"AAAAAH2267w=")</f>
        <v>#VALUE!</v>
      </c>
      <c r="GH37" s="22" t="n">
        <f aca="false">IF('Current Index'!872:872,"AAAAAH22670=",0)</f>
        <v>0</v>
      </c>
      <c r="GI37" s="22" t="e">
        <f aca="false">AND('Current Index'!A872,"AAAAAH22674=")</f>
        <v>#VALUE!</v>
      </c>
      <c r="GJ37" s="22" t="e">
        <f aca="false">AND('current index'!#ref!,"AAAAAH22678=")</f>
        <v>#VALUE!</v>
      </c>
      <c r="GK37" s="22" t="e">
        <f aca="false">AND('Current Index'!B872,"AAAAAH2268A=")</f>
        <v>#VALUE!</v>
      </c>
      <c r="GL37" s="22" t="e">
        <f aca="false">AND('Current Index'!C872,"AAAAAH2268E=")</f>
        <v>#VALUE!</v>
      </c>
      <c r="GM37" s="22" t="e">
        <f aca="false">AND('Current Index'!D872,"AAAAAH2268I=")</f>
        <v>#VALUE!</v>
      </c>
      <c r="GN37" s="22" t="e">
        <f aca="false">AND('Current Index'!E872,"AAAAAH2268M=")</f>
        <v>#VALUE!</v>
      </c>
      <c r="GO37" s="22" t="e">
        <f aca="false">AND('Current Index'!F872,"AAAAAH2268Q=")</f>
        <v>#VALUE!</v>
      </c>
      <c r="GP37" s="22" t="e">
        <f aca="false">AND('Current Index'!G872,"AAAAAH2268U=")</f>
        <v>#VALUE!</v>
      </c>
      <c r="GQ37" s="22" t="e">
        <f aca="false">AND('Current Index'!H872,"AAAAAH2268Y=")</f>
        <v>#VALUE!</v>
      </c>
      <c r="GR37" s="22" t="e">
        <f aca="false">AND('Current Index'!I872,"AAAAAH2268c=")</f>
        <v>#VALUE!</v>
      </c>
      <c r="GS37" s="22" t="n">
        <f aca="false">IF('Current Index'!873:873,"AAAAAH2268g=",0)</f>
        <v>0</v>
      </c>
      <c r="GT37" s="22" t="e">
        <f aca="false">AND('Current Index'!A873,"AAAAAH2268k=")</f>
        <v>#VALUE!</v>
      </c>
      <c r="GU37" s="22" t="e">
        <f aca="false">AND('current index'!#ref!,"AAAAAH2268o=")</f>
        <v>#VALUE!</v>
      </c>
      <c r="GV37" s="22" t="e">
        <f aca="false">AND('Current Index'!B873,"AAAAAH2268s=")</f>
        <v>#VALUE!</v>
      </c>
      <c r="GW37" s="22" t="e">
        <f aca="false">AND('Current Index'!C873,"AAAAAH2268w=")</f>
        <v>#VALUE!</v>
      </c>
      <c r="GX37" s="22" t="e">
        <f aca="false">AND('Current Index'!D873,"AAAAAH22680=")</f>
        <v>#VALUE!</v>
      </c>
      <c r="GY37" s="22" t="e">
        <f aca="false">AND('Current Index'!E873,"AAAAAH22684=")</f>
        <v>#VALUE!</v>
      </c>
      <c r="GZ37" s="22" t="e">
        <f aca="false">AND('Current Index'!F873,"AAAAAH22688=")</f>
        <v>#VALUE!</v>
      </c>
      <c r="HA37" s="22" t="e">
        <f aca="false">AND('Current Index'!G873,"AAAAAH2269A=")</f>
        <v>#VALUE!</v>
      </c>
      <c r="HB37" s="22" t="e">
        <f aca="false">AND('Current Index'!H873,"AAAAAH2269E=")</f>
        <v>#VALUE!</v>
      </c>
      <c r="HC37" s="22" t="e">
        <f aca="false">AND('Current Index'!I873,"AAAAAH2269I=")</f>
        <v>#VALUE!</v>
      </c>
      <c r="HD37" s="22" t="e">
        <f aca="false">IF(#REF!,"AAAAAH2269M=",0)</f>
        <v>#REF!</v>
      </c>
      <c r="HE37" s="22" t="e">
        <f aca="false">AND(#REF!,"AAAAAH2269Q=")</f>
        <v>#VALUE!</v>
      </c>
      <c r="HF37" s="22" t="e">
        <f aca="false">AND('current index'!#ref!,"AAAAAH2269U=")</f>
        <v>#VALUE!</v>
      </c>
      <c r="HG37" s="22" t="e">
        <f aca="false">AND(#REF!,"AAAAAH2269Y=")</f>
        <v>#VALUE!</v>
      </c>
      <c r="HH37" s="22" t="e">
        <f aca="false">AND(#REF!,"AAAAAH2269c=")</f>
        <v>#VALUE!</v>
      </c>
      <c r="HI37" s="22" t="e">
        <f aca="false">AND(#REF!,"AAAAAH2269g=")</f>
        <v>#VALUE!</v>
      </c>
      <c r="HJ37" s="22" t="e">
        <f aca="false">AND(#REF!,"AAAAAH2269k=")</f>
        <v>#VALUE!</v>
      </c>
      <c r="HK37" s="22" t="e">
        <f aca="false">AND(#REF!,"AAAAAH2269o=")</f>
        <v>#VALUE!</v>
      </c>
      <c r="HL37" s="22" t="e">
        <f aca="false">AND(#REF!,"AAAAAH2269s=")</f>
        <v>#VALUE!</v>
      </c>
      <c r="HM37" s="22" t="e">
        <f aca="false">AND(#REF!,"AAAAAH2269w=")</f>
        <v>#VALUE!</v>
      </c>
      <c r="HN37" s="22" t="e">
        <f aca="false">AND(#REF!,"AAAAAH22690=")</f>
        <v>#VALUE!</v>
      </c>
      <c r="HO37" s="22" t="n">
        <f aca="false">IF('Current Index'!874:874,"AAAAAH22694=",0)</f>
        <v>0</v>
      </c>
      <c r="HP37" s="22" t="e">
        <f aca="false">AND('Current Index'!A874,"AAAAAH22698=")</f>
        <v>#VALUE!</v>
      </c>
      <c r="HQ37" s="22" t="e">
        <f aca="false">AND('current index'!#ref!,"AAAAAH226+A=")</f>
        <v>#VALUE!</v>
      </c>
      <c r="HR37" s="22" t="e">
        <f aca="false">AND('Current Index'!B874,"AAAAAH226+E=")</f>
        <v>#VALUE!</v>
      </c>
      <c r="HS37" s="22" t="e">
        <f aca="false">AND('Current Index'!C874,"AAAAAH226+I=")</f>
        <v>#VALUE!</v>
      </c>
      <c r="HT37" s="22" t="e">
        <f aca="false">AND('Current Index'!D874,"AAAAAH226+M=")</f>
        <v>#VALUE!</v>
      </c>
      <c r="HU37" s="22" t="e">
        <f aca="false">AND('Current Index'!E874,"AAAAAH226+Q=")</f>
        <v>#VALUE!</v>
      </c>
      <c r="HV37" s="22" t="e">
        <f aca="false">AND('Current Index'!F874,"AAAAAH226+U=")</f>
        <v>#VALUE!</v>
      </c>
      <c r="HW37" s="22" t="e">
        <f aca="false">AND('Current Index'!G874,"AAAAAH226+Y=")</f>
        <v>#VALUE!</v>
      </c>
      <c r="HX37" s="22" t="e">
        <f aca="false">AND('Current Index'!H874,"AAAAAH226+c=")</f>
        <v>#VALUE!</v>
      </c>
      <c r="HY37" s="22" t="e">
        <f aca="false">AND('Current Index'!I874,"AAAAAH226+g=")</f>
        <v>#VALUE!</v>
      </c>
      <c r="HZ37" s="22" t="n">
        <f aca="false">IF('Current Index'!875:875,"AAAAAH226+k=",0)</f>
        <v>0</v>
      </c>
      <c r="IA37" s="22" t="e">
        <f aca="false">AND('Current Index'!A875,"AAAAAH226+o=")</f>
        <v>#VALUE!</v>
      </c>
      <c r="IB37" s="22" t="e">
        <f aca="false">AND('current index'!#ref!,"AAAAAH226+s=")</f>
        <v>#VALUE!</v>
      </c>
      <c r="IC37" s="22" t="e">
        <f aca="false">AND('Current Index'!B875,"AAAAAH226+w=")</f>
        <v>#VALUE!</v>
      </c>
      <c r="ID37" s="22" t="e">
        <f aca="false">AND('Current Index'!C875,"AAAAAH226+0=")</f>
        <v>#VALUE!</v>
      </c>
      <c r="IE37" s="22" t="e">
        <f aca="false">AND('Current Index'!D875,"AAAAAH226+4=")</f>
        <v>#VALUE!</v>
      </c>
      <c r="IF37" s="22" t="e">
        <f aca="false">AND('Current Index'!E875,"AAAAAH226+8=")</f>
        <v>#VALUE!</v>
      </c>
      <c r="IG37" s="22" t="e">
        <f aca="false">AND('Current Index'!F875,"AAAAAH226/A=")</f>
        <v>#VALUE!</v>
      </c>
      <c r="IH37" s="22" t="e">
        <f aca="false">AND('Current Index'!G875,"AAAAAH226/E=")</f>
        <v>#VALUE!</v>
      </c>
      <c r="II37" s="22" t="e">
        <f aca="false">AND('Current Index'!H875,"AAAAAH226/I=")</f>
        <v>#VALUE!</v>
      </c>
      <c r="IJ37" s="22" t="e">
        <f aca="false">AND('Current Index'!I875,"AAAAAH226/M=")</f>
        <v>#VALUE!</v>
      </c>
      <c r="IK37" s="22" t="n">
        <f aca="false">IF('Current Index'!876:876,"AAAAAH226/Q=",0)</f>
        <v>0</v>
      </c>
      <c r="IL37" s="22" t="e">
        <f aca="false">AND('Current Index'!A876,"AAAAAH226/U=")</f>
        <v>#VALUE!</v>
      </c>
      <c r="IM37" s="22" t="e">
        <f aca="false">AND('current index'!#ref!,"AAAAAH226/Y=")</f>
        <v>#VALUE!</v>
      </c>
      <c r="IN37" s="22" t="e">
        <f aca="false">AND('Current Index'!B876,"AAAAAH226/c=")</f>
        <v>#VALUE!</v>
      </c>
      <c r="IO37" s="22" t="e">
        <f aca="false">AND('Current Index'!C876,"AAAAAH226/g=")</f>
        <v>#VALUE!</v>
      </c>
      <c r="IP37" s="22" t="e">
        <f aca="false">AND('Current Index'!D876,"AAAAAH226/k=")</f>
        <v>#VALUE!</v>
      </c>
      <c r="IQ37" s="22" t="e">
        <f aca="false">AND('Current Index'!E876,"AAAAAH226/o=")</f>
        <v>#VALUE!</v>
      </c>
      <c r="IR37" s="22" t="e">
        <f aca="false">AND('Current Index'!F876,"AAAAAH226/s=")</f>
        <v>#VALUE!</v>
      </c>
      <c r="IS37" s="22" t="e">
        <f aca="false">AND('Current Index'!G876,"AAAAAH226/w=")</f>
        <v>#VALUE!</v>
      </c>
      <c r="IT37" s="22" t="e">
        <f aca="false">AND('Current Index'!H876,"AAAAAH226/0=")</f>
        <v>#VALUE!</v>
      </c>
      <c r="IU37" s="22" t="e">
        <f aca="false">AND('Current Index'!I876,"AAAAAH226/4=")</f>
        <v>#VALUE!</v>
      </c>
      <c r="IV37" s="22" t="n">
        <f aca="false">IF('Current Index'!877:877,"AAAAAH226/8=",0)</f>
        <v>0</v>
      </c>
    </row>
    <row r="38" customFormat="false" ht="12.75" hidden="false" customHeight="false" outlineLevel="0" collapsed="false">
      <c r="A38" s="22" t="e">
        <f aca="false">AND('Current Index'!A877,"AAAAAGfnuwA=")</f>
        <v>#VALUE!</v>
      </c>
      <c r="B38" s="22" t="e">
        <f aca="false">AND('current index'!#ref!,"AAAAAGfnuwE=")</f>
        <v>#VALUE!</v>
      </c>
      <c r="C38" s="22" t="e">
        <f aca="false">AND('Current Index'!B877,"AAAAAGfnuwI=")</f>
        <v>#VALUE!</v>
      </c>
      <c r="D38" s="22" t="e">
        <f aca="false">AND('Current Index'!C877,"AAAAAGfnuwM=")</f>
        <v>#VALUE!</v>
      </c>
      <c r="E38" s="22" t="e">
        <f aca="false">AND('Current Index'!D877,"AAAAAGfnuwQ=")</f>
        <v>#VALUE!</v>
      </c>
      <c r="F38" s="22" t="e">
        <f aca="false">AND('Current Index'!E877,"AAAAAGfnuwU=")</f>
        <v>#VALUE!</v>
      </c>
      <c r="G38" s="22" t="e">
        <f aca="false">AND('Current Index'!F877,"AAAAAGfnuwY=")</f>
        <v>#VALUE!</v>
      </c>
      <c r="H38" s="22" t="e">
        <f aca="false">AND('Current Index'!G877,"AAAAAGfnuwc=")</f>
        <v>#VALUE!</v>
      </c>
      <c r="I38" s="22" t="e">
        <f aca="false">AND('Current Index'!H877,"AAAAAGfnuwg=")</f>
        <v>#VALUE!</v>
      </c>
      <c r="J38" s="22" t="e">
        <f aca="false">AND('Current Index'!I877,"AAAAAGfnuwk=")</f>
        <v>#VALUE!</v>
      </c>
      <c r="K38" s="22" t="n">
        <f aca="false">IF('Current Index'!882:882,"AAAAAGfnuwo=",0)</f>
        <v>0</v>
      </c>
      <c r="L38" s="22" t="e">
        <f aca="false">AND('Current Index'!A882,"AAAAAGfnuws=")</f>
        <v>#VALUE!</v>
      </c>
      <c r="M38" s="22" t="e">
        <f aca="false">AND('current index'!#ref!,"AAAAAGfnuww=")</f>
        <v>#VALUE!</v>
      </c>
      <c r="N38" s="22" t="e">
        <f aca="false">AND('Current Index'!B882,"AAAAAGfnuw0=")</f>
        <v>#VALUE!</v>
      </c>
      <c r="O38" s="22" t="e">
        <f aca="false">AND('Current Index'!C882,"AAAAAGfnuw4=")</f>
        <v>#VALUE!</v>
      </c>
      <c r="P38" s="22" t="e">
        <f aca="false">AND('Current Index'!D882,"AAAAAGfnuw8=")</f>
        <v>#VALUE!</v>
      </c>
      <c r="Q38" s="22" t="e">
        <f aca="false">AND('Current Index'!E882,"AAAAAGfnuxA=")</f>
        <v>#VALUE!</v>
      </c>
      <c r="R38" s="22" t="e">
        <f aca="false">AND('Current Index'!F882,"AAAAAGfnuxE=")</f>
        <v>#VALUE!</v>
      </c>
      <c r="S38" s="22" t="e">
        <f aca="false">AND('Current Index'!G882,"AAAAAGfnuxI=")</f>
        <v>#VALUE!</v>
      </c>
      <c r="T38" s="22" t="e">
        <f aca="false">AND('Current Index'!H882,"AAAAAGfnuxM=")</f>
        <v>#VALUE!</v>
      </c>
      <c r="U38" s="22" t="e">
        <f aca="false">AND('Current Index'!I882,"AAAAAGfnuxQ=")</f>
        <v>#VALUE!</v>
      </c>
      <c r="V38" s="22" t="n">
        <f aca="false">IF('Current Index'!883:883,"AAAAAGfnuxU=",0)</f>
        <v>0</v>
      </c>
      <c r="W38" s="22" t="e">
        <f aca="false">AND('Current Index'!A883,"AAAAAGfnuxY=")</f>
        <v>#VALUE!</v>
      </c>
      <c r="X38" s="22" t="e">
        <f aca="false">AND('current index'!#ref!,"AAAAAGfnuxc=")</f>
        <v>#VALUE!</v>
      </c>
      <c r="Y38" s="22" t="e">
        <f aca="false">AND('Current Index'!B883,"AAAAAGfnuxg=")</f>
        <v>#VALUE!</v>
      </c>
      <c r="Z38" s="22" t="e">
        <f aca="false">AND('Current Index'!C883,"AAAAAGfnuxk=")</f>
        <v>#VALUE!</v>
      </c>
      <c r="AA38" s="22" t="e">
        <f aca="false">AND('Current Index'!D883,"AAAAAGfnuxo=")</f>
        <v>#VALUE!</v>
      </c>
      <c r="AB38" s="22" t="e">
        <f aca="false">AND('Current Index'!E883,"AAAAAGfnuxs=")</f>
        <v>#VALUE!</v>
      </c>
      <c r="AC38" s="22" t="e">
        <f aca="false">AND('Current Index'!F883,"AAAAAGfnuxw=")</f>
        <v>#VALUE!</v>
      </c>
      <c r="AD38" s="22" t="e">
        <f aca="false">AND('Current Index'!G883,"AAAAAGfnux0=")</f>
        <v>#VALUE!</v>
      </c>
      <c r="AE38" s="22" t="e">
        <f aca="false">AND('Current Index'!H883,"AAAAAGfnux4=")</f>
        <v>#VALUE!</v>
      </c>
      <c r="AF38" s="22" t="e">
        <f aca="false">AND('Current Index'!I883,"AAAAAGfnux8=")</f>
        <v>#VALUE!</v>
      </c>
      <c r="AG38" s="22" t="n">
        <f aca="false">IF('Current Index'!884:884,"AAAAAGfnuyA=",0)</f>
        <v>0</v>
      </c>
      <c r="AH38" s="22" t="e">
        <f aca="false">AND('Current Index'!A884,"AAAAAGfnuyE=")</f>
        <v>#VALUE!</v>
      </c>
      <c r="AI38" s="22" t="e">
        <f aca="false">AND('current index'!#ref!,"AAAAAGfnuyI=")</f>
        <v>#VALUE!</v>
      </c>
      <c r="AJ38" s="22" t="e">
        <f aca="false">AND('Current Index'!B884,"AAAAAGfnuyM=")</f>
        <v>#VALUE!</v>
      </c>
      <c r="AK38" s="22" t="e">
        <f aca="false">AND('Current Index'!C884,"AAAAAGfnuyQ=")</f>
        <v>#VALUE!</v>
      </c>
      <c r="AL38" s="22" t="e">
        <f aca="false">AND('Current Index'!D884,"AAAAAGfnuyU=")</f>
        <v>#VALUE!</v>
      </c>
      <c r="AM38" s="22" t="e">
        <f aca="false">AND('Current Index'!E884,"AAAAAGfnuyY=")</f>
        <v>#VALUE!</v>
      </c>
      <c r="AN38" s="22" t="e">
        <f aca="false">AND('Current Index'!F884,"AAAAAGfnuyc=")</f>
        <v>#VALUE!</v>
      </c>
      <c r="AO38" s="22" t="e">
        <f aca="false">AND('Current Index'!G884,"AAAAAGfnuyg=")</f>
        <v>#VALUE!</v>
      </c>
      <c r="AP38" s="22" t="e">
        <f aca="false">AND('Current Index'!H884,"AAAAAGfnuyk=")</f>
        <v>#VALUE!</v>
      </c>
      <c r="AQ38" s="22" t="e">
        <f aca="false">AND('Current Index'!I884,"AAAAAGfnuyo=")</f>
        <v>#VALUE!</v>
      </c>
      <c r="AR38" s="22" t="n">
        <f aca="false">IF('Current Index'!885:885,"AAAAAGfnuys=",0)</f>
        <v>0</v>
      </c>
      <c r="AS38" s="22" t="e">
        <f aca="false">AND('Current Index'!A885,"AAAAAGfnuyw=")</f>
        <v>#VALUE!</v>
      </c>
      <c r="AT38" s="22" t="e">
        <f aca="false">AND('current index'!#ref!,"AAAAAGfnuy0=")</f>
        <v>#VALUE!</v>
      </c>
      <c r="AU38" s="22" t="e">
        <f aca="false">AND('Current Index'!B885,"AAAAAGfnuy4=")</f>
        <v>#VALUE!</v>
      </c>
      <c r="AV38" s="22" t="e">
        <f aca="false">AND('Current Index'!C885,"AAAAAGfnuy8=")</f>
        <v>#VALUE!</v>
      </c>
      <c r="AW38" s="22" t="e">
        <f aca="false">AND('Current Index'!D885,"AAAAAGfnuzA=")</f>
        <v>#VALUE!</v>
      </c>
      <c r="AX38" s="22" t="e">
        <f aca="false">AND('Current Index'!E885,"AAAAAGfnuzE=")</f>
        <v>#VALUE!</v>
      </c>
      <c r="AY38" s="22" t="e">
        <f aca="false">AND('Current Index'!F885,"AAAAAGfnuzI=")</f>
        <v>#VALUE!</v>
      </c>
      <c r="AZ38" s="22" t="e">
        <f aca="false">AND('Current Index'!G885,"AAAAAGfnuzM=")</f>
        <v>#VALUE!</v>
      </c>
      <c r="BA38" s="22" t="e">
        <f aca="false">AND('Current Index'!H885,"AAAAAGfnuzQ=")</f>
        <v>#VALUE!</v>
      </c>
      <c r="BB38" s="22" t="e">
        <f aca="false">AND('Current Index'!I885,"AAAAAGfnuzU=")</f>
        <v>#VALUE!</v>
      </c>
      <c r="BC38" s="22" t="n">
        <f aca="false">IF('Current Index'!886:886,"AAAAAGfnuzY=",0)</f>
        <v>0</v>
      </c>
      <c r="BD38" s="22" t="e">
        <f aca="false">AND('Current Index'!A886,"AAAAAGfnuzc=")</f>
        <v>#VALUE!</v>
      </c>
      <c r="BE38" s="22" t="e">
        <f aca="false">AND('current index'!#ref!,"AAAAAGfnuzg=")</f>
        <v>#VALUE!</v>
      </c>
      <c r="BF38" s="22" t="e">
        <f aca="false">AND('Current Index'!B886,"AAAAAGfnuzk=")</f>
        <v>#VALUE!</v>
      </c>
      <c r="BG38" s="22" t="e">
        <f aca="false">AND('Current Index'!C886,"AAAAAGfnuzo=")</f>
        <v>#VALUE!</v>
      </c>
      <c r="BH38" s="22" t="e">
        <f aca="false">AND('Current Index'!D886,"AAAAAGfnuzs=")</f>
        <v>#VALUE!</v>
      </c>
      <c r="BI38" s="22" t="e">
        <f aca="false">AND('Current Index'!E886,"AAAAAGfnuzw=")</f>
        <v>#VALUE!</v>
      </c>
      <c r="BJ38" s="22" t="e">
        <f aca="false">AND('Current Index'!F886,"AAAAAGfnuz0=")</f>
        <v>#VALUE!</v>
      </c>
      <c r="BK38" s="22" t="e">
        <f aca="false">AND('Current Index'!G886,"AAAAAGfnuz4=")</f>
        <v>#VALUE!</v>
      </c>
      <c r="BL38" s="22" t="e">
        <f aca="false">AND('Current Index'!H886,"AAAAAGfnuz8=")</f>
        <v>#VALUE!</v>
      </c>
      <c r="BM38" s="22" t="e">
        <f aca="false">AND('Current Index'!I886,"AAAAAGfnu0A=")</f>
        <v>#VALUE!</v>
      </c>
      <c r="BN38" s="22" t="e">
        <f aca="false">IF('current index'!#ref!,"AAAAAGfnu0E=",0)</f>
        <v>#VALUE!</v>
      </c>
      <c r="BO38" s="22" t="e">
        <f aca="false">AND('current index'!#ref!,"AAAAAGfnu0I=")</f>
        <v>#VALUE!</v>
      </c>
      <c r="BP38" s="22" t="e">
        <f aca="false">AND('current index'!#ref!,"AAAAAGfnu0M=")</f>
        <v>#VALUE!</v>
      </c>
      <c r="BQ38" s="22" t="e">
        <f aca="false">AND('current index'!#ref!,"AAAAAGfnu0Q=")</f>
        <v>#VALUE!</v>
      </c>
      <c r="BR38" s="22" t="e">
        <f aca="false">AND('current index'!#ref!,"AAAAAGfnu0U=")</f>
        <v>#VALUE!</v>
      </c>
      <c r="BS38" s="22" t="e">
        <f aca="false">AND('current index'!#ref!,"AAAAAGfnu0Y=")</f>
        <v>#VALUE!</v>
      </c>
      <c r="BT38" s="22" t="e">
        <f aca="false">AND('current index'!#ref!,"AAAAAGfnu0c=")</f>
        <v>#VALUE!</v>
      </c>
      <c r="BU38" s="22" t="e">
        <f aca="false">AND('current index'!#ref!,"AAAAAGfnu0g=")</f>
        <v>#VALUE!</v>
      </c>
      <c r="BV38" s="22" t="e">
        <f aca="false">AND('current index'!#ref!,"AAAAAGfnu0k=")</f>
        <v>#VALUE!</v>
      </c>
      <c r="BW38" s="22" t="e">
        <f aca="false">AND('current index'!#ref!,"AAAAAGfnu0o=")</f>
        <v>#VALUE!</v>
      </c>
      <c r="BX38" s="22" t="e">
        <f aca="false">AND('current index'!#ref!,"AAAAAGfnu0s=")</f>
        <v>#VALUE!</v>
      </c>
      <c r="BY38" s="22" t="e">
        <f aca="false">IF('current index'!#ref!,"AAAAAGfnu0w=",0)</f>
        <v>#VALUE!</v>
      </c>
      <c r="BZ38" s="22" t="e">
        <f aca="false">AND('current index'!#ref!,"AAAAAGfnu00=")</f>
        <v>#VALUE!</v>
      </c>
      <c r="CA38" s="22" t="e">
        <f aca="false">AND('current index'!#ref!,"AAAAAGfnu04=")</f>
        <v>#VALUE!</v>
      </c>
      <c r="CB38" s="22" t="e">
        <f aca="false">AND('current index'!#ref!,"AAAAAGfnu08=")</f>
        <v>#VALUE!</v>
      </c>
      <c r="CC38" s="22" t="e">
        <f aca="false">AND('current index'!#ref!,"AAAAAGfnu1A=")</f>
        <v>#VALUE!</v>
      </c>
      <c r="CD38" s="22" t="e">
        <f aca="false">AND('current index'!#ref!,"AAAAAGfnu1E=")</f>
        <v>#VALUE!</v>
      </c>
      <c r="CE38" s="22" t="e">
        <f aca="false">AND('current index'!#ref!,"AAAAAGfnu1I=")</f>
        <v>#VALUE!</v>
      </c>
      <c r="CF38" s="22" t="e">
        <f aca="false">AND('current index'!#ref!,"AAAAAGfnu1M=")</f>
        <v>#VALUE!</v>
      </c>
      <c r="CG38" s="22" t="e">
        <f aca="false">AND('current index'!#ref!,"AAAAAGfnu1Q=")</f>
        <v>#VALUE!</v>
      </c>
      <c r="CH38" s="22" t="e">
        <f aca="false">AND('current index'!#ref!,"AAAAAGfnu1U=")</f>
        <v>#VALUE!</v>
      </c>
      <c r="CI38" s="22" t="e">
        <f aca="false">AND('current index'!#ref!,"AAAAAGfnu1Y=")</f>
        <v>#VALUE!</v>
      </c>
      <c r="CJ38" s="22" t="n">
        <f aca="false">IF('Current Index'!888:888,"AAAAAGfnu1c=",0)</f>
        <v>0</v>
      </c>
      <c r="CK38" s="22" t="e">
        <f aca="false">AND('Current Index'!A888,"AAAAAGfnu1g=")</f>
        <v>#VALUE!</v>
      </c>
      <c r="CL38" s="22" t="e">
        <f aca="false">AND('current index'!#ref!,"AAAAAGfnu1k=")</f>
        <v>#VALUE!</v>
      </c>
      <c r="CM38" s="22" t="e">
        <f aca="false">AND('Current Index'!B888,"AAAAAGfnu1o=")</f>
        <v>#VALUE!</v>
      </c>
      <c r="CN38" s="22" t="e">
        <f aca="false">AND('Current Index'!C888,"AAAAAGfnu1s=")</f>
        <v>#VALUE!</v>
      </c>
      <c r="CO38" s="22" t="e">
        <f aca="false">AND('Current Index'!D888,"AAAAAGfnu1w=")</f>
        <v>#VALUE!</v>
      </c>
      <c r="CP38" s="22" t="e">
        <f aca="false">AND('Current Index'!E888,"AAAAAGfnu10=")</f>
        <v>#VALUE!</v>
      </c>
      <c r="CQ38" s="22" t="e">
        <f aca="false">AND('Current Index'!F888,"AAAAAGfnu14=")</f>
        <v>#VALUE!</v>
      </c>
      <c r="CR38" s="22" t="e">
        <f aca="false">AND('Current Index'!G888,"AAAAAGfnu18=")</f>
        <v>#VALUE!</v>
      </c>
      <c r="CS38" s="22" t="e">
        <f aca="false">AND('Current Index'!H888,"AAAAAGfnu2A=")</f>
        <v>#VALUE!</v>
      </c>
      <c r="CT38" s="22" t="e">
        <f aca="false">AND('Current Index'!I888,"AAAAAGfnu2E=")</f>
        <v>#VALUE!</v>
      </c>
      <c r="CU38" s="22" t="n">
        <f aca="false">IF('Current Index'!889:889,"AAAAAGfnu2I=",0)</f>
        <v>0</v>
      </c>
      <c r="CV38" s="22" t="e">
        <f aca="false">AND('Current Index'!A889,"AAAAAGfnu2M=")</f>
        <v>#VALUE!</v>
      </c>
      <c r="CW38" s="22" t="e">
        <f aca="false">AND('current index'!#ref!,"AAAAAGfnu2Q=")</f>
        <v>#VALUE!</v>
      </c>
      <c r="CX38" s="22" t="e">
        <f aca="false">AND('Current Index'!B889,"AAAAAGfnu2U=")</f>
        <v>#VALUE!</v>
      </c>
      <c r="CY38" s="22" t="e">
        <f aca="false">AND('Current Index'!C889,"AAAAAGfnu2Y=")</f>
        <v>#VALUE!</v>
      </c>
      <c r="CZ38" s="22" t="e">
        <f aca="false">AND('Current Index'!D889,"AAAAAGfnu2c=")</f>
        <v>#VALUE!</v>
      </c>
      <c r="DA38" s="22" t="e">
        <f aca="false">AND('Current Index'!E889,"AAAAAGfnu2g=")</f>
        <v>#VALUE!</v>
      </c>
      <c r="DB38" s="22" t="e">
        <f aca="false">AND('Current Index'!F889,"AAAAAGfnu2k=")</f>
        <v>#VALUE!</v>
      </c>
      <c r="DC38" s="22" t="e">
        <f aca="false">AND('Current Index'!G889,"AAAAAGfnu2o=")</f>
        <v>#VALUE!</v>
      </c>
      <c r="DD38" s="22" t="e">
        <f aca="false">AND('Current Index'!H889,"AAAAAGfnu2s=")</f>
        <v>#VALUE!</v>
      </c>
      <c r="DE38" s="22" t="e">
        <f aca="false">AND('Current Index'!I889,"AAAAAGfnu2w=")</f>
        <v>#VALUE!</v>
      </c>
      <c r="DF38" s="22" t="n">
        <f aca="false">IF('Current Index'!890:890,"AAAAAGfnu20=",0)</f>
        <v>0</v>
      </c>
      <c r="DG38" s="22" t="e">
        <f aca="false">AND('Current Index'!A890,"AAAAAGfnu24=")</f>
        <v>#VALUE!</v>
      </c>
      <c r="DH38" s="22" t="e">
        <f aca="false">AND('current index'!#ref!,"AAAAAGfnu28=")</f>
        <v>#VALUE!</v>
      </c>
      <c r="DI38" s="22" t="e">
        <f aca="false">AND('Current Index'!B890,"AAAAAGfnu3A=")</f>
        <v>#VALUE!</v>
      </c>
      <c r="DJ38" s="22" t="e">
        <f aca="false">AND('Current Index'!C890,"AAAAAGfnu3E=")</f>
        <v>#VALUE!</v>
      </c>
      <c r="DK38" s="22" t="e">
        <f aca="false">AND('Current Index'!D890,"AAAAAGfnu3I=")</f>
        <v>#VALUE!</v>
      </c>
      <c r="DL38" s="22" t="e">
        <f aca="false">AND('Current Index'!E890,"AAAAAGfnu3M=")</f>
        <v>#VALUE!</v>
      </c>
      <c r="DM38" s="22" t="e">
        <f aca="false">AND('Current Index'!F890,"AAAAAGfnu3Q=")</f>
        <v>#VALUE!</v>
      </c>
      <c r="DN38" s="22" t="e">
        <f aca="false">AND('Current Index'!G890,"AAAAAGfnu3U=")</f>
        <v>#VALUE!</v>
      </c>
      <c r="DO38" s="22" t="e">
        <f aca="false">AND('Current Index'!H890,"AAAAAGfnu3Y=")</f>
        <v>#VALUE!</v>
      </c>
      <c r="DP38" s="22" t="e">
        <f aca="false">AND('Current Index'!I890,"AAAAAGfnu3c=")</f>
        <v>#VALUE!</v>
      </c>
      <c r="DQ38" s="22" t="e">
        <f aca="false">IF('current index'!#ref!,"AAAAAGfnu3g=",0)</f>
        <v>#VALUE!</v>
      </c>
      <c r="DR38" s="22" t="e">
        <f aca="false">AND('current index'!#ref!,"AAAAAGfnu3k=")</f>
        <v>#VALUE!</v>
      </c>
      <c r="DS38" s="22" t="e">
        <f aca="false">AND('current index'!#ref!,"AAAAAGfnu3o=")</f>
        <v>#VALUE!</v>
      </c>
      <c r="DT38" s="22" t="e">
        <f aca="false">AND('current index'!#ref!,"AAAAAGfnu3s=")</f>
        <v>#VALUE!</v>
      </c>
      <c r="DU38" s="22" t="e">
        <f aca="false">AND('current index'!#ref!,"AAAAAGfnu3w=")</f>
        <v>#VALUE!</v>
      </c>
      <c r="DV38" s="22" t="e">
        <f aca="false">AND('current index'!#ref!,"AAAAAGfnu30=")</f>
        <v>#VALUE!</v>
      </c>
      <c r="DW38" s="22" t="e">
        <f aca="false">AND('current index'!#ref!,"AAAAAGfnu34=")</f>
        <v>#VALUE!</v>
      </c>
      <c r="DX38" s="22" t="e">
        <f aca="false">AND('current index'!#ref!,"AAAAAGfnu38=")</f>
        <v>#VALUE!</v>
      </c>
      <c r="DY38" s="22" t="e">
        <f aca="false">AND('current index'!#ref!,"AAAAAGfnu4A=")</f>
        <v>#VALUE!</v>
      </c>
      <c r="DZ38" s="22" t="e">
        <f aca="false">AND('current index'!#ref!,"AAAAAGfnu4E=")</f>
        <v>#VALUE!</v>
      </c>
      <c r="EA38" s="22" t="e">
        <f aca="false">AND('current index'!#ref!,"AAAAAGfnu4I=")</f>
        <v>#VALUE!</v>
      </c>
      <c r="EB38" s="22" t="n">
        <f aca="false">IF('Current Index'!891:891,"AAAAAGfnu4M=",0)</f>
        <v>0</v>
      </c>
      <c r="EC38" s="22" t="e">
        <f aca="false">AND('Current Index'!A891,"AAAAAGfnu4Q=")</f>
        <v>#VALUE!</v>
      </c>
      <c r="ED38" s="22" t="e">
        <f aca="false">AND('current index'!#ref!,"AAAAAGfnu4U=")</f>
        <v>#VALUE!</v>
      </c>
      <c r="EE38" s="22" t="e">
        <f aca="false">AND('Current Index'!B891,"AAAAAGfnu4Y=")</f>
        <v>#VALUE!</v>
      </c>
      <c r="EF38" s="22" t="e">
        <f aca="false">AND('Current Index'!C891,"AAAAAGfnu4c=")</f>
        <v>#VALUE!</v>
      </c>
      <c r="EG38" s="22" t="e">
        <f aca="false">AND('Current Index'!D891,"AAAAAGfnu4g=")</f>
        <v>#VALUE!</v>
      </c>
      <c r="EH38" s="22" t="e">
        <f aca="false">AND('Current Index'!E891,"AAAAAGfnu4k=")</f>
        <v>#VALUE!</v>
      </c>
      <c r="EI38" s="22" t="e">
        <f aca="false">AND('Current Index'!F891,"AAAAAGfnu4o=")</f>
        <v>#VALUE!</v>
      </c>
      <c r="EJ38" s="22" t="e">
        <f aca="false">AND('Current Index'!G891,"AAAAAGfnu4s=")</f>
        <v>#VALUE!</v>
      </c>
      <c r="EK38" s="22" t="e">
        <f aca="false">AND('Current Index'!H891,"AAAAAGfnu4w=")</f>
        <v>#VALUE!</v>
      </c>
      <c r="EL38" s="22" t="e">
        <f aca="false">AND('Current Index'!I891,"AAAAAGfnu40=")</f>
        <v>#VALUE!</v>
      </c>
      <c r="EM38" s="22" t="n">
        <f aca="false">IF('Current Index'!892:892,"AAAAAGfnu44=",0)</f>
        <v>0</v>
      </c>
      <c r="EN38" s="22" t="e">
        <f aca="false">AND('Current Index'!A892,"AAAAAGfnu48=")</f>
        <v>#VALUE!</v>
      </c>
      <c r="EO38" s="22" t="e">
        <f aca="false">AND('current index'!#ref!,"AAAAAGfnu5A=")</f>
        <v>#VALUE!</v>
      </c>
      <c r="EP38" s="22" t="e">
        <f aca="false">AND('Current Index'!B892,"AAAAAGfnu5E=")</f>
        <v>#VALUE!</v>
      </c>
      <c r="EQ38" s="22" t="e">
        <f aca="false">AND('Current Index'!C892,"AAAAAGfnu5I=")</f>
        <v>#VALUE!</v>
      </c>
      <c r="ER38" s="22" t="e">
        <f aca="false">AND('Current Index'!D892,"AAAAAGfnu5M=")</f>
        <v>#VALUE!</v>
      </c>
      <c r="ES38" s="22" t="e">
        <f aca="false">AND('Current Index'!E892,"AAAAAGfnu5Q=")</f>
        <v>#VALUE!</v>
      </c>
      <c r="ET38" s="22" t="e">
        <f aca="false">AND('Current Index'!F892,"AAAAAGfnu5U=")</f>
        <v>#VALUE!</v>
      </c>
      <c r="EU38" s="22" t="e">
        <f aca="false">AND('Current Index'!G892,"AAAAAGfnu5Y=")</f>
        <v>#VALUE!</v>
      </c>
      <c r="EV38" s="22" t="e">
        <f aca="false">AND('Current Index'!H892,"AAAAAGfnu5c=")</f>
        <v>#VALUE!</v>
      </c>
      <c r="EW38" s="22" t="e">
        <f aca="false">AND('Current Index'!I892,"AAAAAGfnu5g=")</f>
        <v>#VALUE!</v>
      </c>
      <c r="EX38" s="22" t="e">
        <f aca="false">IF('current index'!#ref!,"AAAAAGfnu5k=",0)</f>
        <v>#VALUE!</v>
      </c>
      <c r="EY38" s="22" t="e">
        <f aca="false">AND('current index'!#ref!,"AAAAAGfnu5o=")</f>
        <v>#VALUE!</v>
      </c>
      <c r="EZ38" s="22" t="e">
        <f aca="false">AND('current index'!#ref!,"AAAAAGfnu5s=")</f>
        <v>#VALUE!</v>
      </c>
      <c r="FA38" s="22" t="e">
        <f aca="false">AND('current index'!#ref!,"AAAAAGfnu5w=")</f>
        <v>#VALUE!</v>
      </c>
      <c r="FB38" s="22" t="e">
        <f aca="false">AND('current index'!#ref!,"AAAAAGfnu50=")</f>
        <v>#VALUE!</v>
      </c>
      <c r="FC38" s="22" t="e">
        <f aca="false">AND('current index'!#ref!,"AAAAAGfnu54=")</f>
        <v>#VALUE!</v>
      </c>
      <c r="FD38" s="22" t="e">
        <f aca="false">AND('current index'!#ref!,"AAAAAGfnu58=")</f>
        <v>#VALUE!</v>
      </c>
      <c r="FE38" s="22" t="e">
        <f aca="false">AND('current index'!#ref!,"AAAAAGfnu6A=")</f>
        <v>#VALUE!</v>
      </c>
      <c r="FF38" s="22" t="e">
        <f aca="false">AND('current index'!#ref!,"AAAAAGfnu6E=")</f>
        <v>#VALUE!</v>
      </c>
      <c r="FG38" s="22" t="e">
        <f aca="false">AND('current index'!#ref!,"AAAAAGfnu6I=")</f>
        <v>#VALUE!</v>
      </c>
      <c r="FH38" s="22" t="e">
        <f aca="false">AND('current index'!#ref!,"AAAAAGfnu6M=")</f>
        <v>#VALUE!</v>
      </c>
      <c r="FI38" s="22" t="e">
        <f aca="false">IF('current index'!#ref!,"AAAAAGfnu6Q=",0)</f>
        <v>#VALUE!</v>
      </c>
      <c r="FJ38" s="22" t="e">
        <f aca="false">AND('current index'!#ref!,"AAAAAGfnu6U=")</f>
        <v>#VALUE!</v>
      </c>
      <c r="FK38" s="22" t="e">
        <f aca="false">AND('current index'!#ref!,"AAAAAGfnu6Y=")</f>
        <v>#VALUE!</v>
      </c>
      <c r="FL38" s="22" t="e">
        <f aca="false">AND('current index'!#ref!,"AAAAAGfnu6c=")</f>
        <v>#VALUE!</v>
      </c>
      <c r="FM38" s="22" t="e">
        <f aca="false">AND('current index'!#ref!,"AAAAAGfnu6g=")</f>
        <v>#VALUE!</v>
      </c>
      <c r="FN38" s="22" t="e">
        <f aca="false">AND('current index'!#ref!,"AAAAAGfnu6k=")</f>
        <v>#VALUE!</v>
      </c>
      <c r="FO38" s="22" t="e">
        <f aca="false">AND('current index'!#ref!,"AAAAAGfnu6o=")</f>
        <v>#VALUE!</v>
      </c>
      <c r="FP38" s="22" t="e">
        <f aca="false">AND('current index'!#ref!,"AAAAAGfnu6s=")</f>
        <v>#VALUE!</v>
      </c>
      <c r="FQ38" s="22" t="e">
        <f aca="false">AND('current index'!#ref!,"AAAAAGfnu6w=")</f>
        <v>#VALUE!</v>
      </c>
      <c r="FR38" s="22" t="e">
        <f aca="false">AND('current index'!#ref!,"AAAAAGfnu60=")</f>
        <v>#VALUE!</v>
      </c>
      <c r="FS38" s="22" t="e">
        <f aca="false">AND('current index'!#ref!,"AAAAAGfnu64=")</f>
        <v>#VALUE!</v>
      </c>
      <c r="FT38" s="22" t="e">
        <f aca="false">IF('current index'!#ref!,"AAAAAGfnu68=",0)</f>
        <v>#VALUE!</v>
      </c>
      <c r="FU38" s="22" t="e">
        <f aca="false">AND('current index'!#ref!,"AAAAAGfnu7A=")</f>
        <v>#VALUE!</v>
      </c>
      <c r="FV38" s="22" t="e">
        <f aca="false">AND('current index'!#ref!,"AAAAAGfnu7E=")</f>
        <v>#VALUE!</v>
      </c>
      <c r="FW38" s="22" t="e">
        <f aca="false">AND('current index'!#ref!,"AAAAAGfnu7I=")</f>
        <v>#VALUE!</v>
      </c>
      <c r="FX38" s="22" t="e">
        <f aca="false">AND('current index'!#ref!,"AAAAAGfnu7M=")</f>
        <v>#VALUE!</v>
      </c>
      <c r="FY38" s="22" t="e">
        <f aca="false">AND('current index'!#ref!,"AAAAAGfnu7Q=")</f>
        <v>#VALUE!</v>
      </c>
      <c r="FZ38" s="22" t="e">
        <f aca="false">AND('current index'!#ref!,"AAAAAGfnu7U=")</f>
        <v>#VALUE!</v>
      </c>
      <c r="GA38" s="22" t="e">
        <f aca="false">AND('current index'!#ref!,"AAAAAGfnu7Y=")</f>
        <v>#VALUE!</v>
      </c>
      <c r="GB38" s="22" t="e">
        <f aca="false">AND('current index'!#ref!,"AAAAAGfnu7c=")</f>
        <v>#VALUE!</v>
      </c>
      <c r="GC38" s="22" t="e">
        <f aca="false">AND('current index'!#ref!,"AAAAAGfnu7g=")</f>
        <v>#VALUE!</v>
      </c>
      <c r="GD38" s="22" t="e">
        <f aca="false">AND('current index'!#ref!,"AAAAAGfnu7k=")</f>
        <v>#VALUE!</v>
      </c>
      <c r="GE38" s="22" t="e">
        <f aca="false">IF('current index'!#ref!,"AAAAAGfnu7o=",0)</f>
        <v>#VALUE!</v>
      </c>
      <c r="GF38" s="22" t="e">
        <f aca="false">AND('current index'!#ref!,"AAAAAGfnu7s=")</f>
        <v>#VALUE!</v>
      </c>
      <c r="GG38" s="22" t="e">
        <f aca="false">AND('current index'!#ref!,"AAAAAGfnu7w=")</f>
        <v>#VALUE!</v>
      </c>
      <c r="GH38" s="22" t="e">
        <f aca="false">AND('current index'!#ref!,"AAAAAGfnu70=")</f>
        <v>#VALUE!</v>
      </c>
      <c r="GI38" s="22" t="e">
        <f aca="false">AND('current index'!#ref!,"AAAAAGfnu74=")</f>
        <v>#VALUE!</v>
      </c>
      <c r="GJ38" s="22" t="e">
        <f aca="false">AND('current index'!#ref!,"AAAAAGfnu78=")</f>
        <v>#VALUE!</v>
      </c>
      <c r="GK38" s="22" t="e">
        <f aca="false">AND('current index'!#ref!,"AAAAAGfnu8A=")</f>
        <v>#VALUE!</v>
      </c>
      <c r="GL38" s="22" t="e">
        <f aca="false">AND('current index'!#ref!,"AAAAAGfnu8E=")</f>
        <v>#VALUE!</v>
      </c>
      <c r="GM38" s="22" t="e">
        <f aca="false">AND('current index'!#ref!,"AAAAAGfnu8I=")</f>
        <v>#VALUE!</v>
      </c>
      <c r="GN38" s="22" t="e">
        <f aca="false">AND('current index'!#ref!,"AAAAAGfnu8M=")</f>
        <v>#VALUE!</v>
      </c>
      <c r="GO38" s="22" t="e">
        <f aca="false">AND('current index'!#ref!,"AAAAAGfnu8Q=")</f>
        <v>#VALUE!</v>
      </c>
      <c r="GP38" s="22" t="n">
        <f aca="false">IF('Current Index'!896:896,"AAAAAGfnu8U=",0)</f>
        <v>0</v>
      </c>
      <c r="GQ38" s="22" t="e">
        <f aca="false">AND('Current Index'!A896,"AAAAAGfnu8Y=")</f>
        <v>#VALUE!</v>
      </c>
      <c r="GR38" s="22" t="e">
        <f aca="false">AND('current index'!#ref!,"AAAAAGfnu8c=")</f>
        <v>#VALUE!</v>
      </c>
      <c r="GS38" s="22" t="e">
        <f aca="false">AND('Current Index'!B896,"AAAAAGfnu8g=")</f>
        <v>#VALUE!</v>
      </c>
      <c r="GT38" s="22" t="e">
        <f aca="false">AND('Current Index'!C896,"AAAAAGfnu8k=")</f>
        <v>#VALUE!</v>
      </c>
      <c r="GU38" s="22" t="e">
        <f aca="false">AND('Current Index'!D896,"AAAAAGfnu8o=")</f>
        <v>#VALUE!</v>
      </c>
      <c r="GV38" s="22" t="e">
        <f aca="false">AND('Current Index'!E896,"AAAAAGfnu8s=")</f>
        <v>#VALUE!</v>
      </c>
      <c r="GW38" s="22" t="e">
        <f aca="false">AND('Current Index'!F896,"AAAAAGfnu8w=")</f>
        <v>#VALUE!</v>
      </c>
      <c r="GX38" s="22" t="e">
        <f aca="false">AND('Current Index'!G896,"AAAAAGfnu80=")</f>
        <v>#VALUE!</v>
      </c>
      <c r="GY38" s="22" t="e">
        <f aca="false">AND('Current Index'!H896,"AAAAAGfnu84=")</f>
        <v>#VALUE!</v>
      </c>
      <c r="GZ38" s="22" t="e">
        <f aca="false">AND('Current Index'!I896,"AAAAAGfnu88=")</f>
        <v>#VALUE!</v>
      </c>
      <c r="HA38" s="22" t="n">
        <f aca="false">IF('Current Index'!897:897,"AAAAAGfnu9A=",0)</f>
        <v>0</v>
      </c>
      <c r="HB38" s="22" t="e">
        <f aca="false">AND('Current Index'!A897,"AAAAAGfnu9E=")</f>
        <v>#VALUE!</v>
      </c>
      <c r="HC38" s="22" t="e">
        <f aca="false">AND('current index'!#ref!,"AAAAAGfnu9I=")</f>
        <v>#VALUE!</v>
      </c>
      <c r="HD38" s="22" t="e">
        <f aca="false">AND('Current Index'!B897,"AAAAAGfnu9M=")</f>
        <v>#VALUE!</v>
      </c>
      <c r="HE38" s="22" t="e">
        <f aca="false">AND('Current Index'!C897,"AAAAAGfnu9Q=")</f>
        <v>#VALUE!</v>
      </c>
      <c r="HF38" s="22" t="e">
        <f aca="false">AND('Current Index'!D897,"AAAAAGfnu9U=")</f>
        <v>#VALUE!</v>
      </c>
      <c r="HG38" s="22" t="e">
        <f aca="false">AND('Current Index'!E897,"AAAAAGfnu9Y=")</f>
        <v>#VALUE!</v>
      </c>
      <c r="HH38" s="22" t="e">
        <f aca="false">AND('Current Index'!F897,"AAAAAGfnu9c=")</f>
        <v>#VALUE!</v>
      </c>
      <c r="HI38" s="22" t="e">
        <f aca="false">AND('Current Index'!G897,"AAAAAGfnu9g=")</f>
        <v>#VALUE!</v>
      </c>
      <c r="HJ38" s="22" t="e">
        <f aca="false">AND('Current Index'!H897,"AAAAAGfnu9k=")</f>
        <v>#VALUE!</v>
      </c>
      <c r="HK38" s="22" t="e">
        <f aca="false">AND('Current Index'!I897,"AAAAAGfnu9o=")</f>
        <v>#VALUE!</v>
      </c>
      <c r="HL38" s="22" t="n">
        <f aca="false">IF('Current Index'!898:898,"AAAAAGfnu9s=",0)</f>
        <v>0</v>
      </c>
      <c r="HM38" s="22" t="e">
        <f aca="false">AND('Current Index'!A898,"AAAAAGfnu9w=")</f>
        <v>#VALUE!</v>
      </c>
      <c r="HN38" s="22" t="e">
        <f aca="false">AND('current index'!#ref!,"AAAAAGfnu90=")</f>
        <v>#VALUE!</v>
      </c>
      <c r="HO38" s="22" t="e">
        <f aca="false">AND('Current Index'!B898,"AAAAAGfnu94=")</f>
        <v>#VALUE!</v>
      </c>
      <c r="HP38" s="22" t="e">
        <f aca="false">AND('Current Index'!C898,"AAAAAGfnu98=")</f>
        <v>#VALUE!</v>
      </c>
      <c r="HQ38" s="22" t="e">
        <f aca="false">AND('Current Index'!D898,"AAAAAGfnu+A=")</f>
        <v>#VALUE!</v>
      </c>
      <c r="HR38" s="22" t="e">
        <f aca="false">AND('Current Index'!E898,"AAAAAGfnu+E=")</f>
        <v>#VALUE!</v>
      </c>
      <c r="HS38" s="22" t="e">
        <f aca="false">AND('Current Index'!F898,"AAAAAGfnu+I=")</f>
        <v>#VALUE!</v>
      </c>
      <c r="HT38" s="22" t="e">
        <f aca="false">AND('Current Index'!G898,"AAAAAGfnu+M=")</f>
        <v>#VALUE!</v>
      </c>
      <c r="HU38" s="22" t="e">
        <f aca="false">AND('Current Index'!H898,"AAAAAGfnu+Q=")</f>
        <v>#VALUE!</v>
      </c>
      <c r="HV38" s="22" t="e">
        <f aca="false">AND('Current Index'!I898,"AAAAAGfnu+U=")</f>
        <v>#VALUE!</v>
      </c>
      <c r="HW38" s="22" t="n">
        <f aca="false">IF('Current Index'!899:899,"AAAAAGfnu+Y=",0)</f>
        <v>0</v>
      </c>
      <c r="HX38" s="22" t="e">
        <f aca="false">AND('Current Index'!A899,"AAAAAGfnu+c=")</f>
        <v>#VALUE!</v>
      </c>
      <c r="HY38" s="22" t="e">
        <f aca="false">AND('current index'!#ref!,"AAAAAGfnu+g=")</f>
        <v>#VALUE!</v>
      </c>
      <c r="HZ38" s="22" t="e">
        <f aca="false">AND('Current Index'!B899,"AAAAAGfnu+k=")</f>
        <v>#VALUE!</v>
      </c>
      <c r="IA38" s="22" t="e">
        <f aca="false">AND('Current Index'!C899,"AAAAAGfnu+o=")</f>
        <v>#VALUE!</v>
      </c>
      <c r="IB38" s="22" t="e">
        <f aca="false">AND('Current Index'!D899,"AAAAAGfnu+s=")</f>
        <v>#VALUE!</v>
      </c>
      <c r="IC38" s="22" t="e">
        <f aca="false">AND('Current Index'!E899,"AAAAAGfnu+w=")</f>
        <v>#VALUE!</v>
      </c>
      <c r="ID38" s="22" t="e">
        <f aca="false">AND('Current Index'!F899,"AAAAAGfnu+0=")</f>
        <v>#VALUE!</v>
      </c>
      <c r="IE38" s="22" t="e">
        <f aca="false">AND('Current Index'!G899,"AAAAAGfnu+4=")</f>
        <v>#VALUE!</v>
      </c>
      <c r="IF38" s="22" t="e">
        <f aca="false">AND('Current Index'!H899,"AAAAAGfnu+8=")</f>
        <v>#VALUE!</v>
      </c>
      <c r="IG38" s="22" t="e">
        <f aca="false">AND('Current Index'!I899,"AAAAAGfnu/A=")</f>
        <v>#VALUE!</v>
      </c>
      <c r="IH38" s="22" t="e">
        <f aca="false">IF('current index'!#ref!,"AAAAAGfnu/E=",0)</f>
        <v>#VALUE!</v>
      </c>
      <c r="II38" s="22" t="e">
        <f aca="false">AND('current index'!#ref!,"AAAAAGfnu/I=")</f>
        <v>#VALUE!</v>
      </c>
      <c r="IJ38" s="22" t="e">
        <f aca="false">AND('current index'!#ref!,"AAAAAGfnu/M=")</f>
        <v>#VALUE!</v>
      </c>
      <c r="IK38" s="22" t="e">
        <f aca="false">AND('current index'!#ref!,"AAAAAGfnu/Q=")</f>
        <v>#VALUE!</v>
      </c>
      <c r="IL38" s="22" t="e">
        <f aca="false">AND('current index'!#ref!,"AAAAAGfnu/U=")</f>
        <v>#VALUE!</v>
      </c>
      <c r="IM38" s="22" t="e">
        <f aca="false">AND('current index'!#ref!,"AAAAAGfnu/Y=")</f>
        <v>#VALUE!</v>
      </c>
      <c r="IN38" s="22" t="e">
        <f aca="false">AND('current index'!#ref!,"AAAAAGfnu/c=")</f>
        <v>#VALUE!</v>
      </c>
      <c r="IO38" s="22" t="e">
        <f aca="false">AND('current index'!#ref!,"AAAAAGfnu/g=")</f>
        <v>#VALUE!</v>
      </c>
      <c r="IP38" s="22" t="e">
        <f aca="false">AND('current index'!#ref!,"AAAAAGfnu/k=")</f>
        <v>#VALUE!</v>
      </c>
      <c r="IQ38" s="22" t="e">
        <f aca="false">AND('current index'!#ref!,"AAAAAGfnu/o=")</f>
        <v>#VALUE!</v>
      </c>
      <c r="IR38" s="22" t="e">
        <f aca="false">AND('current index'!#ref!,"AAAAAGfnu/s=")</f>
        <v>#VALUE!</v>
      </c>
      <c r="IS38" s="22" t="n">
        <f aca="false">IF('Current Index'!900:900,"AAAAAGfnu/w=",0)</f>
        <v>0</v>
      </c>
      <c r="IT38" s="22" t="e">
        <f aca="false">AND('Current Index'!A900,"AAAAAGfnu/0=")</f>
        <v>#VALUE!</v>
      </c>
      <c r="IU38" s="22" t="e">
        <f aca="false">AND('current index'!#ref!,"AAAAAGfnu/4=")</f>
        <v>#VALUE!</v>
      </c>
      <c r="IV38" s="22" t="e">
        <f aca="false">AND('Current Index'!B900,"AAAAAGfnu/8=")</f>
        <v>#VALUE!</v>
      </c>
    </row>
    <row r="39" customFormat="false" ht="12.75" hidden="false" customHeight="false" outlineLevel="0" collapsed="false">
      <c r="A39" s="22" t="e">
        <f aca="false">AND('Current Index'!C900,"AAAAAGY6SwA=")</f>
        <v>#VALUE!</v>
      </c>
      <c r="B39" s="22" t="e">
        <f aca="false">AND('Current Index'!D900,"AAAAAGY6SwE=")</f>
        <v>#VALUE!</v>
      </c>
      <c r="C39" s="22" t="e">
        <f aca="false">AND('Current Index'!E900,"AAAAAGY6SwI=")</f>
        <v>#VALUE!</v>
      </c>
      <c r="D39" s="22" t="e">
        <f aca="false">AND('Current Index'!F900,"AAAAAGY6SwM=")</f>
        <v>#VALUE!</v>
      </c>
      <c r="E39" s="22" t="e">
        <f aca="false">AND('Current Index'!G900,"AAAAAGY6SwQ=")</f>
        <v>#VALUE!</v>
      </c>
      <c r="F39" s="22" t="e">
        <f aca="false">AND('Current Index'!H900,"AAAAAGY6SwU=")</f>
        <v>#VALUE!</v>
      </c>
      <c r="G39" s="22" t="e">
        <f aca="false">AND('Current Index'!I900,"AAAAAGY6SwY=")</f>
        <v>#VALUE!</v>
      </c>
      <c r="H39" s="22" t="e">
        <f aca="false">IF('Current Index'!901:901,"AAAAAGY6Swc=",0)</f>
        <v>#VALUE!</v>
      </c>
      <c r="I39" s="22" t="e">
        <f aca="false">AND('Current Index'!A901,"AAAAAGY6Swg=")</f>
        <v>#VALUE!</v>
      </c>
      <c r="J39" s="22" t="e">
        <f aca="false">AND('current index'!#ref!,"AAAAAGY6Swk=")</f>
        <v>#VALUE!</v>
      </c>
      <c r="K39" s="22" t="e">
        <f aca="false">AND('Current Index'!B901,"AAAAAGY6Swo=")</f>
        <v>#VALUE!</v>
      </c>
      <c r="L39" s="22" t="e">
        <f aca="false">AND('Current Index'!C901,"AAAAAGY6Sws=")</f>
        <v>#VALUE!</v>
      </c>
      <c r="M39" s="22" t="e">
        <f aca="false">AND('Current Index'!D901,"AAAAAGY6Sww=")</f>
        <v>#VALUE!</v>
      </c>
      <c r="N39" s="22" t="e">
        <f aca="false">AND('Current Index'!E901,"AAAAAGY6Sw0=")</f>
        <v>#VALUE!</v>
      </c>
      <c r="O39" s="22" t="e">
        <f aca="false">AND('Current Index'!F901,"AAAAAGY6Sw4=")</f>
        <v>#VALUE!</v>
      </c>
      <c r="P39" s="22" t="e">
        <f aca="false">AND('Current Index'!G901,"AAAAAGY6Sw8=")</f>
        <v>#VALUE!</v>
      </c>
      <c r="Q39" s="22" t="e">
        <f aca="false">AND('Current Index'!H901,"AAAAAGY6SxA=")</f>
        <v>#VALUE!</v>
      </c>
      <c r="R39" s="22" t="e">
        <f aca="false">AND('Current Index'!I901,"AAAAAGY6SxE=")</f>
        <v>#VALUE!</v>
      </c>
      <c r="S39" s="22" t="n">
        <f aca="false">IF('Current Index'!902:902,"AAAAAGY6SxI=",0)</f>
        <v>0</v>
      </c>
      <c r="T39" s="22" t="e">
        <f aca="false">AND('Current Index'!A902,"AAAAAGY6SxM=")</f>
        <v>#VALUE!</v>
      </c>
      <c r="U39" s="22" t="e">
        <f aca="false">AND('current index'!#ref!,"AAAAAGY6SxQ=")</f>
        <v>#VALUE!</v>
      </c>
      <c r="V39" s="22" t="e">
        <f aca="false">AND('Current Index'!B902,"AAAAAGY6SxU=")</f>
        <v>#VALUE!</v>
      </c>
      <c r="W39" s="22" t="e">
        <f aca="false">AND('Current Index'!C902,"AAAAAGY6SxY=")</f>
        <v>#VALUE!</v>
      </c>
      <c r="X39" s="22" t="e">
        <f aca="false">AND('Current Index'!D902,"AAAAAGY6Sxc=")</f>
        <v>#VALUE!</v>
      </c>
      <c r="Y39" s="22" t="e">
        <f aca="false">AND('Current Index'!E902,"AAAAAGY6Sxg=")</f>
        <v>#VALUE!</v>
      </c>
      <c r="Z39" s="22" t="e">
        <f aca="false">AND('Current Index'!F902,"AAAAAGY6Sxk=")</f>
        <v>#VALUE!</v>
      </c>
      <c r="AA39" s="22" t="e">
        <f aca="false">AND('Current Index'!G902,"AAAAAGY6Sxo=")</f>
        <v>#VALUE!</v>
      </c>
      <c r="AB39" s="22" t="e">
        <f aca="false">AND('Current Index'!H902,"AAAAAGY6Sxs=")</f>
        <v>#VALUE!</v>
      </c>
      <c r="AC39" s="22" t="e">
        <f aca="false">AND('Current Index'!I902,"AAAAAGY6Sxw=")</f>
        <v>#VALUE!</v>
      </c>
      <c r="AD39" s="22" t="n">
        <f aca="false">IF('Current Index'!903:903,"AAAAAGY6Sx0=",0)</f>
        <v>0</v>
      </c>
      <c r="AE39" s="22" t="e">
        <f aca="false">AND('Current Index'!A903,"AAAAAGY6Sx4=")</f>
        <v>#VALUE!</v>
      </c>
      <c r="AF39" s="22" t="e">
        <f aca="false">AND('current index'!#ref!,"AAAAAGY6Sx8=")</f>
        <v>#VALUE!</v>
      </c>
      <c r="AG39" s="22" t="e">
        <f aca="false">AND('Current Index'!B903,"AAAAAGY6SyA=")</f>
        <v>#VALUE!</v>
      </c>
      <c r="AH39" s="22" t="e">
        <f aca="false">AND('Current Index'!C903,"AAAAAGY6SyE=")</f>
        <v>#VALUE!</v>
      </c>
      <c r="AI39" s="22" t="e">
        <f aca="false">AND('Current Index'!D903,"AAAAAGY6SyI=")</f>
        <v>#VALUE!</v>
      </c>
      <c r="AJ39" s="22" t="e">
        <f aca="false">AND('Current Index'!E903,"AAAAAGY6SyM=")</f>
        <v>#VALUE!</v>
      </c>
      <c r="AK39" s="22" t="e">
        <f aca="false">AND('Current Index'!F903,"AAAAAGY6SyQ=")</f>
        <v>#VALUE!</v>
      </c>
      <c r="AL39" s="22" t="e">
        <f aca="false">AND('Current Index'!G903,"AAAAAGY6SyU=")</f>
        <v>#VALUE!</v>
      </c>
      <c r="AM39" s="22" t="e">
        <f aca="false">AND('Current Index'!H903,"AAAAAGY6SyY=")</f>
        <v>#VALUE!</v>
      </c>
      <c r="AN39" s="22" t="e">
        <f aca="false">AND('Current Index'!I903,"AAAAAGY6Syc=")</f>
        <v>#VALUE!</v>
      </c>
      <c r="AO39" s="22" t="e">
        <f aca="false">IF('current index'!#ref!,"AAAAAGY6Syg=",0)</f>
        <v>#VALUE!</v>
      </c>
      <c r="AP39" s="22" t="e">
        <f aca="false">AND('current index'!#ref!,"AAAAAGY6Syk=")</f>
        <v>#VALUE!</v>
      </c>
      <c r="AQ39" s="22" t="e">
        <f aca="false">AND('current index'!#ref!,"AAAAAGY6Syo=")</f>
        <v>#VALUE!</v>
      </c>
      <c r="AR39" s="22" t="e">
        <f aca="false">AND('current index'!#ref!,"AAAAAGY6Sys=")</f>
        <v>#VALUE!</v>
      </c>
      <c r="AS39" s="22" t="e">
        <f aca="false">AND('current index'!#ref!,"AAAAAGY6Syw=")</f>
        <v>#VALUE!</v>
      </c>
      <c r="AT39" s="22" t="e">
        <f aca="false">AND('current index'!#ref!,"AAAAAGY6Sy0=")</f>
        <v>#VALUE!</v>
      </c>
      <c r="AU39" s="22" t="e">
        <f aca="false">AND('current index'!#ref!,"AAAAAGY6Sy4=")</f>
        <v>#VALUE!</v>
      </c>
      <c r="AV39" s="22" t="e">
        <f aca="false">AND('current index'!#ref!,"AAAAAGY6Sy8=")</f>
        <v>#VALUE!</v>
      </c>
      <c r="AW39" s="22" t="e">
        <f aca="false">AND('current index'!#ref!,"AAAAAGY6SzA=")</f>
        <v>#VALUE!</v>
      </c>
      <c r="AX39" s="22" t="e">
        <f aca="false">AND('current index'!#ref!,"AAAAAGY6SzE=")</f>
        <v>#VALUE!</v>
      </c>
      <c r="AY39" s="22" t="e">
        <f aca="false">AND('current index'!#ref!,"AAAAAGY6SzI=")</f>
        <v>#VALUE!</v>
      </c>
      <c r="AZ39" s="22" t="n">
        <f aca="false">IF('Current Index'!904:904,"AAAAAGY6SzM=",0)</f>
        <v>0</v>
      </c>
      <c r="BA39" s="22" t="e">
        <f aca="false">AND('Current Index'!A904,"AAAAAGY6SzQ=")</f>
        <v>#VALUE!</v>
      </c>
      <c r="BB39" s="22" t="e">
        <f aca="false">AND('current index'!#ref!,"AAAAAGY6SzU=")</f>
        <v>#VALUE!</v>
      </c>
      <c r="BC39" s="22" t="e">
        <f aca="false">AND('Current Index'!B904,"AAAAAGY6SzY=")</f>
        <v>#VALUE!</v>
      </c>
      <c r="BD39" s="22" t="e">
        <f aca="false">AND('Current Index'!C904,"AAAAAGY6Szc=")</f>
        <v>#VALUE!</v>
      </c>
      <c r="BE39" s="22" t="e">
        <f aca="false">AND('Current Index'!D904,"AAAAAGY6Szg=")</f>
        <v>#VALUE!</v>
      </c>
      <c r="BF39" s="22" t="e">
        <f aca="false">AND('Current Index'!E904,"AAAAAGY6Szk=")</f>
        <v>#VALUE!</v>
      </c>
      <c r="BG39" s="22" t="e">
        <f aca="false">AND('Current Index'!F904,"AAAAAGY6Szo=")</f>
        <v>#VALUE!</v>
      </c>
      <c r="BH39" s="22" t="e">
        <f aca="false">AND('Current Index'!G904,"AAAAAGY6Szs=")</f>
        <v>#VALUE!</v>
      </c>
      <c r="BI39" s="22" t="e">
        <f aca="false">AND('Current Index'!H904,"AAAAAGY6Szw=")</f>
        <v>#VALUE!</v>
      </c>
      <c r="BJ39" s="22" t="e">
        <f aca="false">AND('Current Index'!I904,"AAAAAGY6Sz0=")</f>
        <v>#VALUE!</v>
      </c>
      <c r="BK39" s="22" t="n">
        <f aca="false">IF('Current Index'!905:905,"AAAAAGY6Sz4=",0)</f>
        <v>0</v>
      </c>
      <c r="BL39" s="22" t="e">
        <f aca="false">AND('Current Index'!A905,"AAAAAGY6Sz8=")</f>
        <v>#VALUE!</v>
      </c>
      <c r="BM39" s="22" t="e">
        <f aca="false">AND('current index'!#ref!,"AAAAAGY6S0A=")</f>
        <v>#VALUE!</v>
      </c>
      <c r="BN39" s="22" t="e">
        <f aca="false">AND('Current Index'!B905,"AAAAAGY6S0E=")</f>
        <v>#VALUE!</v>
      </c>
      <c r="BO39" s="22" t="e">
        <f aca="false">AND('Current Index'!C905,"AAAAAGY6S0I=")</f>
        <v>#VALUE!</v>
      </c>
      <c r="BP39" s="22" t="e">
        <f aca="false">AND('Current Index'!D905,"AAAAAGY6S0M=")</f>
        <v>#VALUE!</v>
      </c>
      <c r="BQ39" s="22" t="e">
        <f aca="false">AND('Current Index'!E905,"AAAAAGY6S0Q=")</f>
        <v>#VALUE!</v>
      </c>
      <c r="BR39" s="22" t="e">
        <f aca="false">AND('Current Index'!F905,"AAAAAGY6S0U=")</f>
        <v>#VALUE!</v>
      </c>
      <c r="BS39" s="22" t="e">
        <f aca="false">AND('Current Index'!G905,"AAAAAGY6S0Y=")</f>
        <v>#VALUE!</v>
      </c>
      <c r="BT39" s="22" t="e">
        <f aca="false">AND('Current Index'!H905,"AAAAAGY6S0c=")</f>
        <v>#VALUE!</v>
      </c>
      <c r="BU39" s="22" t="e">
        <f aca="false">AND('Current Index'!I905,"AAAAAGY6S0g=")</f>
        <v>#VALUE!</v>
      </c>
      <c r="BV39" s="22" t="n">
        <f aca="false">IF('Current Index'!906:906,"AAAAAGY6S0k=",0)</f>
        <v>0</v>
      </c>
      <c r="BW39" s="22" t="e">
        <f aca="false">IF('current index'!#ref!,"AAAAAGY6S0o=",0)</f>
        <v>#VALUE!</v>
      </c>
      <c r="BX39" s="22" t="e">
        <f aca="false">IF('current index'!#ref!,"AAAAAGY6S0s=",0)</f>
        <v>#VALUE!</v>
      </c>
      <c r="BY39" s="22" t="e">
        <f aca="false">IF('current index'!#ref!,"AAAAAGY6S0w=",0)</f>
        <v>#VALUE!</v>
      </c>
      <c r="BZ39" s="22" t="e">
        <f aca="false">IF('current index'!#ref!,"AAAAAGY6S00=",0)</f>
        <v>#VALUE!</v>
      </c>
      <c r="CA39" s="22" t="e">
        <f aca="false">IF('current index'!#ref!,"AAAAAGY6S04=",0)</f>
        <v>#VALUE!</v>
      </c>
      <c r="CB39" s="22" t="e">
        <f aca="false">IF('current index'!#ref!,"AAAAAGY6S08=",0)</f>
        <v>#VALUE!</v>
      </c>
      <c r="CC39" s="22" t="e">
        <f aca="false">IF('current index'!#ref!,"AAAAAGY6S1A=",0)</f>
        <v>#VALUE!</v>
      </c>
      <c r="CD39" s="22" t="e">
        <f aca="false">IF('current index'!#ref!,"AAAAAGY6S1E=",0)</f>
        <v>#VALUE!</v>
      </c>
      <c r="CE39" s="22" t="n">
        <f aca="false">IF('Current Index'!907:907,"AAAAAGY6S1I=",0)</f>
        <v>0</v>
      </c>
      <c r="CF39" s="22" t="e">
        <f aca="false">IF(#REF!,"AAAAAGY6S1M=",0)</f>
        <v>#REF!</v>
      </c>
      <c r="CG39" s="22" t="e">
        <f aca="false">IF(#REF!,"AAAAAGY6S1Q=",0)</f>
        <v>#REF!</v>
      </c>
      <c r="CH39" s="22" t="e">
        <f aca="false">IF(#REF!,"AAAAAGY6S1U=",0)</f>
        <v>#REF!</v>
      </c>
      <c r="CI39" s="22" t="e">
        <f aca="false">IF(#REF!,"AAAAAGY6S1Y=",0)</f>
        <v>#REF!</v>
      </c>
      <c r="CJ39" s="22" t="e">
        <f aca="false">IF(#REF!,"AAAAAGY6S1c=",0)</f>
        <v>#REF!</v>
      </c>
      <c r="CK39" s="22" t="e">
        <f aca="false">IF(#REF!,"AAAAAGY6S1g=",0)</f>
        <v>#REF!</v>
      </c>
      <c r="CL39" s="22" t="e">
        <f aca="false">IF(#REF!,"AAAAAGY6S1k=",0)</f>
        <v>#REF!</v>
      </c>
      <c r="CM39" s="22" t="e">
        <f aca="false">IF(#REF!,"AAAAAGY6S1o=",0)</f>
        <v>#REF!</v>
      </c>
      <c r="CN39" s="22" t="e">
        <f aca="false">IF(#REF!,"AAAAAGY6S1s=",0)</f>
        <v>#REF!</v>
      </c>
      <c r="CO39" s="22" t="e">
        <f aca="false">IF(#REF!,"AAAAAGY6S1w=",0)</f>
        <v>#REF!</v>
      </c>
      <c r="CP39" s="22" t="e">
        <f aca="false">IF(#REF!,"AAAAAGY6S10=",0)</f>
        <v>#REF!</v>
      </c>
      <c r="CQ39" s="22" t="e">
        <f aca="false">IF(#REF!,"AAAAAGY6S14=",0)</f>
        <v>#REF!</v>
      </c>
      <c r="CR39" s="22" t="e">
        <f aca="false">IF(#REF!,"AAAAAGY6S18=",0)</f>
        <v>#REF!</v>
      </c>
      <c r="CS39" s="22" t="e">
        <f aca="false">IF(#REF!,"AAAAAGY6S2A=",0)</f>
        <v>#REF!</v>
      </c>
      <c r="CT39" s="22" t="e">
        <f aca="false">IF(#REF!,"AAAAAGY6S2E=",0)</f>
        <v>#REF!</v>
      </c>
      <c r="CU39" s="22" t="e">
        <f aca="false">IF('current index'!#ref!,"AAAAAGY6S2I=",0)</f>
        <v>#VALUE!</v>
      </c>
      <c r="CV39" s="22" t="e">
        <f aca="false">IF(#REF!,"AAAAAGY6S2M=",0)</f>
        <v>#REF!</v>
      </c>
      <c r="CW39" s="22" t="e">
        <f aca="false">IF(_xlfn.single('current index'!#ref!),"AAAAAGY6S2Q=",0)</f>
        <v>#VALUE!</v>
      </c>
      <c r="CX39" s="22" t="e">
        <f aca="false">IF(#REF!,"AAAAAGY6S2U=",0)</f>
        <v>#REF!</v>
      </c>
      <c r="CY39" s="22" t="e">
        <f aca="false">IF(#REF!,"AAAAAGY6S2Y=",0)</f>
        <v>#REF!</v>
      </c>
      <c r="CZ39" s="22" t="e">
        <f aca="false">IF(#REF!,"AAAAAGY6S2c=",0)</f>
        <v>#REF!</v>
      </c>
      <c r="DA39" s="22" t="e">
        <f aca="false">IF(#REF!,"AAAAAGY6S2g=",0)</f>
        <v>#REF!</v>
      </c>
      <c r="DB39" s="22" t="e">
        <f aca="false">IF(#REF!,"AAAAAGY6S2k=",0)</f>
        <v>#REF!</v>
      </c>
      <c r="DC39" s="22" t="e">
        <f aca="false">IF(#REF!,"AAAAAGY6S2o=",0)</f>
        <v>#REF!</v>
      </c>
      <c r="DD39" s="22" t="e">
        <f aca="false">IF(#REF!,"AAAAAGY6S2s=",0)</f>
        <v>#REF!</v>
      </c>
      <c r="DE39" s="22" t="e">
        <f aca="false">IF(#REF!,"AAAAAGY6S2w=",0)</f>
        <v>#REF!</v>
      </c>
      <c r="DF39" s="22" t="e">
        <f aca="false">IF(#REF!,"AAAAAGY6S20=",0)</f>
        <v>#REF!</v>
      </c>
      <c r="DG39" s="22" t="e">
        <f aca="false">IF(#REF!,"AAAAAGY6S24=",0)</f>
        <v>#REF!</v>
      </c>
      <c r="DH39" s="22" t="e">
        <f aca="false">IF(#REF!,"AAAAAGY6S28=",0)</f>
        <v>#REF!</v>
      </c>
      <c r="DI39" s="22" t="e">
        <f aca="false">IF(#REF!,"AAAAAGY6S3A=",0)</f>
        <v>#REF!</v>
      </c>
      <c r="DJ39" s="22" t="e">
        <f aca="false">IF(#REF!,"AAAAAGY6S3E=",0)</f>
        <v>#REF!</v>
      </c>
      <c r="DK39" s="22" t="e">
        <f aca="false">IF(#REF!,"AAAAAGY6S3I=",0)</f>
        <v>#REF!</v>
      </c>
      <c r="DL39" s="22" t="e">
        <f aca="false">IF(#REF!,"AAAAAGY6S3M=",0)</f>
        <v>#REF!</v>
      </c>
      <c r="DM39" s="22" t="e">
        <f aca="false">IF(#REF!,"AAAAAGY6S3Q=",0)</f>
        <v>#REF!</v>
      </c>
      <c r="DN39" s="22" t="e">
        <f aca="false">IF(#REF!,"AAAAAGY6S3U=",0)</f>
        <v>#REF!</v>
      </c>
      <c r="DO39" s="22" t="e">
        <f aca="false">IF(#REF!,"AAAAAGY6S3Y=",0)</f>
        <v>#REF!</v>
      </c>
      <c r="DP39" s="22" t="e">
        <f aca="false">IF('current index'!#ref!,"AAAAAGY6S3c=",0)</f>
        <v>#VALUE!</v>
      </c>
      <c r="DQ39" s="22" t="e">
        <f aca="false">IF('current index'!#ref!,"AAAAAGY6S3g=",0)</f>
        <v>#VALUE!</v>
      </c>
      <c r="DR39" s="22" t="e">
        <f aca="false">IF(#REF!,"AAAAAGY6S3k=",0)</f>
        <v>#REF!</v>
      </c>
      <c r="DS39" s="22" t="e">
        <f aca="false">IF(#REF!,"AAAAAGY6S3o=",0)</f>
        <v>#REF!</v>
      </c>
      <c r="DT39" s="22" t="e">
        <f aca="false">IF(#REF!,"AAAAAGY6S3s=",0)</f>
        <v>#REF!</v>
      </c>
      <c r="DU39" s="22" t="e">
        <f aca="false">IF('current index'!#ref!,"AAAAAGY6S3w=",0)</f>
        <v>#VALUE!</v>
      </c>
      <c r="DV39" s="22" t="e">
        <f aca="false">IF('current index'!#ref!,"AAAAAGY6S30=",0)</f>
        <v>#VALUE!</v>
      </c>
      <c r="DW39" s="22" t="e">
        <f aca="false">IF('current index'!#ref!,"AAAAAGY6S34=",0)</f>
        <v>#VALUE!</v>
      </c>
      <c r="DX39" s="22" t="e">
        <f aca="false">IF('current index'!#ref!,"AAAAAGY6S38=",0)</f>
        <v>#VALUE!</v>
      </c>
      <c r="DY39" s="22" t="e">
        <f aca="false">IF('current index'!#ref!,"AAAAAGY6S4A=",0)</f>
        <v>#VALUE!</v>
      </c>
      <c r="DZ39" s="22" t="e">
        <f aca="false">IF(#REF!,"AAAAAGY6S4E=",0)</f>
        <v>#REF!</v>
      </c>
      <c r="EA39" s="22" t="e">
        <f aca="false">IF(#REF!,"AAAAAGY6S4I=",0)</f>
        <v>#REF!</v>
      </c>
      <c r="EB39" s="22" t="e">
        <f aca="false">IF('current index'!#ref!,"AAAAAGY6S4M=",0)</f>
        <v>#VALUE!</v>
      </c>
      <c r="EC39" s="22" t="e">
        <f aca="false">IF(#REF!,"AAAAAGY6S4Q=",0)</f>
        <v>#REF!</v>
      </c>
      <c r="ED39" s="22" t="e">
        <f aca="false">IF(#REF!,"AAAAAGY6S4U=",0)</f>
        <v>#REF!</v>
      </c>
      <c r="EE39" s="22" t="e">
        <f aca="false">IF(#REF!,"AAAAAGY6S4Y=",0)</f>
        <v>#REF!</v>
      </c>
      <c r="EF39" s="22" t="e">
        <f aca="false">IF(#REF!,"AAAAAGY6S4c=",0)</f>
        <v>#REF!</v>
      </c>
      <c r="EG39" s="22" t="e">
        <f aca="false">IF(#REF!,"AAAAAGY6S4g=",0)</f>
        <v>#REF!</v>
      </c>
      <c r="EH39" s="22" t="e">
        <f aca="false">IF(#REF!,"AAAAAGY6S4k=",0)</f>
        <v>#REF!</v>
      </c>
      <c r="EI39" s="22" t="e">
        <f aca="false">IF(#REF!,"AAAAAGY6S4o=",0)</f>
        <v>#REF!</v>
      </c>
      <c r="EJ39" s="22" t="e">
        <f aca="false">IF(#REF!,"AAAAAGY6S4s=",0)</f>
        <v>#REF!</v>
      </c>
      <c r="EK39" s="22" t="n">
        <f aca="false">IF('Current Index'!908:908,"AAAAAGY6S4w=",0)</f>
        <v>0</v>
      </c>
      <c r="EL39" s="22" t="n">
        <f aca="false">IF('Current Index'!909:909,"AAAAAGY6S40=",0)</f>
        <v>0</v>
      </c>
      <c r="EM39" s="22" t="n">
        <f aca="false">IF('Current Index'!910:910,"AAAAAGY6S44=",0)</f>
        <v>0</v>
      </c>
      <c r="EN39" s="22" t="n">
        <f aca="false">IF('Current Index'!911:911,"AAAAAGY6S48=",0)</f>
        <v>0</v>
      </c>
      <c r="EO39" s="22" t="n">
        <f aca="false">IF('Current Index'!912:912,"AAAAAGY6S5A=",0)</f>
        <v>0</v>
      </c>
      <c r="EP39" s="22" t="n">
        <f aca="false">IF('Current Index'!913:913,"AAAAAGY6S5E=",0)</f>
        <v>0</v>
      </c>
      <c r="EQ39" s="22" t="n">
        <f aca="false">IF('Current Index'!914:914,"AAAAAGY6S5I=",0)</f>
        <v>0</v>
      </c>
      <c r="ER39" s="22" t="n">
        <f aca="false">IF('Current Index'!915:915,"AAAAAGY6S5M=",0)</f>
        <v>0</v>
      </c>
      <c r="ES39" s="22" t="n">
        <f aca="false">IF('Current Index'!916:916,"AAAAAGY6S5Q=",0)</f>
        <v>0</v>
      </c>
      <c r="ET39" s="22" t="n">
        <f aca="false">IF('Current Index'!917:917,"AAAAAGY6S5U=",0)</f>
        <v>0</v>
      </c>
      <c r="EU39" s="22" t="n">
        <f aca="false">IF('Current Index'!918:918,"AAAAAGY6S5Y=",0)</f>
        <v>0</v>
      </c>
      <c r="EV39" s="22" t="n">
        <f aca="false">IF('Current Index'!919:919,"AAAAAGY6S5c=",0)</f>
        <v>0</v>
      </c>
      <c r="EW39" s="22" t="n">
        <f aca="false">IF('Current Index'!920:920,"AAAAAGY6S5g=",0)</f>
        <v>0</v>
      </c>
      <c r="EX39" s="22" t="n">
        <f aca="false">IF('Current Index'!921:921,"AAAAAGY6S5k=",0)</f>
        <v>0</v>
      </c>
      <c r="EY39" s="22" t="n">
        <f aca="false">IF('Current Index'!922:922,"AAAAAGY6S5o=",0)</f>
        <v>0</v>
      </c>
      <c r="EZ39" s="22" t="n">
        <f aca="false">IF('Current Index'!923:923,"AAAAAGY6S5s=",0)</f>
        <v>0</v>
      </c>
      <c r="FA39" s="22" t="n">
        <f aca="false">IF('Current Index'!924:924,"AAAAAGY6S5w=",0)</f>
        <v>0</v>
      </c>
      <c r="FB39" s="22" t="n">
        <f aca="false">IF('Current Index'!925:925,"AAAAAGY6S50=",0)</f>
        <v>0</v>
      </c>
      <c r="FC39" s="22" t="n">
        <f aca="false">IF('Current Index'!926:926,"AAAAAGY6S54=",0)</f>
        <v>0</v>
      </c>
      <c r="FD39" s="22" t="n">
        <f aca="false">IF('Current Index'!927:927,"AAAAAGY6S58=",0)</f>
        <v>0</v>
      </c>
      <c r="FE39" s="22" t="n">
        <f aca="false">IF('Current Index'!928:928,"AAAAAGY6S6A=",0)</f>
        <v>0</v>
      </c>
      <c r="FF39" s="22" t="n">
        <f aca="false">IF('Current Index'!929:929,"AAAAAGY6S6E=",0)</f>
        <v>0</v>
      </c>
      <c r="FG39" s="22" t="n">
        <f aca="false">IF('Current Index'!930:930,"AAAAAGY6S6I=",0)</f>
        <v>0</v>
      </c>
      <c r="FH39" s="22" t="n">
        <f aca="false">IF('Current Index'!931:931,"AAAAAGY6S6M=",0)</f>
        <v>0</v>
      </c>
      <c r="FI39" s="22" t="n">
        <f aca="false">IF('Current Index'!932:932,"AAAAAGY6S6Q=",0)</f>
        <v>0</v>
      </c>
      <c r="FJ39" s="22" t="n">
        <f aca="false">IF('Current Index'!933:933,"AAAAAGY6S6U=",0)</f>
        <v>0</v>
      </c>
      <c r="FK39" s="22" t="n">
        <f aca="false">IF('Current Index'!934:934,"AAAAAGY6S6Y=",0)</f>
        <v>0</v>
      </c>
      <c r="FL39" s="22" t="n">
        <f aca="false">IF('Current Index'!935:935,"AAAAAGY6S6c=",0)</f>
        <v>0</v>
      </c>
      <c r="FM39" s="22" t="n">
        <f aca="false">IF('Current Index'!936:936,"AAAAAGY6S6g=",0)</f>
        <v>0</v>
      </c>
      <c r="FN39" s="22" t="n">
        <f aca="false">IF('Current Index'!937:937,"AAAAAGY6S6k=",0)</f>
        <v>0</v>
      </c>
      <c r="FO39" s="22" t="n">
        <f aca="false">IF('Current Index'!938:938,"AAAAAGY6S6o=",0)</f>
        <v>0</v>
      </c>
      <c r="FP39" s="22" t="n">
        <f aca="false">IF('Current Index'!939:939,"AAAAAGY6S6s=",0)</f>
        <v>0</v>
      </c>
      <c r="FQ39" s="22" t="n">
        <f aca="false">IF('Current Index'!940:940,"AAAAAGY6S6w=",0)</f>
        <v>0</v>
      </c>
      <c r="FR39" s="22" t="n">
        <f aca="false">IF('Current Index'!941:941,"AAAAAGY6S60=",0)</f>
        <v>0</v>
      </c>
      <c r="FS39" s="22" t="n">
        <f aca="false">IF('Current Index'!942:942,"AAAAAGY6S64=",0)</f>
        <v>0</v>
      </c>
      <c r="FT39" s="22" t="n">
        <f aca="false">IF('Current Index'!943:943,"AAAAAGY6S68=",0)</f>
        <v>0</v>
      </c>
      <c r="FU39" s="22" t="n">
        <f aca="false">IF('Current Index'!944:944,"AAAAAGY6S7A=",0)</f>
        <v>0</v>
      </c>
      <c r="FV39" s="22" t="n">
        <f aca="false">IF('Current Index'!945:945,"AAAAAGY6S7E=",0)</f>
        <v>0</v>
      </c>
      <c r="FW39" s="22" t="n">
        <f aca="false">IF('Current Index'!946:946,"AAAAAGY6S7I=",0)</f>
        <v>0</v>
      </c>
      <c r="FX39" s="22" t="n">
        <f aca="false">IF('Current Index'!947:947,"AAAAAGY6S7M=",0)</f>
        <v>0</v>
      </c>
      <c r="FY39" s="22" t="n">
        <f aca="false">IF('Current Index'!948:948,"AAAAAGY6S7Q=",0)</f>
        <v>0</v>
      </c>
      <c r="FZ39" s="22" t="n">
        <f aca="false">IF('Current Index'!949:949,"AAAAAGY6S7U=",0)</f>
        <v>0</v>
      </c>
      <c r="GA39" s="22" t="n">
        <f aca="false">IF('Current Index'!950:950,"AAAAAGY6S7Y=",0)</f>
        <v>0</v>
      </c>
      <c r="GB39" s="22" t="n">
        <f aca="false">IF('Current Index'!951:951,"AAAAAGY6S7c=",0)</f>
        <v>0</v>
      </c>
      <c r="GC39" s="22" t="n">
        <f aca="false">IF('Current Index'!952:952,"AAAAAGY6S7g=",0)</f>
        <v>0</v>
      </c>
      <c r="GD39" s="22" t="n">
        <f aca="false">IF('Current Index'!953:953,"AAAAAGY6S7k=",0)</f>
        <v>0</v>
      </c>
      <c r="GE39" s="22" t="n">
        <f aca="false">IF('Current Index'!954:954,"AAAAAGY6S7o=",0)</f>
        <v>0</v>
      </c>
      <c r="GF39" s="22" t="n">
        <f aca="false">IF('Current Index'!955:955,"AAAAAGY6S7s=",0)</f>
        <v>0</v>
      </c>
      <c r="GG39" s="22" t="n">
        <f aca="false">IF('Current Index'!956:956,"AAAAAGY6S7w=",0)</f>
        <v>0</v>
      </c>
      <c r="GH39" s="22" t="n">
        <f aca="false">IF('Current Index'!957:957,"AAAAAGY6S70=",0)</f>
        <v>0</v>
      </c>
      <c r="GI39" s="22" t="n">
        <f aca="false">IF('Current Index'!958:958,"AAAAAGY6S74=",0)</f>
        <v>0</v>
      </c>
      <c r="GJ39" s="22" t="n">
        <f aca="false">IF('Current Index'!959:959,"AAAAAGY6S78=",0)</f>
        <v>0</v>
      </c>
      <c r="GK39" s="22" t="n">
        <f aca="false">IF('Current Index'!960:960,"AAAAAGY6S8A=",0)</f>
        <v>0</v>
      </c>
      <c r="GL39" s="22" t="n">
        <f aca="false">IF('Current Index'!961:961,"AAAAAGY6S8E=",0)</f>
        <v>0</v>
      </c>
      <c r="GM39" s="22" t="n">
        <f aca="false">IF('Current Index'!962:962,"AAAAAGY6S8I=",0)</f>
        <v>0</v>
      </c>
      <c r="GN39" s="22" t="n">
        <f aca="false">IF('Current Index'!963:963,"AAAAAGY6S8M=",0)</f>
        <v>0</v>
      </c>
      <c r="GO39" s="22" t="n">
        <f aca="false">IF('Current Index'!964:964,"AAAAAGY6S8Q=",0)</f>
        <v>0</v>
      </c>
      <c r="GP39" s="22" t="n">
        <f aca="false">IF('Current Index'!965:965,"AAAAAGY6S8U=",0)</f>
        <v>0</v>
      </c>
      <c r="GQ39" s="22" t="n">
        <f aca="false">IF('Current Index'!966:966,"AAAAAGY6S8Y=",0)</f>
        <v>0</v>
      </c>
      <c r="GR39" s="22" t="n">
        <f aca="false">IF('Current Index'!967:967,"AAAAAGY6S8c=",0)</f>
        <v>0</v>
      </c>
      <c r="GS39" s="22" t="n">
        <f aca="false">IF('Current Index'!968:968,"AAAAAGY6S8g=",0)</f>
        <v>0</v>
      </c>
      <c r="GT39" s="22" t="n">
        <f aca="false">IF('Current Index'!969:969,"AAAAAGY6S8k=",0)</f>
        <v>0</v>
      </c>
      <c r="GU39" s="22" t="n">
        <f aca="false">IF('Current Index'!970:970,"AAAAAGY6S8o=",0)</f>
        <v>0</v>
      </c>
      <c r="GV39" s="22" t="n">
        <f aca="false">IF('Current Index'!971:971,"AAAAAGY6S8s=",0)</f>
        <v>0</v>
      </c>
      <c r="GW39" s="22" t="n">
        <f aca="false">IF('Current Index'!972:972,"AAAAAGY6S8w=",0)</f>
        <v>0</v>
      </c>
      <c r="GX39" s="22" t="n">
        <f aca="false">IF('Current Index'!973:973,"AAAAAGY6S80=",0)</f>
        <v>0</v>
      </c>
      <c r="GY39" s="22" t="n">
        <f aca="false">IF('Current Index'!974:974,"AAAAAGY6S84=",0)</f>
        <v>0</v>
      </c>
      <c r="GZ39" s="22" t="n">
        <f aca="false">IF('Current Index'!975:975,"AAAAAGY6S88=",0)</f>
        <v>0</v>
      </c>
      <c r="HA39" s="22" t="n">
        <f aca="false">IF('Current Index'!976:976,"AAAAAGY6S9A=",0)</f>
        <v>0</v>
      </c>
      <c r="HB39" s="22" t="n">
        <f aca="false">IF('Current Index'!977:977,"AAAAAGY6S9E=",0)</f>
        <v>0</v>
      </c>
      <c r="HC39" s="22" t="n">
        <f aca="false">IF('Current Index'!978:978,"AAAAAGY6S9I=",0)</f>
        <v>0</v>
      </c>
      <c r="HD39" s="22" t="n">
        <f aca="false">IF('Current Index'!979:979,"AAAAAGY6S9M=",0)</f>
        <v>0</v>
      </c>
      <c r="HE39" s="22" t="n">
        <f aca="false">IF('Current Index'!980:980,"AAAAAGY6S9Q=",0)</f>
        <v>0</v>
      </c>
      <c r="HF39" s="22" t="n">
        <f aca="false">IF('Current Index'!981:981,"AAAAAGY6S9U=",0)</f>
        <v>0</v>
      </c>
      <c r="HG39" s="22" t="n">
        <f aca="false">IF('Current Index'!982:982,"AAAAAGY6S9Y=",0)</f>
        <v>0</v>
      </c>
      <c r="HH39" s="22" t="n">
        <f aca="false">IF('Current Index'!983:983,"AAAAAGY6S9c=",0)</f>
        <v>0</v>
      </c>
      <c r="HI39" s="22" t="n">
        <f aca="false">IF('Current Index'!984:984,"AAAAAGY6S9g=",0)</f>
        <v>0</v>
      </c>
      <c r="HJ39" s="22" t="n">
        <f aca="false">IF('Current Index'!985:985,"AAAAAGY6S9k=",0)</f>
        <v>0</v>
      </c>
      <c r="HK39" s="22" t="n">
        <f aca="false">IF('Current Index'!986:986,"AAAAAGY6S9o=",0)</f>
        <v>0</v>
      </c>
      <c r="HL39" s="22" t="n">
        <f aca="false">IF('Current Index'!987:987,"AAAAAGY6S9s=",0)</f>
        <v>0</v>
      </c>
      <c r="HM39" s="22" t="n">
        <f aca="false">IF('Current Index'!988:988,"AAAAAGY6S9w=",0)</f>
        <v>0</v>
      </c>
      <c r="HN39" s="22" t="n">
        <f aca="false">IF('Current Index'!989:989,"AAAAAGY6S90=",0)</f>
        <v>0</v>
      </c>
      <c r="HO39" s="22" t="n">
        <f aca="false">IF('Current Index'!990:990,"AAAAAGY6S94=",0)</f>
        <v>0</v>
      </c>
      <c r="HP39" s="22" t="n">
        <f aca="false">IF('Current Index'!991:991,"AAAAAGY6S98=",0)</f>
        <v>0</v>
      </c>
      <c r="HQ39" s="22" t="n">
        <f aca="false">IF('Current Index'!992:992,"AAAAAGY6S+A=",0)</f>
        <v>0</v>
      </c>
      <c r="HR39" s="22" t="n">
        <f aca="false">IF('Current Index'!993:993,"AAAAAGY6S+E=",0)</f>
        <v>0</v>
      </c>
      <c r="HS39" s="22" t="n">
        <f aca="false">IF('Current Index'!994:994,"AAAAAGY6S+I=",0)</f>
        <v>0</v>
      </c>
      <c r="HT39" s="22" t="n">
        <f aca="false">IF('Current Index'!995:995,"AAAAAGY6S+M=",0)</f>
        <v>0</v>
      </c>
      <c r="HU39" s="22" t="n">
        <f aca="false">IF('Current Index'!996:996,"AAAAAGY6S+Q=",0)</f>
        <v>0</v>
      </c>
      <c r="HV39" s="22" t="n">
        <f aca="false">IF('Current Index'!997:997,"AAAAAGY6S+U=",0)</f>
        <v>0</v>
      </c>
      <c r="HW39" s="22" t="n">
        <f aca="false">IF('Current Index'!998:998,"AAAAAGY6S+Y=",0)</f>
        <v>0</v>
      </c>
      <c r="HX39" s="22" t="n">
        <f aca="false">IF('Current Index'!999:999,"AAAAAGY6S+c=",0)</f>
        <v>0</v>
      </c>
      <c r="HY39" s="22" t="n">
        <f aca="false">IF('Current Index'!1000:1000,"AAAAAGY6S+g=",0)</f>
        <v>0</v>
      </c>
      <c r="HZ39" s="22" t="n">
        <f aca="false">IF('Current Index'!1001:1001,"AAAAAGY6S+k=",0)</f>
        <v>0</v>
      </c>
      <c r="IA39" s="22" t="n">
        <f aca="false">IF('Current Index'!1002:1002,"AAAAAGY6S+o=",0)</f>
        <v>0</v>
      </c>
      <c r="IB39" s="22" t="n">
        <f aca="false">IF('Current Index'!1003:1003,"AAAAAGY6S+s=",0)</f>
        <v>0</v>
      </c>
      <c r="IC39" s="22" t="n">
        <f aca="false">IF('Current Index'!1004:1004,"AAAAAGY6S+w=",0)</f>
        <v>0</v>
      </c>
      <c r="ID39" s="22" t="n">
        <f aca="false">IF('Current Index'!1005:1005,"AAAAAGY6S+0=",0)</f>
        <v>0</v>
      </c>
      <c r="IE39" s="22" t="n">
        <f aca="false">IF('Current Index'!1006:1006,"AAAAAGY6S+4=",0)</f>
        <v>0</v>
      </c>
      <c r="IF39" s="22" t="n">
        <f aca="false">IF('Current Index'!1007:1007,"AAAAAGY6S+8=",0)</f>
        <v>0</v>
      </c>
      <c r="IG39" s="22" t="n">
        <f aca="false">IF('Current Index'!1008:1008,"AAAAAGY6S/A=",0)</f>
        <v>0</v>
      </c>
      <c r="IH39" s="22" t="n">
        <f aca="false">IF('Current Index'!1009:1009,"AAAAAGY6S/E=",0)</f>
        <v>0</v>
      </c>
      <c r="II39" s="22" t="n">
        <f aca="false">IF('Current Index'!1010:1010,"AAAAAGY6S/I=",0)</f>
        <v>0</v>
      </c>
      <c r="IJ39" s="22" t="n">
        <f aca="false">IF('Current Index'!1011:1011,"AAAAAGY6S/M=",0)</f>
        <v>0</v>
      </c>
      <c r="IK39" s="22" t="n">
        <f aca="false">IF('Current Index'!1012:1012,"AAAAAGY6S/Q=",0)</f>
        <v>0</v>
      </c>
      <c r="IL39" s="22" t="n">
        <f aca="false">IF('Current Index'!1013:1013,"AAAAAGY6S/U=",0)</f>
        <v>0</v>
      </c>
      <c r="IM39" s="22" t="n">
        <f aca="false">IF('Current Index'!1014:1014,"AAAAAGY6S/Y=",0)</f>
        <v>0</v>
      </c>
      <c r="IN39" s="22" t="n">
        <f aca="false">IF('Current Index'!1015:1015,"AAAAAGY6S/c=",0)</f>
        <v>0</v>
      </c>
      <c r="IO39" s="22" t="n">
        <f aca="false">IF('Current Index'!1016:1016,"AAAAAGY6S/g=",0)</f>
        <v>0</v>
      </c>
      <c r="IP39" s="22" t="n">
        <f aca="false">IF('Current Index'!1017:1017,"AAAAAGY6S/k=",0)</f>
        <v>0</v>
      </c>
      <c r="IQ39" s="22" t="n">
        <f aca="false">IF('Current Index'!1018:1018,"AAAAAGY6S/o=",0)</f>
        <v>0</v>
      </c>
      <c r="IR39" s="22" t="n">
        <f aca="false">IF('Current Index'!1019:1019,"AAAAAGY6S/s=",0)</f>
        <v>0</v>
      </c>
      <c r="IS39" s="22" t="n">
        <f aca="false">IF('Current Index'!1020:1020,"AAAAAGY6S/w=",0)</f>
        <v>0</v>
      </c>
      <c r="IT39" s="22" t="n">
        <f aca="false">IF('Current Index'!1021:1021,"AAAAAGY6S/0=",0)</f>
        <v>0</v>
      </c>
      <c r="IU39" s="22" t="n">
        <f aca="false">IF('Current Index'!1022:1022,"AAAAAGY6S/4=",0)</f>
        <v>0</v>
      </c>
      <c r="IV39" s="22" t="n">
        <f aca="false">IF('Current Index'!1023:1023,"AAAAAGY6S/8=",0)</f>
        <v>0</v>
      </c>
    </row>
    <row r="40" customFormat="false" ht="12.75" hidden="false" customHeight="false" outlineLevel="0" collapsed="false">
      <c r="A40" s="22" t="n">
        <f aca="false">IF('Current Index'!1024:1024,"AAAAACH//wA=",0)</f>
        <v>0</v>
      </c>
      <c r="B40" s="22" t="n">
        <f aca="false">IF('Current Index'!1025:1025,"AAAAACH//wE=",0)</f>
        <v>0</v>
      </c>
      <c r="C40" s="22" t="n">
        <f aca="false">IF('Current Index'!1026:1026,"AAAAACH//wI=",0)</f>
        <v>0</v>
      </c>
      <c r="D40" s="22" t="n">
        <f aca="false">IF('Current Index'!1027:1027,"AAAAACH//wM=",0)</f>
        <v>0</v>
      </c>
      <c r="E40" s="22" t="n">
        <f aca="false">IF('Current Index'!1028:1028,"AAAAACH//wQ=",0)</f>
        <v>0</v>
      </c>
      <c r="F40" s="22" t="n">
        <f aca="false">IF('Current Index'!1029:1029,"AAAAACH//wU=",0)</f>
        <v>0</v>
      </c>
      <c r="G40" s="22" t="n">
        <f aca="false">IF('Current Index'!1030:1030,"AAAAACH//wY=",0)</f>
        <v>0</v>
      </c>
      <c r="H40" s="22" t="n">
        <f aca="false">IF('Current Index'!1031:1031,"AAAAACH//wc=",0)</f>
        <v>0</v>
      </c>
      <c r="I40" s="22" t="n">
        <f aca="false">IF('Current Index'!1032:1032,"AAAAACH//wg=",0)</f>
        <v>0</v>
      </c>
      <c r="J40" s="22" t="n">
        <f aca="false">IF('Current Index'!1033:1033,"AAAAACH//wk=",0)</f>
        <v>0</v>
      </c>
      <c r="K40" s="22" t="n">
        <f aca="false">IF('Current Index'!1034:1034,"AAAAACH//wo=",0)</f>
        <v>0</v>
      </c>
      <c r="L40" s="22" t="n">
        <f aca="false">IF('Current Index'!1035:1035,"AAAAACH//ws=",0)</f>
        <v>0</v>
      </c>
      <c r="M40" s="22" t="n">
        <f aca="false">IF('Current Index'!1036:1036,"AAAAACH//ww=",0)</f>
        <v>0</v>
      </c>
      <c r="N40" s="22" t="n">
        <f aca="false">IF('Current Index'!1037:1037,"AAAAACH//w0=",0)</f>
        <v>0</v>
      </c>
      <c r="O40" s="22" t="n">
        <f aca="false">IF('Current Index'!1038:1038,"AAAAACH//w4=",0)</f>
        <v>0</v>
      </c>
      <c r="P40" s="22" t="n">
        <f aca="false">IF('Current Index'!1039:1039,"AAAAACH//w8=",0)</f>
        <v>0</v>
      </c>
      <c r="Q40" s="22" t="n">
        <f aca="false">IF('Current Index'!1040:1040,"AAAAACH//xA=",0)</f>
        <v>0</v>
      </c>
      <c r="R40" s="22" t="n">
        <f aca="false">IF('Current Index'!1041:1041,"AAAAACH//xE=",0)</f>
        <v>0</v>
      </c>
      <c r="S40" s="22" t="n">
        <f aca="false">IF('Current Index'!1042:1042,"AAAAACH//xI=",0)</f>
        <v>0</v>
      </c>
      <c r="T40" s="22" t="n">
        <f aca="false">IF('Current Index'!1043:1043,"AAAAACH//xM=",0)</f>
        <v>0</v>
      </c>
      <c r="U40" s="22" t="n">
        <f aca="false">IF('Current Index'!1044:1044,"AAAAACH//xQ=",0)</f>
        <v>0</v>
      </c>
      <c r="V40" s="22" t="n">
        <f aca="false">IF('Current Index'!1045:1045,"AAAAACH//xU=",0)</f>
        <v>0</v>
      </c>
      <c r="W40" s="22" t="n">
        <f aca="false">IF('Current Index'!1046:1046,"AAAAACH//xY=",0)</f>
        <v>0</v>
      </c>
      <c r="X40" s="22" t="n">
        <f aca="false">IF('Current Index'!1047:1047,"AAAAACH//xc=",0)</f>
        <v>0</v>
      </c>
      <c r="Y40" s="22" t="n">
        <f aca="false">IF('Current Index'!1048:1048,"AAAAACH//xg=",0)</f>
        <v>0</v>
      </c>
      <c r="Z40" s="22" t="n">
        <f aca="false">IF('Current Index'!1049:1049,"AAAAACH//xk=",0)</f>
        <v>0</v>
      </c>
      <c r="AA40" s="22" t="n">
        <f aca="false">IF('Current Index'!1050:1050,"AAAAACH//xo=",0)</f>
        <v>0</v>
      </c>
      <c r="AB40" s="22" t="n">
        <f aca="false">IF('Current Index'!1051:1051,"AAAAACH//xs=",0)</f>
        <v>0</v>
      </c>
      <c r="AC40" s="22" t="n">
        <f aca="false">IF('Current Index'!1052:1052,"AAAAACH//xw=",0)</f>
        <v>0</v>
      </c>
      <c r="AD40" s="22" t="n">
        <f aca="false">IF('Current Index'!1053:1053,"AAAAACH//x0=",0)</f>
        <v>0</v>
      </c>
      <c r="AE40" s="22" t="n">
        <f aca="false">IF('Current Index'!1054:1054,"AAAAACH//x4=",0)</f>
        <v>0</v>
      </c>
      <c r="AF40" s="22" t="n">
        <f aca="false">IF('Current Index'!1055:1055,"AAAAACH//x8=",0)</f>
        <v>0</v>
      </c>
      <c r="AG40" s="22" t="n">
        <f aca="false">IF('Current Index'!1056:1056,"AAAAACH//yA=",0)</f>
        <v>0</v>
      </c>
      <c r="AH40" s="22" t="n">
        <f aca="false">IF('Current Index'!1057:1057,"AAAAACH//yE=",0)</f>
        <v>0</v>
      </c>
      <c r="AI40" s="22" t="n">
        <f aca="false">IF('Current Index'!1058:1058,"AAAAACH//yI=",0)</f>
        <v>0</v>
      </c>
      <c r="AJ40" s="22" t="n">
        <f aca="false">IF('Current Index'!1059:1059,"AAAAACH//yM=",0)</f>
        <v>0</v>
      </c>
      <c r="AK40" s="22" t="n">
        <f aca="false">IF('Current Index'!1060:1060,"AAAAACH//yQ=",0)</f>
        <v>0</v>
      </c>
      <c r="AL40" s="22" t="n">
        <f aca="false">IF('Current Index'!1061:1061,"AAAAACH//yU=",0)</f>
        <v>0</v>
      </c>
      <c r="AM40" s="22" t="n">
        <f aca="false">IF('Current Index'!1062:1062,"AAAAACH//yY=",0)</f>
        <v>0</v>
      </c>
      <c r="AN40" s="22" t="n">
        <f aca="false">IF('Current Index'!1063:1063,"AAAAACH//yc=",0)</f>
        <v>0</v>
      </c>
      <c r="AO40" s="22" t="n">
        <f aca="false">IF('Current Index'!1064:1064,"AAAAACH//yg=",0)</f>
        <v>0</v>
      </c>
      <c r="AP40" s="22" t="n">
        <f aca="false">IF('Current Index'!1065:1065,"AAAAACH//yk=",0)</f>
        <v>0</v>
      </c>
      <c r="AQ40" s="22" t="n">
        <f aca="false">IF('Current Index'!1066:1066,"AAAAACH//yo=",0)</f>
        <v>0</v>
      </c>
      <c r="AR40" s="22" t="n">
        <f aca="false">IF('Current Index'!1067:1067,"AAAAACH//ys=",0)</f>
        <v>0</v>
      </c>
      <c r="AS40" s="22" t="n">
        <f aca="false">IF('Current Index'!1068:1068,"AAAAACH//yw=",0)</f>
        <v>0</v>
      </c>
      <c r="AT40" s="22" t="n">
        <f aca="false">IF('Current Index'!1069:1069,"AAAAACH//y0=",0)</f>
        <v>0</v>
      </c>
      <c r="AU40" s="22" t="n">
        <f aca="false">IF('Current Index'!1070:1070,"AAAAACH//y4=",0)</f>
        <v>0</v>
      </c>
      <c r="AV40" s="22" t="n">
        <f aca="false">IF('Current Index'!1071:1071,"AAAAACH//y8=",0)</f>
        <v>0</v>
      </c>
      <c r="AW40" s="22" t="n">
        <f aca="false">IF('Current Index'!1072:1072,"AAAAACH//zA=",0)</f>
        <v>0</v>
      </c>
      <c r="AX40" s="22" t="n">
        <f aca="false">IF('Current Index'!1073:1073,"AAAAACH//zE=",0)</f>
        <v>0</v>
      </c>
      <c r="AY40" s="22" t="n">
        <f aca="false">IF('Current Index'!1074:1074,"AAAAACH//zI=",0)</f>
        <v>0</v>
      </c>
      <c r="AZ40" s="22" t="n">
        <f aca="false">IF('Current Index'!1075:1075,"AAAAACH//zM=",0)</f>
        <v>0</v>
      </c>
      <c r="BA40" s="22" t="n">
        <f aca="false">IF('Current Index'!1076:1076,"AAAAACH//zQ=",0)</f>
        <v>0</v>
      </c>
      <c r="BB40" s="22" t="n">
        <f aca="false">IF('Current Index'!1077:1077,"AAAAACH//zU=",0)</f>
        <v>0</v>
      </c>
      <c r="BC40" s="22" t="n">
        <f aca="false">IF('Current Index'!1078:1078,"AAAAACH//zY=",0)</f>
        <v>0</v>
      </c>
      <c r="BD40" s="22" t="n">
        <f aca="false">IF('Current Index'!1079:1079,"AAAAACH//zc=",0)</f>
        <v>0</v>
      </c>
      <c r="BE40" s="22" t="n">
        <f aca="false">IF('Current Index'!1080:1080,"AAAAACH//zg=",0)</f>
        <v>0</v>
      </c>
      <c r="BF40" s="22" t="n">
        <f aca="false">IF('Current Index'!1081:1081,"AAAAACH//zk=",0)</f>
        <v>0</v>
      </c>
      <c r="BG40" s="22" t="n">
        <f aca="false">IF('Current Index'!1082:1082,"AAAAACH//zo=",0)</f>
        <v>0</v>
      </c>
      <c r="BH40" s="22" t="n">
        <f aca="false">IF('Current Index'!1083:1083,"AAAAACH//zs=",0)</f>
        <v>0</v>
      </c>
      <c r="BI40" s="22" t="n">
        <f aca="false">IF('Current Index'!1084:1084,"AAAAACH//zw=",0)</f>
        <v>0</v>
      </c>
      <c r="BJ40" s="22" t="n">
        <f aca="false">IF('Current Index'!1085:1085,"AAAAACH//z0=",0)</f>
        <v>0</v>
      </c>
      <c r="BK40" s="22" t="n">
        <f aca="false">IF('Current Index'!1086:1086,"AAAAACH//z4=",0)</f>
        <v>0</v>
      </c>
      <c r="BL40" s="22" t="n">
        <f aca="false">IF('Current Index'!1087:1087,"AAAAACH//z8=",0)</f>
        <v>0</v>
      </c>
      <c r="BM40" s="22" t="n">
        <f aca="false">IF('Current Index'!1088:1088,"AAAAACH//0A=",0)</f>
        <v>0</v>
      </c>
      <c r="BN40" s="22" t="n">
        <f aca="false">IF('Current Index'!1089:1089,"AAAAACH//0E=",0)</f>
        <v>0</v>
      </c>
      <c r="BO40" s="22" t="n">
        <f aca="false">IF('Current Index'!1090:1090,"AAAAACH//0I=",0)</f>
        <v>0</v>
      </c>
      <c r="BP40" s="22" t="n">
        <f aca="false">IF('Current Index'!1091:1091,"AAAAACH//0M=",0)</f>
        <v>0</v>
      </c>
      <c r="BQ40" s="22" t="n">
        <f aca="false">IF('Current Index'!1092:1092,"AAAAACH//0Q=",0)</f>
        <v>0</v>
      </c>
      <c r="BR40" s="22" t="n">
        <f aca="false">IF('Current Index'!1093:1093,"AAAAACH//0U=",0)</f>
        <v>0</v>
      </c>
      <c r="BS40" s="22" t="n">
        <f aca="false">IF('Current Index'!1094:1094,"AAAAACH//0Y=",0)</f>
        <v>0</v>
      </c>
      <c r="BT40" s="22" t="n">
        <f aca="false">IF('Current Index'!1095:1095,"AAAAACH//0c=",0)</f>
        <v>0</v>
      </c>
      <c r="BU40" s="22" t="n">
        <f aca="false">IF('Current Index'!1096:1096,"AAAAACH//0g=",0)</f>
        <v>0</v>
      </c>
      <c r="BV40" s="22" t="n">
        <f aca="false">IF('Current Index'!1097:1097,"AAAAACH//0k=",0)</f>
        <v>0</v>
      </c>
      <c r="BW40" s="22" t="n">
        <f aca="false">IF('Current Index'!1098:1098,"AAAAACH//0o=",0)</f>
        <v>0</v>
      </c>
      <c r="BX40" s="22" t="n">
        <f aca="false">IF('Current Index'!1099:1099,"AAAAACH//0s=",0)</f>
        <v>0</v>
      </c>
      <c r="BY40" s="22" t="n">
        <f aca="false">IF('Current Index'!1100:1100,"AAAAACH//0w=",0)</f>
        <v>0</v>
      </c>
      <c r="BZ40" s="22" t="n">
        <f aca="false">IF('Current Index'!1101:1101,"AAAAACH//00=",0)</f>
        <v>0</v>
      </c>
      <c r="CA40" s="22" t="n">
        <f aca="false">IF('Current Index'!1102:1102,"AAAAACH//04=",0)</f>
        <v>0</v>
      </c>
      <c r="CB40" s="22" t="n">
        <f aca="false">IF('Current Index'!1103:1103,"AAAAACH//08=",0)</f>
        <v>0</v>
      </c>
      <c r="CC40" s="22" t="n">
        <f aca="false">IF('Current Index'!1104:1104,"AAAAACH//1A=",0)</f>
        <v>0</v>
      </c>
      <c r="CD40" s="22" t="n">
        <f aca="false">IF('Current Index'!1105:1105,"AAAAACH//1E=",0)</f>
        <v>0</v>
      </c>
      <c r="CE40" s="22" t="n">
        <f aca="false">IF('Current Index'!1106:1106,"AAAAACH//1I=",0)</f>
        <v>0</v>
      </c>
      <c r="CF40" s="22" t="n">
        <f aca="false">IF('Current Index'!1107:1107,"AAAAACH//1M=",0)</f>
        <v>0</v>
      </c>
      <c r="CG40" s="22" t="n">
        <f aca="false">IF('Current Index'!1108:1108,"AAAAACH//1Q=",0)</f>
        <v>0</v>
      </c>
      <c r="CH40" s="22" t="n">
        <f aca="false">IF('Current Index'!1109:1109,"AAAAACH//1U=",0)</f>
        <v>0</v>
      </c>
      <c r="CI40" s="22" t="n">
        <f aca="false">IF('Current Index'!1110:1110,"AAAAACH//1Y=",0)</f>
        <v>0</v>
      </c>
      <c r="CJ40" s="22" t="n">
        <f aca="false">IF('Current Index'!1111:1111,"AAAAACH//1c=",0)</f>
        <v>0</v>
      </c>
      <c r="CK40" s="22" t="n">
        <f aca="false">IF('Current Index'!1112:1112,"AAAAACH//1g=",0)</f>
        <v>0</v>
      </c>
      <c r="CL40" s="22" t="n">
        <f aca="false">IF('Current Index'!1113:1113,"AAAAACH//1k=",0)</f>
        <v>0</v>
      </c>
      <c r="CM40" s="22" t="n">
        <f aca="false">IF('Current Index'!1114:1114,"AAAAACH//1o=",0)</f>
        <v>0</v>
      </c>
      <c r="CN40" s="22" t="n">
        <f aca="false">IF('Current Index'!1115:1115,"AAAAACH//1s=",0)</f>
        <v>0</v>
      </c>
      <c r="CO40" s="22" t="n">
        <f aca="false">IF('Current Index'!1116:1116,"AAAAACH//1w=",0)</f>
        <v>0</v>
      </c>
      <c r="CP40" s="22" t="n">
        <f aca="false">IF('Current Index'!1117:1117,"AAAAACH//10=",0)</f>
        <v>0</v>
      </c>
      <c r="CQ40" s="22" t="n">
        <f aca="false">IF('Current Index'!1118:1118,"AAAAACH//14=",0)</f>
        <v>0</v>
      </c>
      <c r="CR40" s="22" t="n">
        <f aca="false">IF('Current Index'!1119:1119,"AAAAACH//18=",0)</f>
        <v>0</v>
      </c>
      <c r="CS40" s="22" t="n">
        <f aca="false">IF('Current Index'!1120:1120,"AAAAACH//2A=",0)</f>
        <v>0</v>
      </c>
      <c r="CT40" s="22" t="n">
        <f aca="false">IF('Current Index'!1121:1121,"AAAAACH//2E=",0)</f>
        <v>0</v>
      </c>
      <c r="CU40" s="22" t="n">
        <f aca="false">IF('Current Index'!1122:1122,"AAAAACH//2I=",0)</f>
        <v>0</v>
      </c>
      <c r="CV40" s="22" t="n">
        <f aca="false">IF('Current Index'!1123:1123,"AAAAACH//2M=",0)</f>
        <v>0</v>
      </c>
      <c r="CW40" s="22" t="n">
        <f aca="false">IF('Current Index'!1124:1124,"AAAAACH//2Q=",0)</f>
        <v>0</v>
      </c>
      <c r="CX40" s="22" t="n">
        <f aca="false">IF('Current Index'!1125:1125,"AAAAACH//2U=",0)</f>
        <v>0</v>
      </c>
      <c r="CY40" s="22" t="n">
        <f aca="false">IF('Current Index'!1126:1126,"AAAAACH//2Y=",0)</f>
        <v>0</v>
      </c>
      <c r="CZ40" s="22" t="n">
        <f aca="false">IF('Current Index'!1127:1127,"AAAAACH//2c=",0)</f>
        <v>0</v>
      </c>
      <c r="DA40" s="22" t="n">
        <f aca="false">IF('Current Index'!1128:1128,"AAAAACH//2g=",0)</f>
        <v>0</v>
      </c>
      <c r="DB40" s="22" t="n">
        <f aca="false">IF('Current Index'!1129:1129,"AAAAACH//2k=",0)</f>
        <v>0</v>
      </c>
      <c r="DC40" s="22" t="n">
        <f aca="false">IF('Current Index'!1130:1130,"AAAAACH//2o=",0)</f>
        <v>0</v>
      </c>
      <c r="DD40" s="22" t="n">
        <f aca="false">IF('Current Index'!1131:1131,"AAAAACH//2s=",0)</f>
        <v>0</v>
      </c>
      <c r="DE40" s="22" t="n">
        <f aca="false">IF('Current Index'!1132:1132,"AAAAACH//2w=",0)</f>
        <v>0</v>
      </c>
      <c r="DF40" s="22" t="n">
        <f aca="false">IF('Current Index'!1133:1133,"AAAAACH//20=",0)</f>
        <v>0</v>
      </c>
      <c r="DG40" s="22" t="n">
        <f aca="false">IF('Current Index'!1134:1134,"AAAAACH//24=",0)</f>
        <v>0</v>
      </c>
      <c r="DH40" s="22" t="n">
        <f aca="false">IF('Current Index'!1135:1135,"AAAAACH//28=",0)</f>
        <v>0</v>
      </c>
      <c r="DI40" s="22" t="n">
        <f aca="false">IF('Current Index'!1136:1136,"AAAAACH//3A=",0)</f>
        <v>0</v>
      </c>
      <c r="DJ40" s="22" t="n">
        <f aca="false">IF('Current Index'!1137:1137,"AAAAACH//3E=",0)</f>
        <v>0</v>
      </c>
      <c r="DK40" s="22" t="n">
        <f aca="false">IF('Current Index'!1138:1138,"AAAAACH//3I=",0)</f>
        <v>0</v>
      </c>
      <c r="DL40" s="22" t="n">
        <f aca="false">IF('Current Index'!1139:1139,"AAAAACH//3M=",0)</f>
        <v>0</v>
      </c>
      <c r="DM40" s="22" t="n">
        <f aca="false">IF('Current Index'!1140:1140,"AAAAACH//3Q=",0)</f>
        <v>0</v>
      </c>
      <c r="DN40" s="22" t="n">
        <f aca="false">IF('Current Index'!1141:1141,"AAAAACH//3U=",0)</f>
        <v>0</v>
      </c>
      <c r="DO40" s="22" t="n">
        <f aca="false">IF('Current Index'!1142:1142,"AAAAACH//3Y=",0)</f>
        <v>0</v>
      </c>
      <c r="DP40" s="22" t="n">
        <f aca="false">IF('Current Index'!1143:1143,"AAAAACH//3c=",0)</f>
        <v>0</v>
      </c>
      <c r="DQ40" s="22" t="n">
        <f aca="false">IF('Current Index'!1144:1144,"AAAAACH//3g=",0)</f>
        <v>0</v>
      </c>
      <c r="DR40" s="22" t="n">
        <f aca="false">IF('Current Index'!1145:1145,"AAAAACH//3k=",0)</f>
        <v>0</v>
      </c>
      <c r="DS40" s="22" t="n">
        <f aca="false">IF('Current Index'!1146:1146,"AAAAACH//3o=",0)</f>
        <v>0</v>
      </c>
      <c r="DT40" s="22" t="n">
        <f aca="false">IF('Current Index'!1147:1147,"AAAAACH//3s=",0)</f>
        <v>0</v>
      </c>
      <c r="DU40" s="22" t="n">
        <f aca="false">IF('Current Index'!1148:1148,"AAAAACH//3w=",0)</f>
        <v>0</v>
      </c>
      <c r="DV40" s="22" t="n">
        <f aca="false">IF('Current Index'!1149:1149,"AAAAACH//30=",0)</f>
        <v>0</v>
      </c>
      <c r="DW40" s="22" t="n">
        <f aca="false">IF('Current Index'!1150:1150,"AAAAACH//34=",0)</f>
        <v>0</v>
      </c>
      <c r="DX40" s="22" t="n">
        <f aca="false">IF('Current Index'!1151:1151,"AAAAACH//38=",0)</f>
        <v>0</v>
      </c>
      <c r="DY40" s="22" t="n">
        <f aca="false">IF('Current Index'!1152:1152,"AAAAACH//4A=",0)</f>
        <v>0</v>
      </c>
      <c r="DZ40" s="22" t="n">
        <f aca="false">IF('Current Index'!1153:1153,"AAAAACH//4E=",0)</f>
        <v>0</v>
      </c>
      <c r="EA40" s="22" t="n">
        <f aca="false">IF('Current Index'!1154:1154,"AAAAACH//4I=",0)</f>
        <v>0</v>
      </c>
      <c r="EB40" s="22" t="n">
        <f aca="false">IF('Current Index'!1155:1155,"AAAAACH//4M=",0)</f>
        <v>0</v>
      </c>
      <c r="EC40" s="22" t="n">
        <f aca="false">IF('Current Index'!1156:1156,"AAAAACH//4Q=",0)</f>
        <v>0</v>
      </c>
      <c r="ED40" s="22" t="n">
        <f aca="false">IF('Current Index'!1157:1157,"AAAAACH//4U=",0)</f>
        <v>0</v>
      </c>
      <c r="EE40" s="22" t="n">
        <f aca="false">IF('Current Index'!1158:1158,"AAAAACH//4Y=",0)</f>
        <v>0</v>
      </c>
      <c r="EF40" s="22" t="n">
        <f aca="false">IF('Current Index'!1159:1159,"AAAAACH//4c=",0)</f>
        <v>0</v>
      </c>
      <c r="EG40" s="22" t="n">
        <f aca="false">IF('Current Index'!1160:1160,"AAAAACH//4g=",0)</f>
        <v>0</v>
      </c>
      <c r="EH40" s="22" t="n">
        <f aca="false">IF('Current Index'!1161:1161,"AAAAACH//4k=",0)</f>
        <v>0</v>
      </c>
      <c r="EI40" s="22" t="n">
        <f aca="false">IF('Current Index'!1162:1162,"AAAAACH//4o=",0)</f>
        <v>0</v>
      </c>
      <c r="EJ40" s="22" t="n">
        <f aca="false">IF('Current Index'!1163:1163,"AAAAACH//4s=",0)</f>
        <v>0</v>
      </c>
      <c r="EK40" s="22" t="n">
        <f aca="false">IF('Current Index'!1164:1164,"AAAAACH//4w=",0)</f>
        <v>0</v>
      </c>
      <c r="EL40" s="22" t="n">
        <f aca="false">IF('Current Index'!1165:1165,"AAAAACH//40=",0)</f>
        <v>0</v>
      </c>
      <c r="EM40" s="22" t="n">
        <f aca="false">IF('Current Index'!1166:1166,"AAAAACH//44=",0)</f>
        <v>0</v>
      </c>
      <c r="EN40" s="22" t="n">
        <f aca="false">IF('Current Index'!1167:1167,"AAAAACH//48=",0)</f>
        <v>0</v>
      </c>
      <c r="EO40" s="22" t="n">
        <f aca="false">IF('Current Index'!1168:1168,"AAAAACH//5A=",0)</f>
        <v>0</v>
      </c>
      <c r="EP40" s="22" t="n">
        <f aca="false">IF('Current Index'!1169:1169,"AAAAACH//5E=",0)</f>
        <v>0</v>
      </c>
      <c r="EQ40" s="22" t="n">
        <f aca="false">IF('Current Index'!1170:1170,"AAAAACH//5I=",0)</f>
        <v>0</v>
      </c>
      <c r="ER40" s="22" t="n">
        <f aca="false">IF('Current Index'!1171:1171,"AAAAACH//5M=",0)</f>
        <v>0</v>
      </c>
      <c r="ES40" s="22" t="n">
        <f aca="false">IF('Current Index'!1172:1172,"AAAAACH//5Q=",0)</f>
        <v>0</v>
      </c>
      <c r="ET40" s="22" t="n">
        <f aca="false">IF('Current Index'!1173:1173,"AAAAACH//5U=",0)</f>
        <v>0</v>
      </c>
      <c r="EU40" s="22" t="n">
        <f aca="false">IF('Current Index'!1174:1174,"AAAAACH//5Y=",0)</f>
        <v>0</v>
      </c>
      <c r="EV40" s="22" t="n">
        <f aca="false">IF('Current Index'!1175:1175,"AAAAACH//5c=",0)</f>
        <v>0</v>
      </c>
      <c r="EW40" s="22" t="n">
        <f aca="false">IF('Current Index'!1176:1176,"AAAAACH//5g=",0)</f>
        <v>0</v>
      </c>
      <c r="EX40" s="22" t="n">
        <f aca="false">IF('Current Index'!1177:1177,"AAAAACH//5k=",0)</f>
        <v>0</v>
      </c>
      <c r="EY40" s="22" t="n">
        <f aca="false">IF('Current Index'!1178:1178,"AAAAACH//5o=",0)</f>
        <v>0</v>
      </c>
      <c r="EZ40" s="22" t="n">
        <f aca="false">IF('Current Index'!1179:1179,"AAAAACH//5s=",0)</f>
        <v>0</v>
      </c>
      <c r="FA40" s="22" t="n">
        <f aca="false">IF('Current Index'!1180:1180,"AAAAACH//5w=",0)</f>
        <v>0</v>
      </c>
      <c r="FB40" s="22" t="n">
        <f aca="false">IF('Current Index'!1181:1181,"AAAAACH//50=",0)</f>
        <v>0</v>
      </c>
      <c r="FC40" s="22" t="n">
        <f aca="false">IF('Current Index'!1182:1182,"AAAAACH//54=",0)</f>
        <v>0</v>
      </c>
      <c r="FD40" s="22" t="n">
        <f aca="false">IF('Current Index'!1183:1183,"AAAAACH//58=",0)</f>
        <v>0</v>
      </c>
      <c r="FE40" s="22" t="n">
        <f aca="false">IF('Current Index'!1184:1184,"AAAAACH//6A=",0)</f>
        <v>0</v>
      </c>
      <c r="FF40" s="22" t="n">
        <f aca="false">IF('Current Index'!1185:1185,"AAAAACH//6E=",0)</f>
        <v>0</v>
      </c>
      <c r="FG40" s="22" t="n">
        <f aca="false">IF('Current Index'!1186:1186,"AAAAACH//6I=",0)</f>
        <v>0</v>
      </c>
      <c r="FH40" s="22" t="n">
        <f aca="false">IF('Current Index'!1187:1187,"AAAAACH//6M=",0)</f>
        <v>0</v>
      </c>
      <c r="FI40" s="22" t="n">
        <f aca="false">IF('Current Index'!1188:1188,"AAAAACH//6Q=",0)</f>
        <v>0</v>
      </c>
      <c r="FJ40" s="22" t="n">
        <f aca="false">IF('Current Index'!1189:1189,"AAAAACH//6U=",0)</f>
        <v>0</v>
      </c>
      <c r="FK40" s="22" t="n">
        <f aca="false">IF('Current Index'!1190:1190,"AAAAACH//6Y=",0)</f>
        <v>0</v>
      </c>
      <c r="FL40" s="22" t="n">
        <f aca="false">IF('Current Index'!1191:1191,"AAAAACH//6c=",0)</f>
        <v>0</v>
      </c>
      <c r="FM40" s="22" t="n">
        <f aca="false">IF('Current Index'!1192:1192,"AAAAACH//6g=",0)</f>
        <v>0</v>
      </c>
      <c r="FN40" s="22" t="n">
        <f aca="false">IF('Current Index'!1193:1193,"AAAAACH//6k=",0)</f>
        <v>0</v>
      </c>
      <c r="FO40" s="22" t="n">
        <f aca="false">IF('Current Index'!1194:1194,"AAAAACH//6o=",0)</f>
        <v>0</v>
      </c>
      <c r="FP40" s="22" t="n">
        <f aca="false">IF('Current Index'!1195:1195,"AAAAACH//6s=",0)</f>
        <v>0</v>
      </c>
      <c r="FQ40" s="22" t="n">
        <f aca="false">IF('Current Index'!1196:1196,"AAAAACH//6w=",0)</f>
        <v>0</v>
      </c>
      <c r="FR40" s="22" t="n">
        <f aca="false">IF('Current Index'!1197:1197,"AAAAACH//60=",0)</f>
        <v>0</v>
      </c>
      <c r="FS40" s="22" t="n">
        <f aca="false">IF('Current Index'!1198:1198,"AAAAACH//64=",0)</f>
        <v>0</v>
      </c>
      <c r="FT40" s="22" t="n">
        <f aca="false">IF('Current Index'!1199:1199,"AAAAACH//68=",0)</f>
        <v>0</v>
      </c>
      <c r="FU40" s="22" t="n">
        <f aca="false">IF('Current Index'!1200:1200,"AAAAACH//7A=",0)</f>
        <v>0</v>
      </c>
      <c r="FV40" s="22" t="n">
        <f aca="false">IF('Current Index'!1201:1201,"AAAAACH//7E=",0)</f>
        <v>0</v>
      </c>
      <c r="FW40" s="22" t="n">
        <f aca="false">IF('Current Index'!1202:1202,"AAAAACH//7I=",0)</f>
        <v>0</v>
      </c>
      <c r="FX40" s="22" t="n">
        <f aca="false">IF('Current Index'!1203:1203,"AAAAACH//7M=",0)</f>
        <v>0</v>
      </c>
      <c r="FY40" s="22" t="n">
        <f aca="false">IF('Current Index'!1204:1204,"AAAAACH//7Q=",0)</f>
        <v>0</v>
      </c>
      <c r="FZ40" s="22" t="n">
        <f aca="false">IF('Current Index'!1205:1205,"AAAAACH//7U=",0)</f>
        <v>0</v>
      </c>
      <c r="GA40" s="22" t="n">
        <f aca="false">IF('Current Index'!1206:1206,"AAAAACH//7Y=",0)</f>
        <v>0</v>
      </c>
      <c r="GB40" s="22" t="n">
        <f aca="false">IF('Current Index'!1207:1207,"AAAAACH//7c=",0)</f>
        <v>0</v>
      </c>
      <c r="GC40" s="22" t="n">
        <f aca="false">IF('Current Index'!1208:1208,"AAAAACH//7g=",0)</f>
        <v>0</v>
      </c>
      <c r="GD40" s="22" t="n">
        <f aca="false">IF('Current Index'!1209:1209,"AAAAACH//7k=",0)</f>
        <v>0</v>
      </c>
      <c r="GE40" s="22" t="n">
        <f aca="false">IF('Current Index'!1210:1210,"AAAAACH//7o=",0)</f>
        <v>0</v>
      </c>
      <c r="GF40" s="22" t="n">
        <f aca="false">IF('Current Index'!1211:1211,"AAAAACH//7s=",0)</f>
        <v>0</v>
      </c>
      <c r="GG40" s="22" t="n">
        <f aca="false">IF('Current Index'!1212:1212,"AAAAACH//7w=",0)</f>
        <v>0</v>
      </c>
      <c r="GH40" s="22" t="n">
        <f aca="false">IF('Current Index'!1213:1213,"AAAAACH//70=",0)</f>
        <v>0</v>
      </c>
      <c r="GI40" s="22" t="n">
        <f aca="false">IF('Current Index'!1214:1214,"AAAAACH//74=",0)</f>
        <v>0</v>
      </c>
      <c r="GJ40" s="22" t="n">
        <f aca="false">IF('Current Index'!1215:1215,"AAAAACH//78=",0)</f>
        <v>0</v>
      </c>
      <c r="GK40" s="22" t="n">
        <f aca="false">IF('Current Index'!1216:1216,"AAAAACH//8A=",0)</f>
        <v>0</v>
      </c>
      <c r="GL40" s="22" t="n">
        <f aca="false">IF('Current Index'!1217:1217,"AAAAACH//8E=",0)</f>
        <v>0</v>
      </c>
      <c r="GM40" s="22" t="n">
        <f aca="false">IF('Current Index'!1218:1218,"AAAAACH//8I=",0)</f>
        <v>0</v>
      </c>
      <c r="GN40" s="22" t="n">
        <f aca="false">IF('Current Index'!1219:1219,"AAAAACH//8M=",0)</f>
        <v>0</v>
      </c>
      <c r="GO40" s="22" t="n">
        <f aca="false">IF('Current Index'!1220:1220,"AAAAACH//8Q=",0)</f>
        <v>0</v>
      </c>
      <c r="GP40" s="22" t="n">
        <f aca="false">IF('Current Index'!1221:1221,"AAAAACH//8U=",0)</f>
        <v>0</v>
      </c>
      <c r="GQ40" s="22" t="n">
        <f aca="false">IF('Current Index'!1222:1222,"AAAAACH//8Y=",0)</f>
        <v>0</v>
      </c>
      <c r="GR40" s="22" t="n">
        <f aca="false">IF('Current Index'!1223:1223,"AAAAACH//8c=",0)</f>
        <v>0</v>
      </c>
      <c r="GS40" s="22" t="n">
        <f aca="false">IF('Current Index'!1224:1224,"AAAAACH//8g=",0)</f>
        <v>0</v>
      </c>
      <c r="GT40" s="22" t="n">
        <f aca="false">IF('Current Index'!1225:1225,"AAAAACH//8k=",0)</f>
        <v>0</v>
      </c>
      <c r="GU40" s="22" t="n">
        <f aca="false">IF('Current Index'!1226:1226,"AAAAACH//8o=",0)</f>
        <v>0</v>
      </c>
      <c r="GV40" s="22" t="n">
        <f aca="false">IF('Current Index'!1227:1227,"AAAAACH//8s=",0)</f>
        <v>0</v>
      </c>
      <c r="GW40" s="22" t="n">
        <f aca="false">IF('Current Index'!1228:1228,"AAAAACH//8w=",0)</f>
        <v>0</v>
      </c>
      <c r="GX40" s="22" t="n">
        <f aca="false">IF('Current Index'!1229:1229,"AAAAACH//80=",0)</f>
        <v>0</v>
      </c>
      <c r="GY40" s="22" t="n">
        <f aca="false">IF('Current Index'!1230:1230,"AAAAACH//84=",0)</f>
        <v>0</v>
      </c>
      <c r="GZ40" s="22" t="n">
        <f aca="false">IF('Current Index'!1231:1231,"AAAAACH//88=",0)</f>
        <v>0</v>
      </c>
      <c r="HA40" s="22" t="n">
        <f aca="false">IF('Current Index'!1232:1232,"AAAAACH//9A=",0)</f>
        <v>0</v>
      </c>
      <c r="HB40" s="22" t="n">
        <f aca="false">IF('Current Index'!1233:1233,"AAAAACH//9E=",0)</f>
        <v>0</v>
      </c>
      <c r="HC40" s="22" t="n">
        <f aca="false">IF('Current Index'!1234:1234,"AAAAACH//9I=",0)</f>
        <v>0</v>
      </c>
      <c r="HD40" s="22" t="n">
        <f aca="false">IF('Current Index'!1235:1235,"AAAAACH//9M=",0)</f>
        <v>0</v>
      </c>
      <c r="HE40" s="22" t="n">
        <f aca="false">IF('Current Index'!1236:1236,"AAAAACH//9Q=",0)</f>
        <v>0</v>
      </c>
      <c r="HF40" s="22" t="n">
        <f aca="false">IF('Current Index'!1237:1237,"AAAAACH//9U=",0)</f>
        <v>0</v>
      </c>
      <c r="HG40" s="22" t="n">
        <f aca="false">IF('Current Index'!1238:1238,"AAAAACH//9Y=",0)</f>
        <v>0</v>
      </c>
      <c r="HH40" s="22" t="n">
        <f aca="false">IF('Current Index'!1239:1239,"AAAAACH//9c=",0)</f>
        <v>0</v>
      </c>
      <c r="HI40" s="22" t="n">
        <f aca="false">IF('Current Index'!1240:1240,"AAAAACH//9g=",0)</f>
        <v>0</v>
      </c>
      <c r="HJ40" s="22" t="n">
        <f aca="false">IF('Current Index'!1241:1241,"AAAAACH//9k=",0)</f>
        <v>0</v>
      </c>
      <c r="HK40" s="22" t="n">
        <f aca="false">IF('Current Index'!1242:1242,"AAAAACH//9o=",0)</f>
        <v>0</v>
      </c>
      <c r="HL40" s="22" t="n">
        <f aca="false">IF('Current Index'!1243:1243,"AAAAACH//9s=",0)</f>
        <v>0</v>
      </c>
      <c r="HM40" s="22" t="n">
        <f aca="false">IF('Current Index'!1244:1244,"AAAAACH//9w=",0)</f>
        <v>0</v>
      </c>
      <c r="HN40" s="22" t="n">
        <f aca="false">IF('Current Index'!1245:1245,"AAAAACH//90=",0)</f>
        <v>0</v>
      </c>
      <c r="HO40" s="22" t="n">
        <f aca="false">IF('Current Index'!1246:1246,"AAAAACH//94=",0)</f>
        <v>0</v>
      </c>
      <c r="HP40" s="22" t="n">
        <f aca="false">IF('Current Index'!1247:1247,"AAAAACH//98=",0)</f>
        <v>0</v>
      </c>
      <c r="HQ40" s="22" t="n">
        <f aca="false">IF('Current Index'!1248:1248,"AAAAACH//+A=",0)</f>
        <v>0</v>
      </c>
      <c r="HR40" s="22" t="n">
        <f aca="false">IF('Current Index'!1249:1249,"AAAAACH//+E=",0)</f>
        <v>0</v>
      </c>
      <c r="HS40" s="22" t="n">
        <f aca="false">IF('Current Index'!1250:1250,"AAAAACH//+I=",0)</f>
        <v>0</v>
      </c>
      <c r="HT40" s="22" t="n">
        <f aca="false">IF('Current Index'!1251:1251,"AAAAACH//+M=",0)</f>
        <v>0</v>
      </c>
      <c r="HU40" s="22" t="n">
        <f aca="false">IF('Current Index'!1252:1252,"AAAAACH//+Q=",0)</f>
        <v>0</v>
      </c>
      <c r="HV40" s="22" t="n">
        <f aca="false">IF('Current Index'!1253:1253,"AAAAACH//+U=",0)</f>
        <v>0</v>
      </c>
      <c r="HW40" s="22" t="n">
        <f aca="false">IF('Current Index'!1254:1254,"AAAAACH//+Y=",0)</f>
        <v>0</v>
      </c>
      <c r="HX40" s="22" t="n">
        <f aca="false">IF('Current Index'!1255:1255,"AAAAACH//+c=",0)</f>
        <v>0</v>
      </c>
      <c r="HY40" s="22" t="n">
        <f aca="false">IF('Current Index'!1256:1256,"AAAAACH//+g=",0)</f>
        <v>0</v>
      </c>
      <c r="HZ40" s="22" t="n">
        <f aca="false">IF('Current Index'!1257:1257,"AAAAACH//+k=",0)</f>
        <v>0</v>
      </c>
      <c r="IA40" s="22" t="n">
        <f aca="false">IF('Current Index'!1258:1258,"AAAAACH//+o=",0)</f>
        <v>0</v>
      </c>
      <c r="IB40" s="22" t="n">
        <f aca="false">IF('Current Index'!1259:1259,"AAAAACH//+s=",0)</f>
        <v>0</v>
      </c>
      <c r="IC40" s="22" t="n">
        <f aca="false">IF('Current Index'!1260:1260,"AAAAACH//+w=",0)</f>
        <v>0</v>
      </c>
      <c r="ID40" s="22" t="n">
        <f aca="false">IF('Current Index'!1261:1261,"AAAAACH//+0=",0)</f>
        <v>0</v>
      </c>
      <c r="IE40" s="22" t="n">
        <f aca="false">IF('Current Index'!1262:1262,"AAAAACH//+4=",0)</f>
        <v>0</v>
      </c>
      <c r="IF40" s="22" t="n">
        <f aca="false">IF('Current Index'!1263:1263,"AAAAACH//+8=",0)</f>
        <v>0</v>
      </c>
      <c r="IG40" s="22" t="n">
        <f aca="false">IF('Current Index'!1264:1264,"AAAAACH///A=",0)</f>
        <v>0</v>
      </c>
      <c r="IH40" s="22" t="n">
        <f aca="false">IF('Current Index'!1265:1265,"AAAAACH///E=",0)</f>
        <v>0</v>
      </c>
      <c r="II40" s="22" t="n">
        <f aca="false">IF('Current Index'!1266:1266,"AAAAACH///I=",0)</f>
        <v>0</v>
      </c>
      <c r="IJ40" s="22" t="n">
        <f aca="false">IF('Current Index'!1267:1267,"AAAAACH///M=",0)</f>
        <v>0</v>
      </c>
      <c r="IK40" s="22" t="n">
        <f aca="false">IF('Current Index'!1268:1268,"AAAAACH///Q=",0)</f>
        <v>0</v>
      </c>
      <c r="IL40" s="22" t="n">
        <f aca="false">IF('Current Index'!1269:1269,"AAAAACH///U=",0)</f>
        <v>0</v>
      </c>
      <c r="IM40" s="22" t="n">
        <f aca="false">IF('Current Index'!1270:1270,"AAAAACH///Y=",0)</f>
        <v>0</v>
      </c>
      <c r="IN40" s="22" t="n">
        <f aca="false">IF('Current Index'!1271:1271,"AAAAACH///c=",0)</f>
        <v>0</v>
      </c>
      <c r="IO40" s="22" t="n">
        <f aca="false">IF('Current Index'!1272:1272,"AAAAACH///g=",0)</f>
        <v>0</v>
      </c>
      <c r="IP40" s="22" t="n">
        <f aca="false">IF('Current Index'!1273:1273,"AAAAACH///k=",0)</f>
        <v>0</v>
      </c>
      <c r="IQ40" s="22" t="n">
        <f aca="false">IF('Current Index'!1274:1274,"AAAAACH///o=",0)</f>
        <v>0</v>
      </c>
      <c r="IR40" s="22" t="n">
        <f aca="false">IF('Current Index'!1275:1275,"AAAAACH///s=",0)</f>
        <v>0</v>
      </c>
      <c r="IS40" s="22" t="n">
        <f aca="false">IF('Current Index'!1276:1276,"AAAAACH///w=",0)</f>
        <v>0</v>
      </c>
      <c r="IT40" s="22" t="n">
        <f aca="false">IF('Current Index'!1277:1277,"AAAAACH///0=",0)</f>
        <v>0</v>
      </c>
      <c r="IU40" s="22" t="n">
        <f aca="false">IF('Current Index'!1278:1278,"AAAAACH///4=",0)</f>
        <v>0</v>
      </c>
      <c r="IV40" s="22" t="n">
        <f aca="false">IF('Current Index'!1279:1279,"AAAAACH///8=",0)</f>
        <v>0</v>
      </c>
    </row>
    <row r="41" customFormat="false" ht="12.75" hidden="false" customHeight="false" outlineLevel="0" collapsed="false">
      <c r="A41" s="22" t="n">
        <f aca="false">IF('Current Index'!1280:1280,"AAAAAHX+5AA=",0)</f>
        <v>0</v>
      </c>
      <c r="B41" s="22" t="n">
        <f aca="false">IF('Current Index'!1281:1281,"AAAAAHX+5AE=",0)</f>
        <v>0</v>
      </c>
      <c r="C41" s="22" t="n">
        <f aca="false">IF('Current Index'!1282:1282,"AAAAAHX+5AI=",0)</f>
        <v>0</v>
      </c>
      <c r="D41" s="22" t="n">
        <f aca="false">IF('Current Index'!1283:1283,"AAAAAHX+5AM=",0)</f>
        <v>0</v>
      </c>
      <c r="E41" s="22" t="n">
        <f aca="false">IF('Current Index'!1284:1284,"AAAAAHX+5AQ=",0)</f>
        <v>0</v>
      </c>
      <c r="F41" s="22" t="n">
        <f aca="false">IF('Current Index'!1285:1285,"AAAAAHX+5AU=",0)</f>
        <v>0</v>
      </c>
      <c r="G41" s="22" t="n">
        <f aca="false">IF('Current Index'!1286:1286,"AAAAAHX+5AY=",0)</f>
        <v>0</v>
      </c>
      <c r="H41" s="22" t="n">
        <f aca="false">IF('Current Index'!1287:1287,"AAAAAHX+5Ac=",0)</f>
        <v>0</v>
      </c>
      <c r="I41" s="22" t="n">
        <f aca="false">IF('Current Index'!1288:1288,"AAAAAHX+5Ag=",0)</f>
        <v>0</v>
      </c>
      <c r="J41" s="22" t="n">
        <f aca="false">IF('Current Index'!1289:1289,"AAAAAHX+5Ak=",0)</f>
        <v>0</v>
      </c>
      <c r="K41" s="22" t="n">
        <f aca="false">IF('Current Index'!1290:1290,"AAAAAHX+5Ao=",0)</f>
        <v>0</v>
      </c>
      <c r="L41" s="22" t="n">
        <f aca="false">IF('Current Index'!1291:1291,"AAAAAHX+5As=",0)</f>
        <v>0</v>
      </c>
      <c r="M41" s="22" t="n">
        <f aca="false">IF('Current Index'!1292:1292,"AAAAAHX+5Aw=",0)</f>
        <v>0</v>
      </c>
      <c r="N41" s="22" t="n">
        <f aca="false">IF('Current Index'!1293:1293,"AAAAAHX+5A0=",0)</f>
        <v>0</v>
      </c>
      <c r="O41" s="22" t="n">
        <f aca="false">IF('Current Index'!1294:1294,"AAAAAHX+5A4=",0)</f>
        <v>0</v>
      </c>
      <c r="P41" s="22" t="n">
        <f aca="false">IF('Current Index'!1295:1295,"AAAAAHX+5A8=",0)</f>
        <v>0</v>
      </c>
      <c r="Q41" s="22" t="n">
        <f aca="false">IF('Current Index'!1296:1296,"AAAAAHX+5BA=",0)</f>
        <v>0</v>
      </c>
      <c r="R41" s="22" t="n">
        <f aca="false">IF('Current Index'!1297:1297,"AAAAAHX+5BE=",0)</f>
        <v>0</v>
      </c>
      <c r="S41" s="22" t="n">
        <f aca="false">IF('Current Index'!1298:1298,"AAAAAHX+5BI=",0)</f>
        <v>0</v>
      </c>
      <c r="T41" s="22" t="n">
        <f aca="false">IF('Current Index'!1299:1299,"AAAAAHX+5BM=",0)</f>
        <v>0</v>
      </c>
      <c r="U41" s="22" t="n">
        <f aca="false">IF('Current Index'!1300:1300,"AAAAAHX+5BQ=",0)</f>
        <v>0</v>
      </c>
      <c r="V41" s="22" t="n">
        <f aca="false">IF('Current Index'!1301:1301,"AAAAAHX+5BU=",0)</f>
        <v>0</v>
      </c>
      <c r="W41" s="22" t="n">
        <f aca="false">IF('Current Index'!1302:1302,"AAAAAHX+5BY=",0)</f>
        <v>0</v>
      </c>
      <c r="X41" s="22" t="n">
        <f aca="false">IF('Current Index'!1303:1303,"AAAAAHX+5Bc=",0)</f>
        <v>0</v>
      </c>
      <c r="Y41" s="22" t="n">
        <f aca="false">IF('Current Index'!1304:1304,"AAAAAHX+5Bg=",0)</f>
        <v>0</v>
      </c>
      <c r="Z41" s="22" t="n">
        <f aca="false">IF('Current Index'!1305:1305,"AAAAAHX+5Bk=",0)</f>
        <v>0</v>
      </c>
      <c r="AA41" s="22" t="n">
        <f aca="false">IF('Current Index'!1306:1306,"AAAAAHX+5Bo=",0)</f>
        <v>0</v>
      </c>
      <c r="AB41" s="22" t="n">
        <f aca="false">IF('Current Index'!1307:1307,"AAAAAHX+5Bs=",0)</f>
        <v>0</v>
      </c>
      <c r="AC41" s="22" t="n">
        <f aca="false">IF('Current Index'!1308:1308,"AAAAAHX+5Bw=",0)</f>
        <v>0</v>
      </c>
      <c r="AD41" s="22" t="n">
        <f aca="false">IF('Current Index'!1309:1309,"AAAAAHX+5B0=",0)</f>
        <v>0</v>
      </c>
      <c r="AE41" s="22" t="n">
        <f aca="false">IF('Current Index'!1310:1310,"AAAAAHX+5B4=",0)</f>
        <v>0</v>
      </c>
      <c r="AF41" s="22" t="n">
        <f aca="false">IF('Current Index'!1311:1311,"AAAAAHX+5B8=",0)</f>
        <v>0</v>
      </c>
      <c r="AG41" s="22" t="n">
        <f aca="false">IF('Current Index'!1312:1312,"AAAAAHX+5CA=",0)</f>
        <v>0</v>
      </c>
      <c r="AH41" s="22" t="n">
        <f aca="false">IF('Current Index'!1313:1313,"AAAAAHX+5CE=",0)</f>
        <v>0</v>
      </c>
      <c r="AI41" s="22" t="n">
        <f aca="false">IF('Current Index'!1314:1314,"AAAAAHX+5CI=",0)</f>
        <v>0</v>
      </c>
      <c r="AJ41" s="22" t="n">
        <f aca="false">IF('Current Index'!1315:1315,"AAAAAHX+5CM=",0)</f>
        <v>0</v>
      </c>
      <c r="AK41" s="22" t="n">
        <f aca="false">IF('Current Index'!1316:1316,"AAAAAHX+5CQ=",0)</f>
        <v>0</v>
      </c>
      <c r="AL41" s="22" t="n">
        <f aca="false">IF('Current Index'!1317:1317,"AAAAAHX+5CU=",0)</f>
        <v>0</v>
      </c>
      <c r="AM41" s="22" t="n">
        <f aca="false">IF('Current Index'!1318:1318,"AAAAAHX+5CY=",0)</f>
        <v>0</v>
      </c>
      <c r="AN41" s="22" t="n">
        <f aca="false">IF('Current Index'!1319:1319,"AAAAAHX+5Cc=",0)</f>
        <v>0</v>
      </c>
      <c r="AO41" s="22" t="n">
        <f aca="false">IF('Current Index'!1320:1320,"AAAAAHX+5Cg=",0)</f>
        <v>0</v>
      </c>
      <c r="AP41" s="22" t="n">
        <f aca="false">IF('Current Index'!1321:1321,"AAAAAHX+5Ck=",0)</f>
        <v>0</v>
      </c>
      <c r="AQ41" s="22" t="n">
        <f aca="false">IF('Current Index'!1322:1322,"AAAAAHX+5Co=",0)</f>
        <v>0</v>
      </c>
      <c r="AR41" s="22" t="n">
        <f aca="false">IF('Current Index'!1323:1323,"AAAAAHX+5Cs=",0)</f>
        <v>0</v>
      </c>
      <c r="AS41" s="22" t="n">
        <f aca="false">IF('Current Index'!1324:1324,"AAAAAHX+5Cw=",0)</f>
        <v>0</v>
      </c>
      <c r="AT41" s="22" t="n">
        <f aca="false">IF('Current Index'!1325:1325,"AAAAAHX+5C0=",0)</f>
        <v>0</v>
      </c>
      <c r="AU41" s="22" t="n">
        <f aca="false">IF('Current Index'!1326:1326,"AAAAAHX+5C4=",0)</f>
        <v>0</v>
      </c>
      <c r="AV41" s="22" t="n">
        <f aca="false">IF('Current Index'!1327:1327,"AAAAAHX+5C8=",0)</f>
        <v>0</v>
      </c>
      <c r="AW41" s="22" t="n">
        <f aca="false">IF('Current Index'!1328:1328,"AAAAAHX+5DA=",0)</f>
        <v>0</v>
      </c>
      <c r="AX41" s="22" t="n">
        <f aca="false">IF('Current Index'!1329:1329,"AAAAAHX+5DE=",0)</f>
        <v>0</v>
      </c>
      <c r="AY41" s="22" t="n">
        <f aca="false">IF('Current Index'!1330:1330,"AAAAAHX+5DI=",0)</f>
        <v>0</v>
      </c>
      <c r="AZ41" s="22" t="n">
        <f aca="false">IF('Current Index'!1331:1331,"AAAAAHX+5DM=",0)</f>
        <v>0</v>
      </c>
      <c r="BA41" s="22" t="n">
        <f aca="false">IF('Current Index'!1332:1332,"AAAAAHX+5DQ=",0)</f>
        <v>0</v>
      </c>
      <c r="BB41" s="22" t="n">
        <f aca="false">IF('Current Index'!1333:1333,"AAAAAHX+5DU=",0)</f>
        <v>0</v>
      </c>
      <c r="BC41" s="22" t="n">
        <f aca="false">IF('Current Index'!1334:1334,"AAAAAHX+5DY=",0)</f>
        <v>0</v>
      </c>
      <c r="BD41" s="22" t="n">
        <f aca="false">IF('Current Index'!1335:1335,"AAAAAHX+5Dc=",0)</f>
        <v>0</v>
      </c>
      <c r="BE41" s="22" t="n">
        <f aca="false">IF('Current Index'!1336:1336,"AAAAAHX+5Dg=",0)</f>
        <v>0</v>
      </c>
      <c r="BF41" s="22" t="n">
        <f aca="false">IF('Current Index'!1337:1337,"AAAAAHX+5Dk=",0)</f>
        <v>0</v>
      </c>
      <c r="BG41" s="22" t="n">
        <f aca="false">IF('Current Index'!1338:1338,"AAAAAHX+5Do=",0)</f>
        <v>0</v>
      </c>
      <c r="BH41" s="22" t="n">
        <f aca="false">IF('Current Index'!1339:1339,"AAAAAHX+5Ds=",0)</f>
        <v>0</v>
      </c>
      <c r="BI41" s="22" t="n">
        <f aca="false">IF('Current Index'!1340:1340,"AAAAAHX+5Dw=",0)</f>
        <v>0</v>
      </c>
      <c r="BJ41" s="22" t="n">
        <f aca="false">IF('Current Index'!1341:1341,"AAAAAHX+5D0=",0)</f>
        <v>0</v>
      </c>
      <c r="BK41" s="22" t="n">
        <f aca="false">IF('Current Index'!1342:1342,"AAAAAHX+5D4=",0)</f>
        <v>0</v>
      </c>
      <c r="BL41" s="22" t="n">
        <f aca="false">IF('Current Index'!1343:1343,"AAAAAHX+5D8=",0)</f>
        <v>0</v>
      </c>
      <c r="BM41" s="22" t="n">
        <f aca="false">IF('Current Index'!1344:1344,"AAAAAHX+5EA=",0)</f>
        <v>0</v>
      </c>
      <c r="BN41" s="22" t="n">
        <f aca="false">IF('Current Index'!1345:1345,"AAAAAHX+5EE=",0)</f>
        <v>0</v>
      </c>
      <c r="BO41" s="22" t="n">
        <f aca="false">IF('Current Index'!1346:1346,"AAAAAHX+5EI=",0)</f>
        <v>0</v>
      </c>
      <c r="BP41" s="22" t="n">
        <f aca="false">IF('Current Index'!1347:1347,"AAAAAHX+5EM=",0)</f>
        <v>0</v>
      </c>
      <c r="BQ41" s="22" t="n">
        <f aca="false">IF('Current Index'!1348:1348,"AAAAAHX+5EQ=",0)</f>
        <v>0</v>
      </c>
      <c r="BR41" s="22" t="n">
        <f aca="false">IF('Current Index'!1349:1349,"AAAAAHX+5EU=",0)</f>
        <v>0</v>
      </c>
      <c r="BS41" s="22" t="n">
        <f aca="false">IF('Current Index'!1350:1350,"AAAAAHX+5EY=",0)</f>
        <v>0</v>
      </c>
      <c r="BT41" s="22" t="n">
        <f aca="false">IF('Current Index'!1351:1351,"AAAAAHX+5Ec=",0)</f>
        <v>0</v>
      </c>
      <c r="BU41" s="22" t="n">
        <f aca="false">IF('Current Index'!1352:1352,"AAAAAHX+5Eg=",0)</f>
        <v>0</v>
      </c>
      <c r="BV41" s="22" t="n">
        <f aca="false">IF('Current Index'!1353:1353,"AAAAAHX+5Ek=",0)</f>
        <v>0</v>
      </c>
      <c r="BW41" s="22" t="n">
        <f aca="false">IF('Current Index'!1354:1354,"AAAAAHX+5Eo=",0)</f>
        <v>0</v>
      </c>
      <c r="BX41" s="22" t="n">
        <f aca="false">IF('Current Index'!1355:1355,"AAAAAHX+5Es=",0)</f>
        <v>0</v>
      </c>
      <c r="BY41" s="22" t="n">
        <f aca="false">IF('Current Index'!1356:1356,"AAAAAHX+5Ew=",0)</f>
        <v>0</v>
      </c>
      <c r="BZ41" s="22" t="n">
        <f aca="false">IF('Current Index'!1357:1357,"AAAAAHX+5E0=",0)</f>
        <v>0</v>
      </c>
      <c r="CA41" s="22" t="n">
        <f aca="false">IF('Current Index'!1358:1358,"AAAAAHX+5E4=",0)</f>
        <v>0</v>
      </c>
      <c r="CB41" s="22" t="n">
        <f aca="false">IF('Current Index'!1359:1359,"AAAAAHX+5E8=",0)</f>
        <v>0</v>
      </c>
      <c r="CC41" s="22" t="n">
        <f aca="false">IF('Current Index'!1360:1360,"AAAAAHX+5FA=",0)</f>
        <v>0</v>
      </c>
      <c r="CD41" s="22" t="n">
        <f aca="false">IF('Current Index'!1361:1361,"AAAAAHX+5FE=",0)</f>
        <v>0</v>
      </c>
      <c r="CE41" s="22" t="n">
        <f aca="false">IF('Current Index'!1362:1362,"AAAAAHX+5FI=",0)</f>
        <v>0</v>
      </c>
      <c r="CF41" s="22" t="n">
        <f aca="false">IF('Current Index'!1363:1363,"AAAAAHX+5FM=",0)</f>
        <v>0</v>
      </c>
      <c r="CG41" s="22" t="n">
        <f aca="false">IF('Current Index'!1364:1364,"AAAAAHX+5FQ=",0)</f>
        <v>0</v>
      </c>
      <c r="CH41" s="22" t="n">
        <f aca="false">IF('Current Index'!1365:1365,"AAAAAHX+5FU=",0)</f>
        <v>0</v>
      </c>
      <c r="CI41" s="22" t="n">
        <f aca="false">IF('Current Index'!1366:1366,"AAAAAHX+5FY=",0)</f>
        <v>0</v>
      </c>
      <c r="CJ41" s="22" t="n">
        <f aca="false">IF('Current Index'!1367:1367,"AAAAAHX+5Fc=",0)</f>
        <v>0</v>
      </c>
      <c r="CK41" s="22" t="n">
        <f aca="false">IF('Current Index'!1368:1368,"AAAAAHX+5Fg=",0)</f>
        <v>0</v>
      </c>
      <c r="CL41" s="22" t="n">
        <f aca="false">IF('Current Index'!1369:1369,"AAAAAHX+5Fk=",0)</f>
        <v>0</v>
      </c>
      <c r="CM41" s="22" t="n">
        <f aca="false">IF('Current Index'!1370:1370,"AAAAAHX+5Fo=",0)</f>
        <v>0</v>
      </c>
      <c r="CN41" s="22" t="n">
        <f aca="false">IF('Current Index'!1371:1371,"AAAAAHX+5Fs=",0)</f>
        <v>0</v>
      </c>
      <c r="CO41" s="22" t="n">
        <f aca="false">IF('Current Index'!1372:1372,"AAAAAHX+5Fw=",0)</f>
        <v>0</v>
      </c>
      <c r="CP41" s="22" t="n">
        <f aca="false">IF('Current Index'!1373:1373,"AAAAAHX+5F0=",0)</f>
        <v>0</v>
      </c>
      <c r="CQ41" s="22" t="n">
        <f aca="false">IF('Current Index'!1374:1374,"AAAAAHX+5F4=",0)</f>
        <v>0</v>
      </c>
      <c r="CR41" s="22" t="n">
        <f aca="false">IF('Current Index'!1375:1375,"AAAAAHX+5F8=",0)</f>
        <v>0</v>
      </c>
      <c r="CS41" s="22" t="n">
        <f aca="false">IF('Current Index'!1376:1376,"AAAAAHX+5GA=",0)</f>
        <v>0</v>
      </c>
      <c r="CT41" s="22" t="n">
        <f aca="false">IF('Current Index'!1377:1377,"AAAAAHX+5GE=",0)</f>
        <v>0</v>
      </c>
      <c r="CU41" s="22" t="n">
        <f aca="false">IF('Current Index'!1378:1378,"AAAAAHX+5GI=",0)</f>
        <v>0</v>
      </c>
      <c r="CV41" s="22" t="n">
        <f aca="false">IF('Current Index'!1379:1379,"AAAAAHX+5GM=",0)</f>
        <v>0</v>
      </c>
      <c r="CW41" s="22" t="n">
        <f aca="false">IF('Current Index'!1380:1380,"AAAAAHX+5GQ=",0)</f>
        <v>0</v>
      </c>
      <c r="CX41" s="22" t="n">
        <f aca="false">IF('Current Index'!1381:1381,"AAAAAHX+5GU=",0)</f>
        <v>0</v>
      </c>
      <c r="CY41" s="22" t="n">
        <f aca="false">IF('Current Index'!1382:1382,"AAAAAHX+5GY=",0)</f>
        <v>0</v>
      </c>
      <c r="CZ41" s="22" t="n">
        <f aca="false">IF('Current Index'!1383:1383,"AAAAAHX+5Gc=",0)</f>
        <v>0</v>
      </c>
      <c r="DA41" s="22" t="n">
        <f aca="false">IF('Current Index'!1384:1384,"AAAAAHX+5Gg=",0)</f>
        <v>0</v>
      </c>
      <c r="DB41" s="22" t="n">
        <f aca="false">IF('Current Index'!1385:1385,"AAAAAHX+5Gk=",0)</f>
        <v>0</v>
      </c>
      <c r="DC41" s="22" t="n">
        <f aca="false">IF('Current Index'!1386:1386,"AAAAAHX+5Go=",0)</f>
        <v>0</v>
      </c>
      <c r="DD41" s="22" t="n">
        <f aca="false">IF('Current Index'!1387:1387,"AAAAAHX+5Gs=",0)</f>
        <v>0</v>
      </c>
      <c r="DE41" s="22" t="n">
        <f aca="false">IF('Current Index'!1388:1388,"AAAAAHX+5Gw=",0)</f>
        <v>0</v>
      </c>
      <c r="DF41" s="22" t="n">
        <f aca="false">IF('Current Index'!1389:1389,"AAAAAHX+5G0=",0)</f>
        <v>0</v>
      </c>
      <c r="DG41" s="22" t="n">
        <f aca="false">IF('Current Index'!1390:1390,"AAAAAHX+5G4=",0)</f>
        <v>0</v>
      </c>
      <c r="DH41" s="22" t="n">
        <f aca="false">IF('Current Index'!1391:1391,"AAAAAHX+5G8=",0)</f>
        <v>0</v>
      </c>
      <c r="DI41" s="22" t="n">
        <f aca="false">IF('Current Index'!1392:1392,"AAAAAHX+5HA=",0)</f>
        <v>0</v>
      </c>
      <c r="DJ41" s="22" t="n">
        <f aca="false">IF('Current Index'!1393:1393,"AAAAAHX+5HE=",0)</f>
        <v>0</v>
      </c>
      <c r="DK41" s="22" t="n">
        <f aca="false">IF('Current Index'!1394:1394,"AAAAAHX+5HI=",0)</f>
        <v>0</v>
      </c>
      <c r="DL41" s="22" t="n">
        <f aca="false">IF('Current Index'!1395:1395,"AAAAAHX+5HM=",0)</f>
        <v>0</v>
      </c>
      <c r="DM41" s="22" t="n">
        <f aca="false">IF('Current Index'!1396:1396,"AAAAAHX+5HQ=",0)</f>
        <v>0</v>
      </c>
      <c r="DN41" s="22" t="n">
        <f aca="false">IF('Current Index'!1397:1397,"AAAAAHX+5HU=",0)</f>
        <v>0</v>
      </c>
      <c r="DO41" s="22" t="n">
        <f aca="false">IF('Current Index'!1398:1398,"AAAAAHX+5HY=",0)</f>
        <v>0</v>
      </c>
      <c r="DP41" s="22" t="n">
        <f aca="false">IF('Current Index'!1399:1399,"AAAAAHX+5Hc=",0)</f>
        <v>0</v>
      </c>
      <c r="DQ41" s="22" t="n">
        <f aca="false">IF('Current Index'!1400:1400,"AAAAAHX+5Hg=",0)</f>
        <v>0</v>
      </c>
      <c r="DR41" s="22" t="n">
        <f aca="false">IF('Current Index'!1401:1401,"AAAAAHX+5Hk=",0)</f>
        <v>0</v>
      </c>
      <c r="DS41" s="22" t="n">
        <f aca="false">IF('Current Index'!1402:1402,"AAAAAHX+5Ho=",0)</f>
        <v>0</v>
      </c>
      <c r="DT41" s="22" t="n">
        <f aca="false">IF('Current Index'!1403:1403,"AAAAAHX+5Hs=",0)</f>
        <v>0</v>
      </c>
      <c r="DU41" s="22" t="n">
        <f aca="false">IF('Current Index'!1404:1404,"AAAAAHX+5Hw=",0)</f>
        <v>0</v>
      </c>
      <c r="DV41" s="22" t="n">
        <f aca="false">IF('Current Index'!1405:1405,"AAAAAHX+5H0=",0)</f>
        <v>0</v>
      </c>
      <c r="DW41" s="22" t="n">
        <f aca="false">IF('Current Index'!1406:1406,"AAAAAHX+5H4=",0)</f>
        <v>0</v>
      </c>
      <c r="DX41" s="22" t="n">
        <f aca="false">IF('Current Index'!1407:1407,"AAAAAHX+5H8=",0)</f>
        <v>0</v>
      </c>
      <c r="DY41" s="22" t="n">
        <f aca="false">IF('Current Index'!1408:1408,"AAAAAHX+5IA=",0)</f>
        <v>0</v>
      </c>
      <c r="DZ41" s="22" t="n">
        <f aca="false">IF('Current Index'!1409:1409,"AAAAAHX+5IE=",0)</f>
        <v>0</v>
      </c>
      <c r="EA41" s="22" t="n">
        <f aca="false">IF('Current Index'!1410:1410,"AAAAAHX+5II=",0)</f>
        <v>0</v>
      </c>
      <c r="EB41" s="22" t="n">
        <f aca="false">IF('Current Index'!1411:1411,"AAAAAHX+5IM=",0)</f>
        <v>0</v>
      </c>
      <c r="EC41" s="22" t="n">
        <f aca="false">IF('Current Index'!1412:1412,"AAAAAHX+5IQ=",0)</f>
        <v>0</v>
      </c>
      <c r="ED41" s="22" t="n">
        <f aca="false">IF('Current Index'!1413:1413,"AAAAAHX+5IU=",0)</f>
        <v>0</v>
      </c>
      <c r="EE41" s="22" t="n">
        <f aca="false">IF('Current Index'!1414:1414,"AAAAAHX+5IY=",0)</f>
        <v>0</v>
      </c>
      <c r="EF41" s="22" t="n">
        <f aca="false">IF('Current Index'!1415:1415,"AAAAAHX+5Ic=",0)</f>
        <v>0</v>
      </c>
      <c r="EG41" s="22" t="n">
        <f aca="false">IF('Current Index'!1416:1416,"AAAAAHX+5Ig=",0)</f>
        <v>0</v>
      </c>
      <c r="EH41" s="22" t="n">
        <f aca="false">IF('Current Index'!1417:1417,"AAAAAHX+5Ik=",0)</f>
        <v>0</v>
      </c>
      <c r="EI41" s="22" t="n">
        <f aca="false">IF('Current Index'!1418:1418,"AAAAAHX+5Io=",0)</f>
        <v>0</v>
      </c>
      <c r="EJ41" s="22" t="n">
        <f aca="false">IF('Current Index'!1419:1419,"AAAAAHX+5Is=",0)</f>
        <v>0</v>
      </c>
      <c r="EK41" s="22" t="n">
        <f aca="false">IF('Current Index'!1420:1420,"AAAAAHX+5Iw=",0)</f>
        <v>0</v>
      </c>
      <c r="EL41" s="22" t="n">
        <f aca="false">IF('Current Index'!1421:1421,"AAAAAHX+5I0=",0)</f>
        <v>0</v>
      </c>
      <c r="EM41" s="22" t="n">
        <f aca="false">IF('Current Index'!1422:1422,"AAAAAHX+5I4=",0)</f>
        <v>0</v>
      </c>
      <c r="EN41" s="22" t="n">
        <f aca="false">IF('Current Index'!1423:1423,"AAAAAHX+5I8=",0)</f>
        <v>0</v>
      </c>
      <c r="EO41" s="22" t="n">
        <f aca="false">IF('Current Index'!1424:1424,"AAAAAHX+5JA=",0)</f>
        <v>0</v>
      </c>
      <c r="EP41" s="22" t="n">
        <f aca="false">IF('Current Index'!1425:1425,"AAAAAHX+5JE=",0)</f>
        <v>0</v>
      </c>
      <c r="EQ41" s="22" t="n">
        <f aca="false">IF('Current Index'!1426:1426,"AAAAAHX+5JI=",0)</f>
        <v>0</v>
      </c>
      <c r="ER41" s="22" t="n">
        <f aca="false">IF('Current Index'!1427:1427,"AAAAAHX+5JM=",0)</f>
        <v>0</v>
      </c>
      <c r="ES41" s="22" t="n">
        <f aca="false">IF('Current Index'!1428:1428,"AAAAAHX+5JQ=",0)</f>
        <v>0</v>
      </c>
      <c r="ET41" s="22" t="n">
        <f aca="false">IF('Current Index'!1429:1429,"AAAAAHX+5JU=",0)</f>
        <v>0</v>
      </c>
      <c r="EU41" s="22" t="n">
        <f aca="false">IF('Current Index'!1430:1430,"AAAAAHX+5JY=",0)</f>
        <v>0</v>
      </c>
      <c r="EV41" s="22" t="n">
        <f aca="false">IF('Current Index'!1431:1431,"AAAAAHX+5Jc=",0)</f>
        <v>0</v>
      </c>
      <c r="EW41" s="22" t="n">
        <f aca="false">IF('Current Index'!1432:1432,"AAAAAHX+5Jg=",0)</f>
        <v>0</v>
      </c>
      <c r="EX41" s="22" t="n">
        <f aca="false">IF('Current Index'!1433:1433,"AAAAAHX+5Jk=",0)</f>
        <v>0</v>
      </c>
      <c r="EY41" s="22" t="n">
        <f aca="false">IF('Current Index'!1434:1434,"AAAAAHX+5Jo=",0)</f>
        <v>0</v>
      </c>
      <c r="EZ41" s="22" t="n">
        <f aca="false">IF('Current Index'!1435:1435,"AAAAAHX+5Js=",0)</f>
        <v>0</v>
      </c>
      <c r="FA41" s="22" t="n">
        <f aca="false">IF('Current Index'!1436:1436,"AAAAAHX+5Jw=",0)</f>
        <v>0</v>
      </c>
      <c r="FB41" s="22" t="n">
        <f aca="false">IF('Current Index'!1437:1437,"AAAAAHX+5J0=",0)</f>
        <v>0</v>
      </c>
      <c r="FC41" s="22" t="n">
        <f aca="false">IF('Current Index'!1438:1438,"AAAAAHX+5J4=",0)</f>
        <v>0</v>
      </c>
      <c r="FD41" s="22" t="n">
        <f aca="false">IF('Current Index'!1439:1439,"AAAAAHX+5J8=",0)</f>
        <v>0</v>
      </c>
      <c r="FE41" s="22" t="n">
        <f aca="false">IF('Current Index'!1440:1440,"AAAAAHX+5KA=",0)</f>
        <v>0</v>
      </c>
      <c r="FF41" s="22" t="n">
        <f aca="false">IF('Current Index'!1441:1441,"AAAAAHX+5KE=",0)</f>
        <v>0</v>
      </c>
      <c r="FG41" s="22" t="n">
        <f aca="false">IF('Current Index'!1442:1442,"AAAAAHX+5KI=",0)</f>
        <v>0</v>
      </c>
      <c r="FH41" s="22" t="n">
        <f aca="false">IF('Current Index'!1443:1443,"AAAAAHX+5KM=",0)</f>
        <v>0</v>
      </c>
      <c r="FI41" s="22" t="n">
        <f aca="false">IF('Current Index'!1444:1444,"AAAAAHX+5KQ=",0)</f>
        <v>0</v>
      </c>
      <c r="FJ41" s="22" t="n">
        <f aca="false">IF('Current Index'!1445:1445,"AAAAAHX+5KU=",0)</f>
        <v>0</v>
      </c>
      <c r="FK41" s="22" t="n">
        <f aca="false">IF('Current Index'!1446:1446,"AAAAAHX+5KY=",0)</f>
        <v>0</v>
      </c>
      <c r="FL41" s="22" t="n">
        <f aca="false">IF('Current Index'!1447:1447,"AAAAAHX+5Kc=",0)</f>
        <v>0</v>
      </c>
      <c r="FM41" s="22" t="n">
        <f aca="false">IF('Current Index'!1448:1448,"AAAAAHX+5Kg=",0)</f>
        <v>0</v>
      </c>
      <c r="FN41" s="22" t="n">
        <f aca="false">IF('Current Index'!1449:1449,"AAAAAHX+5Kk=",0)</f>
        <v>0</v>
      </c>
      <c r="FO41" s="22" t="n">
        <f aca="false">IF('Current Index'!1450:1450,"AAAAAHX+5Ko=",0)</f>
        <v>0</v>
      </c>
      <c r="FP41" s="22" t="n">
        <f aca="false">IF('Current Index'!1451:1451,"AAAAAHX+5Ks=",0)</f>
        <v>0</v>
      </c>
      <c r="FQ41" s="22" t="n">
        <f aca="false">IF('Current Index'!1452:1452,"AAAAAHX+5Kw=",0)</f>
        <v>0</v>
      </c>
      <c r="FR41" s="22" t="n">
        <f aca="false">IF('Current Index'!1453:1453,"AAAAAHX+5K0=",0)</f>
        <v>0</v>
      </c>
      <c r="FS41" s="22" t="n">
        <f aca="false">IF('Current Index'!1454:1454,"AAAAAHX+5K4=",0)</f>
        <v>0</v>
      </c>
      <c r="FT41" s="22" t="n">
        <f aca="false">IF('Current Index'!1455:1455,"AAAAAHX+5K8=",0)</f>
        <v>0</v>
      </c>
      <c r="FU41" s="22" t="n">
        <f aca="false">IF('Current Index'!1456:1456,"AAAAAHX+5LA=",0)</f>
        <v>0</v>
      </c>
      <c r="FV41" s="22" t="n">
        <f aca="false">IF('Current Index'!1457:1457,"AAAAAHX+5LE=",0)</f>
        <v>0</v>
      </c>
      <c r="FW41" s="22" t="n">
        <f aca="false">IF('Current Index'!1458:1458,"AAAAAHX+5LI=",0)</f>
        <v>0</v>
      </c>
      <c r="FX41" s="22" t="n">
        <f aca="false">IF('Current Index'!1459:1459,"AAAAAHX+5LM=",0)</f>
        <v>0</v>
      </c>
      <c r="FY41" s="22" t="n">
        <f aca="false">IF('Current Index'!1460:1460,"AAAAAHX+5LQ=",0)</f>
        <v>0</v>
      </c>
      <c r="FZ41" s="22" t="n">
        <f aca="false">IF('Current Index'!1461:1461,"AAAAAHX+5LU=",0)</f>
        <v>0</v>
      </c>
      <c r="GA41" s="22" t="n">
        <f aca="false">IF('Current Index'!1462:1462,"AAAAAHX+5LY=",0)</f>
        <v>0</v>
      </c>
      <c r="GB41" s="22" t="n">
        <f aca="false">IF('Current Index'!1463:1463,"AAAAAHX+5Lc=",0)</f>
        <v>0</v>
      </c>
      <c r="GC41" s="22" t="n">
        <f aca="false">IF('Current Index'!1464:1464,"AAAAAHX+5Lg=",0)</f>
        <v>0</v>
      </c>
      <c r="GD41" s="22" t="n">
        <f aca="false">IF('Current Index'!1465:1465,"AAAAAHX+5Lk=",0)</f>
        <v>0</v>
      </c>
      <c r="GE41" s="22" t="n">
        <f aca="false">IF('Current Index'!1466:1466,"AAAAAHX+5Lo=",0)</f>
        <v>0</v>
      </c>
      <c r="GF41" s="22" t="n">
        <f aca="false">IF('Current Index'!1467:1467,"AAAAAHX+5Ls=",0)</f>
        <v>0</v>
      </c>
      <c r="GG41" s="22" t="n">
        <f aca="false">IF('Current Index'!1468:1468,"AAAAAHX+5Lw=",0)</f>
        <v>0</v>
      </c>
      <c r="GH41" s="22" t="n">
        <f aca="false">IF('Current Index'!1469:1469,"AAAAAHX+5L0=",0)</f>
        <v>0</v>
      </c>
      <c r="GI41" s="22" t="n">
        <f aca="false">IF('Current Index'!1470:1470,"AAAAAHX+5L4=",0)</f>
        <v>0</v>
      </c>
      <c r="GJ41" s="22" t="n">
        <f aca="false">IF('Current Index'!1471:1471,"AAAAAHX+5L8=",0)</f>
        <v>0</v>
      </c>
      <c r="GK41" s="22" t="n">
        <f aca="false">IF('Current Index'!1472:1472,"AAAAAHX+5MA=",0)</f>
        <v>0</v>
      </c>
      <c r="GL41" s="22" t="n">
        <f aca="false">IF('Current Index'!1473:1473,"AAAAAHX+5ME=",0)</f>
        <v>0</v>
      </c>
      <c r="GM41" s="22" t="n">
        <f aca="false">IF('Current Index'!1474:1474,"AAAAAHX+5MI=",0)</f>
        <v>0</v>
      </c>
      <c r="GN41" s="22" t="n">
        <f aca="false">IF('Current Index'!1475:1475,"AAAAAHX+5MM=",0)</f>
        <v>0</v>
      </c>
      <c r="GO41" s="22" t="n">
        <f aca="false">IF('Current Index'!1476:1476,"AAAAAHX+5MQ=",0)</f>
        <v>0</v>
      </c>
      <c r="GP41" s="22" t="n">
        <f aca="false">IF('Current Index'!1477:1477,"AAAAAHX+5MU=",0)</f>
        <v>0</v>
      </c>
      <c r="GQ41" s="22" t="n">
        <f aca="false">IF('Current Index'!1478:1478,"AAAAAHX+5MY=",0)</f>
        <v>0</v>
      </c>
      <c r="GR41" s="22" t="n">
        <f aca="false">IF('Current Index'!1479:1479,"AAAAAHX+5Mc=",0)</f>
        <v>0</v>
      </c>
      <c r="GS41" s="22" t="n">
        <f aca="false">IF('Current Index'!1480:1480,"AAAAAHX+5Mg=",0)</f>
        <v>0</v>
      </c>
      <c r="GT41" s="22" t="n">
        <f aca="false">IF('Current Index'!1481:1481,"AAAAAHX+5Mk=",0)</f>
        <v>0</v>
      </c>
      <c r="GU41" s="22" t="n">
        <f aca="false">IF('Current Index'!1482:1482,"AAAAAHX+5Mo=",0)</f>
        <v>0</v>
      </c>
      <c r="GV41" s="22" t="n">
        <f aca="false">IF('Current Index'!1483:1483,"AAAAAHX+5Ms=",0)</f>
        <v>0</v>
      </c>
      <c r="GW41" s="22" t="n">
        <f aca="false">IF('Current Index'!1484:1484,"AAAAAHX+5Mw=",0)</f>
        <v>0</v>
      </c>
      <c r="GX41" s="22" t="n">
        <f aca="false">IF('Current Index'!1485:1485,"AAAAAHX+5M0=",0)</f>
        <v>0</v>
      </c>
      <c r="GY41" s="22" t="n">
        <f aca="false">IF('Current Index'!1486:1486,"AAAAAHX+5M4=",0)</f>
        <v>0</v>
      </c>
      <c r="GZ41" s="22" t="n">
        <f aca="false">IF('Current Index'!1487:1487,"AAAAAHX+5M8=",0)</f>
        <v>0</v>
      </c>
      <c r="HA41" s="22" t="n">
        <f aca="false">IF('Current Index'!1488:1488,"AAAAAHX+5NA=",0)</f>
        <v>0</v>
      </c>
      <c r="HB41" s="22" t="n">
        <f aca="false">IF('Current Index'!1489:1489,"AAAAAHX+5NE=",0)</f>
        <v>0</v>
      </c>
      <c r="HC41" s="22" t="n">
        <f aca="false">IF('Current Index'!1490:1490,"AAAAAHX+5NI=",0)</f>
        <v>0</v>
      </c>
      <c r="HD41" s="22" t="n">
        <f aca="false">IF('Current Index'!1491:1491,"AAAAAHX+5NM=",0)</f>
        <v>0</v>
      </c>
      <c r="HE41" s="22" t="n">
        <f aca="false">IF('Current Index'!1492:1492,"AAAAAHX+5NQ=",0)</f>
        <v>0</v>
      </c>
      <c r="HF41" s="22" t="n">
        <f aca="false">IF('Current Index'!1493:1493,"AAAAAHX+5NU=",0)</f>
        <v>0</v>
      </c>
      <c r="HG41" s="22" t="n">
        <f aca="false">IF('Current Index'!1494:1494,"AAAAAHX+5NY=",0)</f>
        <v>0</v>
      </c>
      <c r="HH41" s="22" t="n">
        <f aca="false">IF('Current Index'!1495:1495,"AAAAAHX+5Nc=",0)</f>
        <v>0</v>
      </c>
      <c r="HI41" s="22" t="n">
        <f aca="false">IF('Current Index'!1496:1496,"AAAAAHX+5Ng=",0)</f>
        <v>0</v>
      </c>
      <c r="HJ41" s="22" t="n">
        <f aca="false">IF('Current Index'!1497:1497,"AAAAAHX+5Nk=",0)</f>
        <v>0</v>
      </c>
      <c r="HK41" s="22" t="n">
        <f aca="false">IF('Current Index'!1498:1498,"AAAAAHX+5No=",0)</f>
        <v>0</v>
      </c>
      <c r="HL41" s="22" t="n">
        <f aca="false">IF('Current Index'!1499:1499,"AAAAAHX+5Ns=",0)</f>
        <v>0</v>
      </c>
      <c r="HM41" s="22" t="n">
        <f aca="false">IF('Current Index'!1500:1500,"AAAAAHX+5Nw=",0)</f>
        <v>0</v>
      </c>
      <c r="HN41" s="22" t="n">
        <f aca="false">IF('Current Index'!1501:1501,"AAAAAHX+5N0=",0)</f>
        <v>0</v>
      </c>
      <c r="HO41" s="22" t="n">
        <f aca="false">IF('Current Index'!1502:1502,"AAAAAHX+5N4=",0)</f>
        <v>0</v>
      </c>
      <c r="HP41" s="22" t="n">
        <f aca="false">IF('Current Index'!1503:1503,"AAAAAHX+5N8=",0)</f>
        <v>0</v>
      </c>
      <c r="HQ41" s="22" t="n">
        <f aca="false">IF('Current Index'!1504:1504,"AAAAAHX+5OA=",0)</f>
        <v>0</v>
      </c>
      <c r="HR41" s="22" t="n">
        <f aca="false">IF('Current Index'!1505:1505,"AAAAAHX+5OE=",0)</f>
        <v>0</v>
      </c>
      <c r="HS41" s="22" t="n">
        <f aca="false">IF('Current Index'!1506:1506,"AAAAAHX+5OI=",0)</f>
        <v>0</v>
      </c>
      <c r="HT41" s="22" t="n">
        <f aca="false">IF('Current Index'!1507:1507,"AAAAAHX+5OM=",0)</f>
        <v>0</v>
      </c>
      <c r="HU41" s="22" t="n">
        <f aca="false">IF('Current Index'!1508:1508,"AAAAAHX+5OQ=",0)</f>
        <v>0</v>
      </c>
      <c r="HV41" s="22" t="n">
        <f aca="false">IF('Current Index'!1509:1509,"AAAAAHX+5OU=",0)</f>
        <v>0</v>
      </c>
      <c r="HW41" s="22" t="n">
        <f aca="false">IF('Current Index'!1510:1510,"AAAAAHX+5OY=",0)</f>
        <v>0</v>
      </c>
      <c r="HX41" s="22" t="n">
        <f aca="false">IF('Current Index'!1511:1511,"AAAAAHX+5Oc=",0)</f>
        <v>0</v>
      </c>
      <c r="HY41" s="22" t="n">
        <f aca="false">IF('Current Index'!1512:1512,"AAAAAHX+5Og=",0)</f>
        <v>0</v>
      </c>
      <c r="HZ41" s="22" t="n">
        <f aca="false">IF('Current Index'!1513:1513,"AAAAAHX+5Ok=",0)</f>
        <v>0</v>
      </c>
      <c r="IA41" s="22" t="n">
        <f aca="false">IF('Current Index'!1514:1514,"AAAAAHX+5Oo=",0)</f>
        <v>0</v>
      </c>
      <c r="IB41" s="22" t="n">
        <f aca="false">IF('Current Index'!1515:1515,"AAAAAHX+5Os=",0)</f>
        <v>0</v>
      </c>
      <c r="IC41" s="22" t="n">
        <f aca="false">IF('Current Index'!1516:1516,"AAAAAHX+5Ow=",0)</f>
        <v>0</v>
      </c>
      <c r="ID41" s="22" t="n">
        <f aca="false">IF('Current Index'!1517:1517,"AAAAAHX+5O0=",0)</f>
        <v>0</v>
      </c>
      <c r="IE41" s="22" t="n">
        <f aca="false">IF('Current Index'!1518:1518,"AAAAAHX+5O4=",0)</f>
        <v>0</v>
      </c>
      <c r="IF41" s="22" t="n">
        <f aca="false">IF('Current Index'!1519:1519,"AAAAAHX+5O8=",0)</f>
        <v>0</v>
      </c>
      <c r="IG41" s="22" t="n">
        <f aca="false">IF('Current Index'!1520:1520,"AAAAAHX+5PA=",0)</f>
        <v>0</v>
      </c>
      <c r="IH41" s="22" t="n">
        <f aca="false">IF('Current Index'!1521:1521,"AAAAAHX+5PE=",0)</f>
        <v>0</v>
      </c>
      <c r="II41" s="22" t="n">
        <f aca="false">IF('Current Index'!1522:1522,"AAAAAHX+5PI=",0)</f>
        <v>0</v>
      </c>
      <c r="IJ41" s="22" t="n">
        <f aca="false">IF('Current Index'!1523:1523,"AAAAAHX+5PM=",0)</f>
        <v>0</v>
      </c>
      <c r="IK41" s="22" t="n">
        <f aca="false">IF('Current Index'!1524:1524,"AAAAAHX+5PQ=",0)</f>
        <v>0</v>
      </c>
      <c r="IL41" s="22" t="n">
        <f aca="false">IF('Current Index'!1525:1525,"AAAAAHX+5PU=",0)</f>
        <v>0</v>
      </c>
      <c r="IM41" s="22" t="n">
        <f aca="false">IF('Current Index'!1526:1526,"AAAAAHX+5PY=",0)</f>
        <v>0</v>
      </c>
      <c r="IN41" s="22" t="n">
        <f aca="false">IF('Current Index'!1527:1527,"AAAAAHX+5Pc=",0)</f>
        <v>0</v>
      </c>
      <c r="IO41" s="22" t="n">
        <f aca="false">IF('Current Index'!1528:1528,"AAAAAHX+5Pg=",0)</f>
        <v>0</v>
      </c>
      <c r="IP41" s="22" t="n">
        <f aca="false">IF('Current Index'!1529:1529,"AAAAAHX+5Pk=",0)</f>
        <v>0</v>
      </c>
      <c r="IQ41" s="22" t="n">
        <f aca="false">IF('Current Index'!1530:1530,"AAAAAHX+5Po=",0)</f>
        <v>0</v>
      </c>
      <c r="IR41" s="22" t="n">
        <f aca="false">IF('Current Index'!1531:1531,"AAAAAHX+5Ps=",0)</f>
        <v>0</v>
      </c>
      <c r="IS41" s="22" t="n">
        <f aca="false">IF('Current Index'!1532:1532,"AAAAAHX+5Pw=",0)</f>
        <v>0</v>
      </c>
      <c r="IT41" s="22" t="n">
        <f aca="false">IF('Current Index'!1533:1533,"AAAAAHX+5P0=",0)</f>
        <v>0</v>
      </c>
      <c r="IU41" s="22" t="n">
        <f aca="false">IF('Current Index'!1534:1534,"AAAAAHX+5P4=",0)</f>
        <v>0</v>
      </c>
      <c r="IV41" s="22" t="n">
        <f aca="false">IF('Current Index'!1535:1535,"AAAAAHX+5P8=",0)</f>
        <v>0</v>
      </c>
    </row>
    <row r="42" customFormat="false" ht="12.75" hidden="false" customHeight="false" outlineLevel="0" collapsed="false">
      <c r="A42" s="22" t="n">
        <f aca="false">IF('Current Index'!1536:1536,"AAAAAG9XXwA=",0)</f>
        <v>0</v>
      </c>
      <c r="B42" s="22" t="n">
        <f aca="false">IF('Current Index'!1537:1537,"AAAAAG9XXwE=",0)</f>
        <v>0</v>
      </c>
      <c r="C42" s="22" t="n">
        <f aca="false">IF('Current Index'!1538:1538,"AAAAAG9XXwI=",0)</f>
        <v>0</v>
      </c>
      <c r="D42" s="22" t="n">
        <f aca="false">IF('Current Index'!1539:1539,"AAAAAG9XXwM=",0)</f>
        <v>0</v>
      </c>
      <c r="E42" s="22" t="n">
        <f aca="false">IF('Current Index'!1540:1540,"AAAAAG9XXwQ=",0)</f>
        <v>0</v>
      </c>
      <c r="F42" s="22" t="n">
        <f aca="false">IF('Current Index'!1541:1541,"AAAAAG9XXwU=",0)</f>
        <v>0</v>
      </c>
      <c r="G42" s="22" t="n">
        <f aca="false">IF('Current Index'!1542:1542,"AAAAAG9XXwY=",0)</f>
        <v>0</v>
      </c>
      <c r="H42" s="22" t="n">
        <f aca="false">IF('Current Index'!1543:1543,"AAAAAG9XXwc=",0)</f>
        <v>0</v>
      </c>
      <c r="I42" s="22" t="n">
        <f aca="false">IF('Current Index'!1544:1544,"AAAAAG9XXwg=",0)</f>
        <v>0</v>
      </c>
      <c r="J42" s="22" t="n">
        <f aca="false">IF('Current Index'!1545:1545,"AAAAAG9XXwk=",0)</f>
        <v>0</v>
      </c>
      <c r="K42" s="22" t="n">
        <f aca="false">IF('Current Index'!1546:1546,"AAAAAG9XXwo=",0)</f>
        <v>0</v>
      </c>
      <c r="L42" s="22" t="n">
        <f aca="false">IF('Current Index'!1547:1547,"AAAAAG9XXws=",0)</f>
        <v>0</v>
      </c>
      <c r="M42" s="22" t="n">
        <f aca="false">IF('Current Index'!1548:1548,"AAAAAG9XXww=",0)</f>
        <v>0</v>
      </c>
      <c r="N42" s="22" t="n">
        <f aca="false">IF('Current Index'!1549:1549,"AAAAAG9XXw0=",0)</f>
        <v>0</v>
      </c>
      <c r="O42" s="22" t="n">
        <f aca="false">IF('Current Index'!1550:1550,"AAAAAG9XXw4=",0)</f>
        <v>0</v>
      </c>
      <c r="P42" s="22" t="n">
        <f aca="false">IF('Current Index'!1551:1551,"AAAAAG9XXw8=",0)</f>
        <v>0</v>
      </c>
      <c r="Q42" s="22" t="n">
        <f aca="false">IF('Current Index'!1552:1552,"AAAAAG9XXxA=",0)</f>
        <v>0</v>
      </c>
      <c r="R42" s="22" t="n">
        <f aca="false">IF('Current Index'!1553:1553,"AAAAAG9XXxE=",0)</f>
        <v>0</v>
      </c>
      <c r="S42" s="22" t="n">
        <f aca="false">IF('Current Index'!1554:1554,"AAAAAG9XXxI=",0)</f>
        <v>0</v>
      </c>
      <c r="T42" s="22" t="n">
        <f aca="false">IF('Current Index'!1555:1555,"AAAAAG9XXxM=",0)</f>
        <v>0</v>
      </c>
      <c r="U42" s="22" t="n">
        <f aca="false">IF('Current Index'!1556:1556,"AAAAAG9XXxQ=",0)</f>
        <v>0</v>
      </c>
      <c r="V42" s="22" t="n">
        <f aca="false">IF('Current Index'!1557:1557,"AAAAAG9XXxU=",0)</f>
        <v>0</v>
      </c>
      <c r="W42" s="22" t="n">
        <f aca="false">IF('Current Index'!1558:1558,"AAAAAG9XXxY=",0)</f>
        <v>0</v>
      </c>
      <c r="X42" s="22" t="n">
        <f aca="false">IF('Current Index'!1559:1559,"AAAAAG9XXxc=",0)</f>
        <v>0</v>
      </c>
      <c r="Y42" s="22" t="n">
        <f aca="false">IF('Current Index'!1560:1560,"AAAAAG9XXxg=",0)</f>
        <v>0</v>
      </c>
      <c r="Z42" s="22" t="n">
        <f aca="false">IF('Current Index'!1561:1561,"AAAAAG9XXxk=",0)</f>
        <v>0</v>
      </c>
      <c r="AA42" s="22" t="n">
        <f aca="false">IF('Current Index'!1562:1562,"AAAAAG9XXxo=",0)</f>
        <v>0</v>
      </c>
      <c r="AB42" s="22" t="n">
        <f aca="false">IF('Current Index'!1563:1563,"AAAAAG9XXxs=",0)</f>
        <v>0</v>
      </c>
      <c r="AC42" s="22" t="n">
        <f aca="false">IF('Current Index'!1564:1564,"AAAAAG9XXxw=",0)</f>
        <v>0</v>
      </c>
      <c r="AD42" s="22" t="n">
        <f aca="false">IF('Current Index'!1565:1565,"AAAAAG9XXx0=",0)</f>
        <v>0</v>
      </c>
      <c r="AE42" s="22" t="n">
        <f aca="false">IF('Current Index'!1566:1566,"AAAAAG9XXx4=",0)</f>
        <v>0</v>
      </c>
      <c r="AF42" s="22" t="n">
        <f aca="false">IF('Current Index'!1567:1567,"AAAAAG9XXx8=",0)</f>
        <v>0</v>
      </c>
      <c r="AG42" s="22" t="n">
        <f aca="false">IF('Current Index'!1568:1568,"AAAAAG9XXyA=",0)</f>
        <v>0</v>
      </c>
      <c r="AH42" s="22" t="n">
        <f aca="false">IF('Current Index'!1569:1569,"AAAAAG9XXyE=",0)</f>
        <v>0</v>
      </c>
      <c r="AI42" s="22" t="n">
        <f aca="false">IF('Current Index'!1570:1570,"AAAAAG9XXyI=",0)</f>
        <v>0</v>
      </c>
      <c r="AJ42" s="22" t="n">
        <f aca="false">IF('Current Index'!1571:1571,"AAAAAG9XXyM=",0)</f>
        <v>0</v>
      </c>
      <c r="AK42" s="22" t="n">
        <f aca="false">IF('Current Index'!1572:1572,"AAAAAG9XXyQ=",0)</f>
        <v>0</v>
      </c>
      <c r="AL42" s="22" t="n">
        <f aca="false">IF('Current Index'!1573:1573,"AAAAAG9XXyU=",0)</f>
        <v>0</v>
      </c>
      <c r="AM42" s="22" t="n">
        <f aca="false">IF('Current Index'!1574:1574,"AAAAAG9XXyY=",0)</f>
        <v>0</v>
      </c>
      <c r="AN42" s="22" t="n">
        <f aca="false">IF('Current Index'!1575:1575,"AAAAAG9XXyc=",0)</f>
        <v>0</v>
      </c>
      <c r="AO42" s="22" t="n">
        <f aca="false">IF('Current Index'!1576:1576,"AAAAAG9XXyg=",0)</f>
        <v>0</v>
      </c>
      <c r="AP42" s="22" t="n">
        <f aca="false">IF('Current Index'!1577:1577,"AAAAAG9XXyk=",0)</f>
        <v>0</v>
      </c>
      <c r="AQ42" s="22" t="n">
        <f aca="false">IF('Current Index'!1578:1578,"AAAAAG9XXyo=",0)</f>
        <v>0</v>
      </c>
      <c r="AR42" s="22" t="n">
        <f aca="false">IF('Current Index'!1579:1579,"AAAAAG9XXys=",0)</f>
        <v>0</v>
      </c>
      <c r="AS42" s="22" t="n">
        <f aca="false">IF('Current Index'!1580:1580,"AAAAAG9XXyw=",0)</f>
        <v>0</v>
      </c>
      <c r="AT42" s="22" t="n">
        <f aca="false">IF('Current Index'!1581:1581,"AAAAAG9XXy0=",0)</f>
        <v>0</v>
      </c>
      <c r="AU42" s="22" t="n">
        <f aca="false">IF('Current Index'!1582:1582,"AAAAAG9XXy4=",0)</f>
        <v>0</v>
      </c>
      <c r="AV42" s="22" t="n">
        <f aca="false">IF('Current Index'!1583:1583,"AAAAAG9XXy8=",0)</f>
        <v>0</v>
      </c>
      <c r="AW42" s="22" t="n">
        <f aca="false">IF('Current Index'!1584:1584,"AAAAAG9XXzA=",0)</f>
        <v>0</v>
      </c>
      <c r="AX42" s="22" t="n">
        <f aca="false">IF('Current Index'!1585:1585,"AAAAAG9XXzE=",0)</f>
        <v>0</v>
      </c>
      <c r="AY42" s="22" t="n">
        <f aca="false">IF('Current Index'!1586:1586,"AAAAAG9XXzI=",0)</f>
        <v>0</v>
      </c>
      <c r="AZ42" s="22" t="n">
        <f aca="false">IF('Current Index'!1587:1587,"AAAAAG9XXzM=",0)</f>
        <v>0</v>
      </c>
      <c r="BA42" s="22" t="n">
        <f aca="false">IF('Current Index'!1588:1588,"AAAAAG9XXzQ=",0)</f>
        <v>0</v>
      </c>
      <c r="BB42" s="22" t="n">
        <f aca="false">IF('Current Index'!1589:1589,"AAAAAG9XXzU=",0)</f>
        <v>0</v>
      </c>
      <c r="BC42" s="22" t="n">
        <f aca="false">IF('Current Index'!1590:1590,"AAAAAG9XXzY=",0)</f>
        <v>0</v>
      </c>
      <c r="BD42" s="22" t="n">
        <f aca="false">IF('Current Index'!1591:1591,"AAAAAG9XXzc=",0)</f>
        <v>0</v>
      </c>
      <c r="BE42" s="22" t="n">
        <f aca="false">IF('Current Index'!1592:1592,"AAAAAG9XXzg=",0)</f>
        <v>0</v>
      </c>
      <c r="BF42" s="22" t="n">
        <f aca="false">IF('Current Index'!1593:1593,"AAAAAG9XXzk=",0)</f>
        <v>0</v>
      </c>
      <c r="BG42" s="22" t="n">
        <f aca="false">IF('Current Index'!1594:1594,"AAAAAG9XXzo=",0)</f>
        <v>0</v>
      </c>
      <c r="BH42" s="22" t="n">
        <f aca="false">IF('Current Index'!1595:1595,"AAAAAG9XXzs=",0)</f>
        <v>0</v>
      </c>
      <c r="BI42" s="22" t="n">
        <f aca="false">IF('Current Index'!1596:1596,"AAAAAG9XXzw=",0)</f>
        <v>0</v>
      </c>
      <c r="BJ42" s="22" t="n">
        <f aca="false">IF('Current Index'!1597:1597,"AAAAAG9XXz0=",0)</f>
        <v>0</v>
      </c>
      <c r="BK42" s="22" t="n">
        <f aca="false">IF('Current Index'!1598:1598,"AAAAAG9XXz4=",0)</f>
        <v>0</v>
      </c>
      <c r="BL42" s="22" t="n">
        <f aca="false">IF('Current Index'!1599:1599,"AAAAAG9XXz8=",0)</f>
        <v>0</v>
      </c>
      <c r="BM42" s="22" t="n">
        <f aca="false">IF('Current Index'!1600:1600,"AAAAAG9XX0A=",0)</f>
        <v>0</v>
      </c>
      <c r="BN42" s="22" t="n">
        <f aca="false">IF('Current Index'!1601:1601,"AAAAAG9XX0E=",0)</f>
        <v>0</v>
      </c>
      <c r="BO42" s="22" t="n">
        <f aca="false">IF('Current Index'!1602:1602,"AAAAAG9XX0I=",0)</f>
        <v>0</v>
      </c>
      <c r="BP42" s="22" t="n">
        <f aca="false">IF('Current Index'!1603:1603,"AAAAAG9XX0M=",0)</f>
        <v>0</v>
      </c>
      <c r="BQ42" s="22" t="n">
        <f aca="false">IF('Current Index'!1604:1604,"AAAAAG9XX0Q=",0)</f>
        <v>0</v>
      </c>
      <c r="BR42" s="22" t="n">
        <f aca="false">IF('Current Index'!1605:1605,"AAAAAG9XX0U=",0)</f>
        <v>0</v>
      </c>
      <c r="BS42" s="22" t="n">
        <f aca="false">IF('Current Index'!1606:1606,"AAAAAG9XX0Y=",0)</f>
        <v>0</v>
      </c>
      <c r="BT42" s="22" t="n">
        <f aca="false">IF('Current Index'!1607:1607,"AAAAAG9XX0c=",0)</f>
        <v>0</v>
      </c>
      <c r="BU42" s="22" t="n">
        <f aca="false">IF('Current Index'!1608:1608,"AAAAAG9XX0g=",0)</f>
        <v>0</v>
      </c>
      <c r="BV42" s="22" t="n">
        <f aca="false">IF('Current Index'!1609:1609,"AAAAAG9XX0k=",0)</f>
        <v>0</v>
      </c>
      <c r="BW42" s="22" t="n">
        <f aca="false">IF('Current Index'!1610:1610,"AAAAAG9XX0o=",0)</f>
        <v>0</v>
      </c>
      <c r="BX42" s="22" t="n">
        <f aca="false">IF('Current Index'!1611:1611,"AAAAAG9XX0s=",0)</f>
        <v>0</v>
      </c>
      <c r="BY42" s="22" t="n">
        <f aca="false">IF('Current Index'!1612:1612,"AAAAAG9XX0w=",0)</f>
        <v>0</v>
      </c>
      <c r="BZ42" s="22" t="n">
        <f aca="false">IF('Current Index'!1613:1613,"AAAAAG9XX00=",0)</f>
        <v>0</v>
      </c>
      <c r="CA42" s="22" t="n">
        <f aca="false">IF('Current Index'!1614:1614,"AAAAAG9XX04=",0)</f>
        <v>0</v>
      </c>
      <c r="CB42" s="22" t="n">
        <f aca="false">IF('Current Index'!1615:1615,"AAAAAG9XX08=",0)</f>
        <v>0</v>
      </c>
      <c r="CC42" s="22" t="n">
        <f aca="false">IF('Current Index'!1616:1616,"AAAAAG9XX1A=",0)</f>
        <v>0</v>
      </c>
      <c r="CD42" s="22" t="n">
        <f aca="false">IF('Current Index'!1617:1617,"AAAAAG9XX1E=",0)</f>
        <v>0</v>
      </c>
      <c r="CE42" s="22" t="n">
        <f aca="false">IF('Current Index'!1618:1618,"AAAAAG9XX1I=",0)</f>
        <v>0</v>
      </c>
      <c r="CF42" s="22" t="n">
        <f aca="false">IF('Current Index'!1619:1619,"AAAAAG9XX1M=",0)</f>
        <v>0</v>
      </c>
      <c r="CG42" s="22" t="n">
        <f aca="false">IF('Current Index'!1620:1620,"AAAAAG9XX1Q=",0)</f>
        <v>0</v>
      </c>
      <c r="CH42" s="22" t="n">
        <f aca="false">IF('Current Index'!1621:1621,"AAAAAG9XX1U=",0)</f>
        <v>0</v>
      </c>
      <c r="CI42" s="22" t="n">
        <f aca="false">IF('Current Index'!1622:1622,"AAAAAG9XX1Y=",0)</f>
        <v>0</v>
      </c>
      <c r="CJ42" s="22" t="n">
        <f aca="false">IF('Current Index'!1623:1623,"AAAAAG9XX1c=",0)</f>
        <v>0</v>
      </c>
      <c r="CK42" s="22" t="n">
        <f aca="false">IF('Current Index'!1624:1624,"AAAAAG9XX1g=",0)</f>
        <v>0</v>
      </c>
      <c r="CL42" s="22" t="n">
        <f aca="false">IF('Current Index'!1625:1625,"AAAAAG9XX1k=",0)</f>
        <v>0</v>
      </c>
      <c r="CM42" s="22" t="n">
        <f aca="false">IF('Current Index'!1626:1626,"AAAAAG9XX1o=",0)</f>
        <v>0</v>
      </c>
      <c r="CN42" s="22" t="n">
        <f aca="false">IF('Current Index'!1627:1627,"AAAAAG9XX1s=",0)</f>
        <v>0</v>
      </c>
      <c r="CO42" s="22" t="n">
        <f aca="false">IF('Current Index'!1628:1628,"AAAAAG9XX1w=",0)</f>
        <v>0</v>
      </c>
      <c r="CP42" s="22" t="n">
        <f aca="false">IF('Current Index'!1629:1629,"AAAAAG9XX10=",0)</f>
        <v>0</v>
      </c>
      <c r="CQ42" s="22" t="n">
        <f aca="false">IF('Current Index'!1630:1630,"AAAAAG9XX14=",0)</f>
        <v>0</v>
      </c>
      <c r="CR42" s="22" t="n">
        <f aca="false">IF('Current Index'!1631:1631,"AAAAAG9XX18=",0)</f>
        <v>0</v>
      </c>
      <c r="CS42" s="22" t="n">
        <f aca="false">IF('Current Index'!1632:1632,"AAAAAG9XX2A=",0)</f>
        <v>0</v>
      </c>
      <c r="CT42" s="22" t="n">
        <f aca="false">IF('Current Index'!1633:1633,"AAAAAG9XX2E=",0)</f>
        <v>0</v>
      </c>
      <c r="CU42" s="22" t="n">
        <f aca="false">IF('Current Index'!1634:1634,"AAAAAG9XX2I=",0)</f>
        <v>0</v>
      </c>
      <c r="CV42" s="22" t="n">
        <f aca="false">IF('Current Index'!1635:1635,"AAAAAG9XX2M=",0)</f>
        <v>0</v>
      </c>
      <c r="CW42" s="22" t="n">
        <f aca="false">IF('Current Index'!1636:1636,"AAAAAG9XX2Q=",0)</f>
        <v>0</v>
      </c>
      <c r="CX42" s="22" t="n">
        <f aca="false">IF('Current Index'!1637:1637,"AAAAAG9XX2U=",0)</f>
        <v>0</v>
      </c>
      <c r="CY42" s="22" t="n">
        <f aca="false">IF('Current Index'!1638:1638,"AAAAAG9XX2Y=",0)</f>
        <v>0</v>
      </c>
      <c r="CZ42" s="22" t="n">
        <f aca="false">IF('Current Index'!1639:1639,"AAAAAG9XX2c=",0)</f>
        <v>0</v>
      </c>
      <c r="DA42" s="22" t="n">
        <f aca="false">IF('Current Index'!1640:1640,"AAAAAG9XX2g=",0)</f>
        <v>0</v>
      </c>
      <c r="DB42" s="22" t="n">
        <f aca="false">IF('Current Index'!1641:1641,"AAAAAG9XX2k=",0)</f>
        <v>0</v>
      </c>
      <c r="DC42" s="22" t="n">
        <f aca="false">IF('Current Index'!1642:1642,"AAAAAG9XX2o=",0)</f>
        <v>0</v>
      </c>
      <c r="DD42" s="22" t="n">
        <f aca="false">IF('Current Index'!1643:1643,"AAAAAG9XX2s=",0)</f>
        <v>0</v>
      </c>
      <c r="DE42" s="22" t="n">
        <f aca="false">IF('Current Index'!1644:1644,"AAAAAG9XX2w=",0)</f>
        <v>0</v>
      </c>
      <c r="DF42" s="22" t="n">
        <f aca="false">IF('Current Index'!1645:1645,"AAAAAG9XX20=",0)</f>
        <v>0</v>
      </c>
      <c r="DG42" s="22" t="n">
        <f aca="false">IF('Current Index'!1646:1646,"AAAAAG9XX24=",0)</f>
        <v>0</v>
      </c>
      <c r="DH42" s="22" t="n">
        <f aca="false">IF('Current Index'!1647:1647,"AAAAAG9XX28=",0)</f>
        <v>0</v>
      </c>
      <c r="DI42" s="22" t="n">
        <f aca="false">IF('Current Index'!1648:1648,"AAAAAG9XX3A=",0)</f>
        <v>0</v>
      </c>
      <c r="DJ42" s="22" t="n">
        <f aca="false">IF('Current Index'!1649:1649,"AAAAAG9XX3E=",0)</f>
        <v>0</v>
      </c>
      <c r="DK42" s="22" t="n">
        <f aca="false">IF('Current Index'!1650:1650,"AAAAAG9XX3I=",0)</f>
        <v>0</v>
      </c>
      <c r="DL42" s="22" t="n">
        <f aca="false">IF('Current Index'!1651:1651,"AAAAAG9XX3M=",0)</f>
        <v>0</v>
      </c>
      <c r="DM42" s="22" t="n">
        <f aca="false">IF('Current Index'!1652:1652,"AAAAAG9XX3Q=",0)</f>
        <v>0</v>
      </c>
      <c r="DN42" s="22" t="n">
        <f aca="false">IF('Current Index'!1653:1653,"AAAAAG9XX3U=",0)</f>
        <v>0</v>
      </c>
      <c r="DO42" s="22" t="n">
        <f aca="false">IF('Current Index'!1654:1654,"AAAAAG9XX3Y=",0)</f>
        <v>0</v>
      </c>
      <c r="DP42" s="22" t="n">
        <f aca="false">IF('Current Index'!1655:1655,"AAAAAG9XX3c=",0)</f>
        <v>0</v>
      </c>
      <c r="DQ42" s="22" t="n">
        <f aca="false">IF('Current Index'!1656:1656,"AAAAAG9XX3g=",0)</f>
        <v>0</v>
      </c>
      <c r="DR42" s="22" t="n">
        <f aca="false">IF('Current Index'!1657:1657,"AAAAAG9XX3k=",0)</f>
        <v>0</v>
      </c>
      <c r="DS42" s="22" t="n">
        <f aca="false">IF('Current Index'!1658:1658,"AAAAAG9XX3o=",0)</f>
        <v>0</v>
      </c>
      <c r="DT42" s="22" t="n">
        <f aca="false">IF('Current Index'!1659:1659,"AAAAAG9XX3s=",0)</f>
        <v>0</v>
      </c>
      <c r="DU42" s="22" t="n">
        <f aca="false">IF('Current Index'!1660:1660,"AAAAAG9XX3w=",0)</f>
        <v>0</v>
      </c>
      <c r="DV42" s="22" t="n">
        <f aca="false">IF('Current Index'!1661:1661,"AAAAAG9XX30=",0)</f>
        <v>0</v>
      </c>
      <c r="DW42" s="22" t="n">
        <f aca="false">IF('Current Index'!1662:1662,"AAAAAG9XX34=",0)</f>
        <v>0</v>
      </c>
      <c r="DX42" s="22" t="n">
        <f aca="false">IF('Current Index'!1663:1663,"AAAAAG9XX38=",0)</f>
        <v>0</v>
      </c>
      <c r="DY42" s="22" t="n">
        <f aca="false">IF('Current Index'!1664:1664,"AAAAAG9XX4A=",0)</f>
        <v>0</v>
      </c>
      <c r="DZ42" s="22" t="n">
        <f aca="false">IF('Current Index'!1665:1665,"AAAAAG9XX4E=",0)</f>
        <v>0</v>
      </c>
      <c r="EA42" s="22" t="n">
        <f aca="false">IF('Current Index'!1666:1666,"AAAAAG9XX4I=",0)</f>
        <v>0</v>
      </c>
      <c r="EB42" s="22" t="n">
        <f aca="false">IF('Current Index'!1667:1667,"AAAAAG9XX4M=",0)</f>
        <v>0</v>
      </c>
      <c r="EC42" s="22" t="n">
        <f aca="false">IF('Current Index'!1668:1668,"AAAAAG9XX4Q=",0)</f>
        <v>0</v>
      </c>
      <c r="ED42" s="22" t="n">
        <f aca="false">IF('Current Index'!1669:1669,"AAAAAG9XX4U=",0)</f>
        <v>0</v>
      </c>
      <c r="EE42" s="22" t="n">
        <f aca="false">IF('Current Index'!1670:1670,"AAAAAG9XX4Y=",0)</f>
        <v>0</v>
      </c>
      <c r="EF42" s="22" t="n">
        <f aca="false">IF('Current Index'!1671:1671,"AAAAAG9XX4c=",0)</f>
        <v>0</v>
      </c>
      <c r="EG42" s="22" t="n">
        <f aca="false">IF('Current Index'!1672:1672,"AAAAAG9XX4g=",0)</f>
        <v>0</v>
      </c>
      <c r="EH42" s="22" t="n">
        <f aca="false">IF('Current Index'!1673:1673,"AAAAAG9XX4k=",0)</f>
        <v>0</v>
      </c>
      <c r="EI42" s="22" t="n">
        <f aca="false">IF('Current Index'!1674:1674,"AAAAAG9XX4o=",0)</f>
        <v>0</v>
      </c>
      <c r="EJ42" s="22" t="n">
        <f aca="false">IF('Current Index'!1675:1675,"AAAAAG9XX4s=",0)</f>
        <v>0</v>
      </c>
      <c r="EK42" s="22" t="n">
        <f aca="false">IF('Current Index'!1676:1676,"AAAAAG9XX4w=",0)</f>
        <v>0</v>
      </c>
      <c r="EL42" s="22" t="n">
        <f aca="false">IF('Current Index'!1677:1677,"AAAAAG9XX40=",0)</f>
        <v>0</v>
      </c>
      <c r="EM42" s="22" t="n">
        <f aca="false">IF('Current Index'!1678:1678,"AAAAAG9XX44=",0)</f>
        <v>0</v>
      </c>
      <c r="EN42" s="22" t="n">
        <f aca="false">IF('Current Index'!1679:1679,"AAAAAG9XX48=",0)</f>
        <v>0</v>
      </c>
      <c r="EO42" s="22" t="n">
        <f aca="false">IF('Current Index'!1680:1680,"AAAAAG9XX5A=",0)</f>
        <v>0</v>
      </c>
      <c r="EP42" s="22" t="n">
        <f aca="false">IF('Current Index'!1681:1681,"AAAAAG9XX5E=",0)</f>
        <v>0</v>
      </c>
      <c r="EQ42" s="22" t="n">
        <f aca="false">IF('Current Index'!1682:1682,"AAAAAG9XX5I=",0)</f>
        <v>0</v>
      </c>
      <c r="ER42" s="22" t="n">
        <f aca="false">IF('Current Index'!1683:1683,"AAAAAG9XX5M=",0)</f>
        <v>0</v>
      </c>
      <c r="ES42" s="22" t="n">
        <f aca="false">IF('Current Index'!1684:1684,"AAAAAG9XX5Q=",0)</f>
        <v>0</v>
      </c>
      <c r="ET42" s="22" t="n">
        <f aca="false">IF('Current Index'!1685:1685,"AAAAAG9XX5U=",0)</f>
        <v>0</v>
      </c>
      <c r="EU42" s="22" t="n">
        <f aca="false">IF('Current Index'!1686:1686,"AAAAAG9XX5Y=",0)</f>
        <v>0</v>
      </c>
      <c r="EV42" s="22" t="n">
        <f aca="false">IF('Current Index'!1687:1687,"AAAAAG9XX5c=",0)</f>
        <v>0</v>
      </c>
      <c r="EW42" s="22" t="n">
        <f aca="false">IF('Current Index'!1688:1688,"AAAAAG9XX5g=",0)</f>
        <v>0</v>
      </c>
      <c r="EX42" s="22" t="n">
        <f aca="false">IF('Current Index'!1689:1689,"AAAAAG9XX5k=",0)</f>
        <v>0</v>
      </c>
      <c r="EY42" s="22" t="n">
        <f aca="false">IF('Current Index'!1690:1690,"AAAAAG9XX5o=",0)</f>
        <v>0</v>
      </c>
      <c r="EZ42" s="22" t="n">
        <f aca="false">IF('Current Index'!1691:1691,"AAAAAG9XX5s=",0)</f>
        <v>0</v>
      </c>
      <c r="FA42" s="22" t="n">
        <f aca="false">IF('Current Index'!1692:1692,"AAAAAG9XX5w=",0)</f>
        <v>0</v>
      </c>
      <c r="FB42" s="22" t="n">
        <f aca="false">IF('Current Index'!1693:1693,"AAAAAG9XX50=",0)</f>
        <v>0</v>
      </c>
      <c r="FC42" s="22" t="n">
        <f aca="false">IF('Current Index'!1694:1694,"AAAAAG9XX54=",0)</f>
        <v>0</v>
      </c>
      <c r="FD42" s="22" t="n">
        <f aca="false">IF('Current Index'!1695:1695,"AAAAAG9XX58=",0)</f>
        <v>0</v>
      </c>
      <c r="FE42" s="22" t="n">
        <f aca="false">IF('Current Index'!1696:1696,"AAAAAG9XX6A=",0)</f>
        <v>0</v>
      </c>
      <c r="FF42" s="22" t="n">
        <f aca="false">IF('Current Index'!1697:1697,"AAAAAG9XX6E=",0)</f>
        <v>0</v>
      </c>
      <c r="FG42" s="22" t="n">
        <f aca="false">IF('Current Index'!1698:1698,"AAAAAG9XX6I=",0)</f>
        <v>0</v>
      </c>
      <c r="FH42" s="22" t="n">
        <f aca="false">IF('Current Index'!1699:1699,"AAAAAG9XX6M=",0)</f>
        <v>0</v>
      </c>
      <c r="FI42" s="22" t="n">
        <f aca="false">IF('Current Index'!1700:1700,"AAAAAG9XX6Q=",0)</f>
        <v>0</v>
      </c>
      <c r="FJ42" s="22" t="n">
        <f aca="false">IF('Current Index'!1701:1701,"AAAAAG9XX6U=",0)</f>
        <v>0</v>
      </c>
      <c r="FK42" s="22" t="n">
        <f aca="false">IF('Current Index'!1702:1702,"AAAAAG9XX6Y=",0)</f>
        <v>0</v>
      </c>
      <c r="FL42" s="22" t="n">
        <f aca="false">IF('Current Index'!1703:1703,"AAAAAG9XX6c=",0)</f>
        <v>0</v>
      </c>
      <c r="FM42" s="22" t="n">
        <f aca="false">IF('Current Index'!1704:1704,"AAAAAG9XX6g=",0)</f>
        <v>0</v>
      </c>
      <c r="FN42" s="22" t="n">
        <f aca="false">IF('Current Index'!1705:1705,"AAAAAG9XX6k=",0)</f>
        <v>0</v>
      </c>
      <c r="FO42" s="22" t="n">
        <f aca="false">IF('Current Index'!1706:1706,"AAAAAG9XX6o=",0)</f>
        <v>0</v>
      </c>
      <c r="FP42" s="22" t="n">
        <f aca="false">IF('Current Index'!1707:1707,"AAAAAG9XX6s=",0)</f>
        <v>0</v>
      </c>
      <c r="FQ42" s="22" t="n">
        <f aca="false">IF('Current Index'!1708:1708,"AAAAAG9XX6w=",0)</f>
        <v>0</v>
      </c>
      <c r="FR42" s="22" t="n">
        <f aca="false">IF('Current Index'!1709:1709,"AAAAAG9XX60=",0)</f>
        <v>0</v>
      </c>
      <c r="FS42" s="22" t="n">
        <f aca="false">IF('Current Index'!1710:1710,"AAAAAG9XX64=",0)</f>
        <v>0</v>
      </c>
      <c r="FT42" s="22" t="n">
        <f aca="false">IF('Current Index'!1711:1711,"AAAAAG9XX68=",0)</f>
        <v>0</v>
      </c>
      <c r="FU42" s="22" t="n">
        <f aca="false">IF('Current Index'!1712:1712,"AAAAAG9XX7A=",0)</f>
        <v>0</v>
      </c>
      <c r="FV42" s="22" t="n">
        <f aca="false">IF('Current Index'!1713:1713,"AAAAAG9XX7E=",0)</f>
        <v>0</v>
      </c>
      <c r="FW42" s="22" t="n">
        <f aca="false">IF('Current Index'!1714:1714,"AAAAAG9XX7I=",0)</f>
        <v>0</v>
      </c>
      <c r="FX42" s="22" t="n">
        <f aca="false">IF('Current Index'!1715:1715,"AAAAAG9XX7M=",0)</f>
        <v>0</v>
      </c>
      <c r="FY42" s="22" t="n">
        <f aca="false">IF('Current Index'!1716:1716,"AAAAAG9XX7Q=",0)</f>
        <v>0</v>
      </c>
      <c r="FZ42" s="22" t="n">
        <f aca="false">IF('Current Index'!1717:1717,"AAAAAG9XX7U=",0)</f>
        <v>0</v>
      </c>
      <c r="GA42" s="22" t="n">
        <f aca="false">IF('Current Index'!1718:1718,"AAAAAG9XX7Y=",0)</f>
        <v>0</v>
      </c>
      <c r="GB42" s="22" t="n">
        <f aca="false">IF('Current Index'!1719:1719,"AAAAAG9XX7c=",0)</f>
        <v>0</v>
      </c>
      <c r="GC42" s="22" t="n">
        <f aca="false">IF('Current Index'!1720:1720,"AAAAAG9XX7g=",0)</f>
        <v>0</v>
      </c>
      <c r="GD42" s="22" t="n">
        <f aca="false">IF('Current Index'!1721:1721,"AAAAAG9XX7k=",0)</f>
        <v>0</v>
      </c>
      <c r="GE42" s="22" t="n">
        <f aca="false">IF('Current Index'!1722:1722,"AAAAAG9XX7o=",0)</f>
        <v>0</v>
      </c>
      <c r="GF42" s="22" t="n">
        <f aca="false">IF('Current Index'!1723:1723,"AAAAAG9XX7s=",0)</f>
        <v>0</v>
      </c>
      <c r="GG42" s="22" t="n">
        <f aca="false">IF('Current Index'!1724:1724,"AAAAAG9XX7w=",0)</f>
        <v>0</v>
      </c>
      <c r="GH42" s="22" t="n">
        <f aca="false">IF('Current Index'!1725:1725,"AAAAAG9XX70=",0)</f>
        <v>0</v>
      </c>
      <c r="GI42" s="22" t="n">
        <f aca="false">IF('Current Index'!1726:1726,"AAAAAG9XX74=",0)</f>
        <v>0</v>
      </c>
      <c r="GJ42" s="22" t="n">
        <f aca="false">IF('Current Index'!1727:1727,"AAAAAG9XX78=",0)</f>
        <v>0</v>
      </c>
      <c r="GK42" s="22" t="n">
        <f aca="false">IF('Current Index'!1728:1728,"AAAAAG9XX8A=",0)</f>
        <v>0</v>
      </c>
      <c r="GL42" s="22" t="n">
        <f aca="false">IF('Current Index'!1729:1729,"AAAAAG9XX8E=",0)</f>
        <v>0</v>
      </c>
      <c r="GM42" s="22" t="n">
        <f aca="false">IF('Current Index'!1730:1730,"AAAAAG9XX8I=",0)</f>
        <v>0</v>
      </c>
      <c r="GN42" s="22" t="n">
        <f aca="false">IF('Current Index'!1731:1731,"AAAAAG9XX8M=",0)</f>
        <v>0</v>
      </c>
      <c r="GO42" s="22" t="n">
        <f aca="false">IF('Current Index'!1732:1732,"AAAAAG9XX8Q=",0)</f>
        <v>0</v>
      </c>
      <c r="GP42" s="22" t="n">
        <f aca="false">IF('Current Index'!1733:1733,"AAAAAG9XX8U=",0)</f>
        <v>0</v>
      </c>
      <c r="GQ42" s="22" t="n">
        <f aca="false">IF('Current Index'!1734:1734,"AAAAAG9XX8Y=",0)</f>
        <v>0</v>
      </c>
      <c r="GR42" s="22" t="n">
        <f aca="false">IF('Current Index'!1735:1735,"AAAAAG9XX8c=",0)</f>
        <v>0</v>
      </c>
      <c r="GS42" s="22" t="n">
        <f aca="false">IF('Current Index'!1736:1736,"AAAAAG9XX8g=",0)</f>
        <v>0</v>
      </c>
      <c r="GT42" s="22" t="n">
        <f aca="false">IF('Current Index'!1737:1737,"AAAAAG9XX8k=",0)</f>
        <v>0</v>
      </c>
      <c r="GU42" s="22" t="n">
        <f aca="false">IF('Current Index'!1738:1738,"AAAAAG9XX8o=",0)</f>
        <v>0</v>
      </c>
      <c r="GV42" s="22" t="n">
        <f aca="false">IF('Current Index'!1739:1739,"AAAAAG9XX8s=",0)</f>
        <v>0</v>
      </c>
      <c r="GW42" s="22" t="n">
        <f aca="false">IF('Current Index'!1740:1740,"AAAAAG9XX8w=",0)</f>
        <v>0</v>
      </c>
      <c r="GX42" s="22" t="n">
        <f aca="false">IF('Current Index'!1741:1741,"AAAAAG9XX80=",0)</f>
        <v>0</v>
      </c>
      <c r="GY42" s="22" t="n">
        <f aca="false">IF('Current Index'!1742:1742,"AAAAAG9XX84=",0)</f>
        <v>0</v>
      </c>
      <c r="GZ42" s="22" t="n">
        <f aca="false">IF('Current Index'!1743:1743,"AAAAAG9XX88=",0)</f>
        <v>0</v>
      </c>
      <c r="HA42" s="22" t="n">
        <f aca="false">IF('Current Index'!1744:1744,"AAAAAG9XX9A=",0)</f>
        <v>0</v>
      </c>
      <c r="HB42" s="22" t="n">
        <f aca="false">IF('Current Index'!1745:1745,"AAAAAG9XX9E=",0)</f>
        <v>0</v>
      </c>
      <c r="HC42" s="22" t="n">
        <f aca="false">IF('Current Index'!1746:1746,"AAAAAG9XX9I=",0)</f>
        <v>0</v>
      </c>
      <c r="HD42" s="22" t="n">
        <f aca="false">IF('Current Index'!1747:1747,"AAAAAG9XX9M=",0)</f>
        <v>0</v>
      </c>
      <c r="HE42" s="22" t="n">
        <f aca="false">IF('Current Index'!1748:1748,"AAAAAG9XX9Q=",0)</f>
        <v>0</v>
      </c>
      <c r="HF42" s="22" t="n">
        <f aca="false">IF('Current Index'!1749:1749,"AAAAAG9XX9U=",0)</f>
        <v>0</v>
      </c>
      <c r="HG42" s="22" t="n">
        <f aca="false">IF('Current Index'!1750:1750,"AAAAAG9XX9Y=",0)</f>
        <v>0</v>
      </c>
      <c r="HH42" s="22" t="n">
        <f aca="false">IF('Current Index'!1751:1751,"AAAAAG9XX9c=",0)</f>
        <v>0</v>
      </c>
      <c r="HI42" s="22" t="n">
        <f aca="false">IF('Current Index'!1752:1752,"AAAAAG9XX9g=",0)</f>
        <v>0</v>
      </c>
      <c r="HJ42" s="22" t="n">
        <f aca="false">IF('Current Index'!1753:1753,"AAAAAG9XX9k=",0)</f>
        <v>0</v>
      </c>
      <c r="HK42" s="22" t="n">
        <f aca="false">IF('Current Index'!1754:1754,"AAAAAG9XX9o=",0)</f>
        <v>0</v>
      </c>
      <c r="HL42" s="22" t="n">
        <f aca="false">IF('Current Index'!1755:1755,"AAAAAG9XX9s=",0)</f>
        <v>0</v>
      </c>
      <c r="HM42" s="22" t="n">
        <f aca="false">IF('Current Index'!1756:1756,"AAAAAG9XX9w=",0)</f>
        <v>0</v>
      </c>
      <c r="HN42" s="22" t="n">
        <f aca="false">IF('Current Index'!1757:1757,"AAAAAG9XX90=",0)</f>
        <v>0</v>
      </c>
      <c r="HO42" s="22" t="n">
        <f aca="false">IF('Current Index'!1758:1758,"AAAAAG9XX94=",0)</f>
        <v>0</v>
      </c>
      <c r="HP42" s="22" t="n">
        <f aca="false">IF('Current Index'!1759:1759,"AAAAAG9XX98=",0)</f>
        <v>0</v>
      </c>
      <c r="HQ42" s="22" t="n">
        <f aca="false">IF('Current Index'!1760:1760,"AAAAAG9XX+A=",0)</f>
        <v>0</v>
      </c>
      <c r="HR42" s="22" t="n">
        <f aca="false">IF('Current Index'!1761:1761,"AAAAAG9XX+E=",0)</f>
        <v>0</v>
      </c>
      <c r="HS42" s="22" t="n">
        <f aca="false">IF('Current Index'!1762:1762,"AAAAAG9XX+I=",0)</f>
        <v>0</v>
      </c>
      <c r="HT42" s="22" t="n">
        <f aca="false">IF('Current Index'!1763:1763,"AAAAAG9XX+M=",0)</f>
        <v>0</v>
      </c>
      <c r="HU42" s="22" t="n">
        <f aca="false">IF('Current Index'!1764:1764,"AAAAAG9XX+Q=",0)</f>
        <v>0</v>
      </c>
      <c r="HV42" s="22" t="n">
        <f aca="false">IF('Current Index'!1765:1765,"AAAAAG9XX+U=",0)</f>
        <v>0</v>
      </c>
      <c r="HW42" s="22" t="n">
        <f aca="false">IF('Current Index'!1766:1766,"AAAAAG9XX+Y=",0)</f>
        <v>0</v>
      </c>
      <c r="HX42" s="22" t="n">
        <f aca="false">IF('Current Index'!1767:1767,"AAAAAG9XX+c=",0)</f>
        <v>0</v>
      </c>
      <c r="HY42" s="22" t="n">
        <f aca="false">IF('Current Index'!1768:1768,"AAAAAG9XX+g=",0)</f>
        <v>0</v>
      </c>
      <c r="HZ42" s="22" t="n">
        <f aca="false">IF('Current Index'!1769:1769,"AAAAAG9XX+k=",0)</f>
        <v>0</v>
      </c>
      <c r="IA42" s="22" t="n">
        <f aca="false">IF('Current Index'!1770:1770,"AAAAAG9XX+o=",0)</f>
        <v>0</v>
      </c>
      <c r="IB42" s="22" t="n">
        <f aca="false">IF('Current Index'!1771:1771,"AAAAAG9XX+s=",0)</f>
        <v>0</v>
      </c>
      <c r="IC42" s="22" t="n">
        <f aca="false">IF('Current Index'!1772:1772,"AAAAAG9XX+w=",0)</f>
        <v>0</v>
      </c>
      <c r="ID42" s="22" t="n">
        <f aca="false">IF('Current Index'!1773:1773,"AAAAAG9XX+0=",0)</f>
        <v>0</v>
      </c>
      <c r="IE42" s="22" t="n">
        <f aca="false">IF('Current Index'!1774:1774,"AAAAAG9XX+4=",0)</f>
        <v>0</v>
      </c>
      <c r="IF42" s="22" t="n">
        <f aca="false">IF('Current Index'!1775:1775,"AAAAAG9XX+8=",0)</f>
        <v>0</v>
      </c>
      <c r="IG42" s="22" t="n">
        <f aca="false">IF('Current Index'!1776:1776,"AAAAAG9XX/A=",0)</f>
        <v>0</v>
      </c>
      <c r="IH42" s="22" t="n">
        <f aca="false">IF('Current Index'!1777:1777,"AAAAAG9XX/E=",0)</f>
        <v>0</v>
      </c>
      <c r="II42" s="22" t="n">
        <f aca="false">IF('Current Index'!1778:1778,"AAAAAG9XX/I=",0)</f>
        <v>0</v>
      </c>
      <c r="IJ42" s="22" t="n">
        <f aca="false">IF('Current Index'!1779:1779,"AAAAAG9XX/M=",0)</f>
        <v>0</v>
      </c>
      <c r="IK42" s="22" t="n">
        <f aca="false">IF('Current Index'!1780:1780,"AAAAAG9XX/Q=",0)</f>
        <v>0</v>
      </c>
      <c r="IL42" s="22" t="n">
        <f aca="false">IF('Current Index'!1781:1781,"AAAAAG9XX/U=",0)</f>
        <v>0</v>
      </c>
      <c r="IM42" s="22" t="n">
        <f aca="false">IF('Current Index'!1782:1782,"AAAAAG9XX/Y=",0)</f>
        <v>0</v>
      </c>
      <c r="IN42" s="22" t="n">
        <f aca="false">IF('Current Index'!1783:1783,"AAAAAG9XX/c=",0)</f>
        <v>0</v>
      </c>
      <c r="IO42" s="22" t="n">
        <f aca="false">IF('Current Index'!1784:1784,"AAAAAG9XX/g=",0)</f>
        <v>0</v>
      </c>
      <c r="IP42" s="22" t="n">
        <f aca="false">IF('Current Index'!1785:1785,"AAAAAG9XX/k=",0)</f>
        <v>0</v>
      </c>
      <c r="IQ42" s="22" t="n">
        <f aca="false">IF('Current Index'!1786:1786,"AAAAAG9XX/o=",0)</f>
        <v>0</v>
      </c>
      <c r="IR42" s="22" t="n">
        <f aca="false">IF('Current Index'!1787:1787,"AAAAAG9XX/s=",0)</f>
        <v>0</v>
      </c>
      <c r="IS42" s="22" t="n">
        <f aca="false">IF('Current Index'!1788:1788,"AAAAAG9XX/w=",0)</f>
        <v>0</v>
      </c>
      <c r="IT42" s="22" t="n">
        <f aca="false">IF('Current Index'!1789:1789,"AAAAAG9XX/0=",0)</f>
        <v>0</v>
      </c>
      <c r="IU42" s="22" t="n">
        <f aca="false">IF('Current Index'!1790:1790,"AAAAAG9XX/4=",0)</f>
        <v>0</v>
      </c>
      <c r="IV42" s="22" t="n">
        <f aca="false">IF('Current Index'!1791:1791,"AAAAAG9XX/8=",0)</f>
        <v>0</v>
      </c>
    </row>
    <row r="43" customFormat="false" ht="12.75" hidden="false" customHeight="false" outlineLevel="0" collapsed="false">
      <c r="A43" s="22" t="n">
        <f aca="false">IF('Current Index'!1792:1792,"AAAAAHf7uAA=",0)</f>
        <v>0</v>
      </c>
      <c r="B43" s="22" t="n">
        <f aca="false">IF('Current Index'!1793:1793,"AAAAAHf7uAE=",0)</f>
        <v>0</v>
      </c>
      <c r="C43" s="22" t="n">
        <f aca="false">IF('Current Index'!1794:1794,"AAAAAHf7uAI=",0)</f>
        <v>0</v>
      </c>
      <c r="D43" s="22" t="n">
        <f aca="false">IF('Current Index'!1795:1795,"AAAAAHf7uAM=",0)</f>
        <v>0</v>
      </c>
      <c r="E43" s="22" t="n">
        <f aca="false">IF('Current Index'!1796:1796,"AAAAAHf7uAQ=",0)</f>
        <v>0</v>
      </c>
      <c r="F43" s="22" t="n">
        <f aca="false">IF('Current Index'!1797:1797,"AAAAAHf7uAU=",0)</f>
        <v>0</v>
      </c>
      <c r="G43" s="22" t="n">
        <f aca="false">IF('Current Index'!1798:1798,"AAAAAHf7uAY=",0)</f>
        <v>0</v>
      </c>
      <c r="H43" s="22" t="n">
        <f aca="false">IF('Current Index'!1799:1799,"AAAAAHf7uAc=",0)</f>
        <v>0</v>
      </c>
      <c r="I43" s="22" t="n">
        <f aca="false">IF('Current Index'!1800:1800,"AAAAAHf7uAg=",0)</f>
        <v>0</v>
      </c>
      <c r="J43" s="22" t="n">
        <f aca="false">IF('Current Index'!1801:1801,"AAAAAHf7uAk=",0)</f>
        <v>0</v>
      </c>
      <c r="K43" s="22" t="n">
        <f aca="false">IF('Current Index'!1802:1802,"AAAAAHf7uAo=",0)</f>
        <v>0</v>
      </c>
      <c r="L43" s="22" t="n">
        <f aca="false">IF('Current Index'!1803:1803,"AAAAAHf7uAs=",0)</f>
        <v>0</v>
      </c>
      <c r="M43" s="22" t="n">
        <f aca="false">IF('Current Index'!1804:1804,"AAAAAHf7uAw=",0)</f>
        <v>0</v>
      </c>
      <c r="N43" s="22" t="n">
        <f aca="false">IF('Current Index'!1805:1805,"AAAAAHf7uA0=",0)</f>
        <v>0</v>
      </c>
      <c r="O43" s="22" t="n">
        <f aca="false">IF('Current Index'!1806:1806,"AAAAAHf7uA4=",0)</f>
        <v>0</v>
      </c>
      <c r="P43" s="22" t="n">
        <f aca="false">IF('Current Index'!1807:1807,"AAAAAHf7uA8=",0)</f>
        <v>0</v>
      </c>
      <c r="Q43" s="22" t="n">
        <f aca="false">IF('Current Index'!1808:1808,"AAAAAHf7uBA=",0)</f>
        <v>0</v>
      </c>
      <c r="R43" s="22" t="n">
        <f aca="false">IF('Current Index'!1809:1809,"AAAAAHf7uBE=",0)</f>
        <v>0</v>
      </c>
      <c r="S43" s="22" t="n">
        <f aca="false">IF('Current Index'!1810:1810,"AAAAAHf7uBI=",0)</f>
        <v>0</v>
      </c>
      <c r="T43" s="22" t="n">
        <f aca="false">IF('Current Index'!1811:1811,"AAAAAHf7uBM=",0)</f>
        <v>0</v>
      </c>
      <c r="U43" s="22" t="n">
        <f aca="false">IF('Current Index'!1812:1812,"AAAAAHf7uBQ=",0)</f>
        <v>0</v>
      </c>
      <c r="V43" s="22" t="n">
        <f aca="false">IF('Current Index'!1813:1813,"AAAAAHf7uBU=",0)</f>
        <v>0</v>
      </c>
      <c r="W43" s="22" t="n">
        <f aca="false">IF('Current Index'!1814:1814,"AAAAAHf7uBY=",0)</f>
        <v>0</v>
      </c>
      <c r="X43" s="22" t="n">
        <f aca="false">IF('Current Index'!1815:1815,"AAAAAHf7uBc=",0)</f>
        <v>0</v>
      </c>
      <c r="Y43" s="22" t="n">
        <f aca="false">IF('Current Index'!1816:1816,"AAAAAHf7uBg=",0)</f>
        <v>0</v>
      </c>
      <c r="Z43" s="22" t="n">
        <f aca="false">IF('Current Index'!1817:1817,"AAAAAHf7uBk=",0)</f>
        <v>0</v>
      </c>
      <c r="AA43" s="22" t="n">
        <f aca="false">IF('Current Index'!1818:1818,"AAAAAHf7uBo=",0)</f>
        <v>0</v>
      </c>
      <c r="AB43" s="22" t="n">
        <f aca="false">IF('Current Index'!1819:1819,"AAAAAHf7uBs=",0)</f>
        <v>0</v>
      </c>
      <c r="AC43" s="22" t="n">
        <f aca="false">IF('Current Index'!1820:1820,"AAAAAHf7uBw=",0)</f>
        <v>0</v>
      </c>
      <c r="AD43" s="22" t="n">
        <f aca="false">IF('Current Index'!1821:1821,"AAAAAHf7uB0=",0)</f>
        <v>0</v>
      </c>
      <c r="AE43" s="22" t="n">
        <f aca="false">IF('Current Index'!1822:1822,"AAAAAHf7uB4=",0)</f>
        <v>0</v>
      </c>
      <c r="AF43" s="22" t="n">
        <f aca="false">IF('Current Index'!1823:1823,"AAAAAHf7uB8=",0)</f>
        <v>0</v>
      </c>
      <c r="AG43" s="22" t="n">
        <f aca="false">IF('Current Index'!1824:1824,"AAAAAHf7uCA=",0)</f>
        <v>0</v>
      </c>
      <c r="AH43" s="22" t="n">
        <f aca="false">IF('Current Index'!1825:1825,"AAAAAHf7uCE=",0)</f>
        <v>0</v>
      </c>
      <c r="AI43" s="22" t="n">
        <f aca="false">IF('Current Index'!1826:1826,"AAAAAHf7uCI=",0)</f>
        <v>0</v>
      </c>
      <c r="AJ43" s="22" t="n">
        <f aca="false">IF('Current Index'!1827:1827,"AAAAAHf7uCM=",0)</f>
        <v>0</v>
      </c>
      <c r="AK43" s="22" t="n">
        <f aca="false">IF('Current Index'!1828:1828,"AAAAAHf7uCQ=",0)</f>
        <v>0</v>
      </c>
      <c r="AL43" s="22" t="n">
        <f aca="false">IF('Current Index'!1829:1829,"AAAAAHf7uCU=",0)</f>
        <v>0</v>
      </c>
      <c r="AM43" s="22" t="n">
        <f aca="false">IF('Current Index'!1830:1830,"AAAAAHf7uCY=",0)</f>
        <v>0</v>
      </c>
      <c r="AN43" s="22" t="n">
        <f aca="false">IF('Current Index'!1831:1831,"AAAAAHf7uCc=",0)</f>
        <v>0</v>
      </c>
      <c r="AO43" s="22" t="n">
        <f aca="false">IF('Current Index'!1832:1832,"AAAAAHf7uCg=",0)</f>
        <v>0</v>
      </c>
      <c r="AP43" s="22" t="n">
        <f aca="false">IF('Current Index'!1833:1833,"AAAAAHf7uCk=",0)</f>
        <v>0</v>
      </c>
      <c r="AQ43" s="22" t="n">
        <f aca="false">IF('Current Index'!1834:1834,"AAAAAHf7uCo=",0)</f>
        <v>0</v>
      </c>
      <c r="AR43" s="22" t="n">
        <f aca="false">IF('Current Index'!1835:1835,"AAAAAHf7uCs=",0)</f>
        <v>0</v>
      </c>
      <c r="AS43" s="22" t="n">
        <f aca="false">IF('Current Index'!1836:1836,"AAAAAHf7uCw=",0)</f>
        <v>0</v>
      </c>
      <c r="AT43" s="22" t="n">
        <f aca="false">IF('Current Index'!1837:1837,"AAAAAHf7uC0=",0)</f>
        <v>0</v>
      </c>
      <c r="AU43" s="22" t="n">
        <f aca="false">IF('Current Index'!1838:1838,"AAAAAHf7uC4=",0)</f>
        <v>0</v>
      </c>
      <c r="AV43" s="22" t="n">
        <f aca="false">IF('Current Index'!1839:1839,"AAAAAHf7uC8=",0)</f>
        <v>0</v>
      </c>
      <c r="AW43" s="22" t="n">
        <f aca="false">IF('Current Index'!1840:1840,"AAAAAHf7uDA=",0)</f>
        <v>0</v>
      </c>
      <c r="AX43" s="22" t="n">
        <f aca="false">IF('Current Index'!1841:1841,"AAAAAHf7uDE=",0)</f>
        <v>0</v>
      </c>
      <c r="AY43" s="22" t="n">
        <f aca="false">IF('Current Index'!1842:1842,"AAAAAHf7uDI=",0)</f>
        <v>0</v>
      </c>
      <c r="AZ43" s="22" t="n">
        <f aca="false">IF('Current Index'!1843:1843,"AAAAAHf7uDM=",0)</f>
        <v>0</v>
      </c>
      <c r="BA43" s="22" t="n">
        <f aca="false">IF('Current Index'!1844:1844,"AAAAAHf7uDQ=",0)</f>
        <v>0</v>
      </c>
      <c r="BB43" s="22" t="n">
        <f aca="false">IF('Current Index'!1845:1845,"AAAAAHf7uDU=",0)</f>
        <v>0</v>
      </c>
      <c r="BC43" s="22" t="n">
        <f aca="false">IF('Current Index'!1846:1846,"AAAAAHf7uDY=",0)</f>
        <v>0</v>
      </c>
      <c r="BD43" s="22" t="n">
        <f aca="false">IF('Current Index'!1847:1847,"AAAAAHf7uDc=",0)</f>
        <v>0</v>
      </c>
      <c r="BE43" s="22" t="n">
        <f aca="false">IF('Current Index'!1848:1848,"AAAAAHf7uDg=",0)</f>
        <v>0</v>
      </c>
      <c r="BF43" s="22" t="n">
        <f aca="false">IF('Current Index'!1849:1849,"AAAAAHf7uDk=",0)</f>
        <v>0</v>
      </c>
      <c r="BG43" s="22" t="n">
        <f aca="false">IF('Current Index'!1850:1850,"AAAAAHf7uDo=",0)</f>
        <v>0</v>
      </c>
      <c r="BH43" s="22" t="n">
        <f aca="false">IF('Current Index'!1851:1851,"AAAAAHf7uDs=",0)</f>
        <v>0</v>
      </c>
      <c r="BI43" s="22" t="n">
        <f aca="false">IF('Current Index'!1852:1852,"AAAAAHf7uDw=",0)</f>
        <v>0</v>
      </c>
      <c r="BJ43" s="22" t="n">
        <f aca="false">IF('Current Index'!1853:1853,"AAAAAHf7uD0=",0)</f>
        <v>0</v>
      </c>
      <c r="BK43" s="22" t="n">
        <f aca="false">IF('Current Index'!1854:1854,"AAAAAHf7uD4=",0)</f>
        <v>0</v>
      </c>
      <c r="BL43" s="22" t="n">
        <f aca="false">IF('Current Index'!1855:1855,"AAAAAHf7uD8=",0)</f>
        <v>0</v>
      </c>
      <c r="BM43" s="22" t="n">
        <f aca="false">IF('Current Index'!1856:1856,"AAAAAHf7uEA=",0)</f>
        <v>0</v>
      </c>
      <c r="BN43" s="22" t="n">
        <f aca="false">IF('Current Index'!1857:1857,"AAAAAHf7uEE=",0)</f>
        <v>0</v>
      </c>
      <c r="BO43" s="22" t="n">
        <f aca="false">IF('Current Index'!1858:1858,"AAAAAHf7uEI=",0)</f>
        <v>0</v>
      </c>
      <c r="BP43" s="22" t="n">
        <f aca="false">IF('Current Index'!1859:1859,"AAAAAHf7uEM=",0)</f>
        <v>0</v>
      </c>
      <c r="BQ43" s="22" t="n">
        <f aca="false">IF('Current Index'!1860:1860,"AAAAAHf7uEQ=",0)</f>
        <v>0</v>
      </c>
      <c r="BR43" s="22" t="n">
        <f aca="false">IF('Current Index'!1861:1861,"AAAAAHf7uEU=",0)</f>
        <v>0</v>
      </c>
      <c r="BS43" s="22" t="n">
        <f aca="false">IF('Current Index'!1862:1862,"AAAAAHf7uEY=",0)</f>
        <v>0</v>
      </c>
      <c r="BT43" s="22" t="n">
        <f aca="false">IF('Current Index'!1863:1863,"AAAAAHf7uEc=",0)</f>
        <v>0</v>
      </c>
      <c r="BU43" s="22" t="n">
        <f aca="false">IF('Current Index'!1864:1864,"AAAAAHf7uEg=",0)</f>
        <v>0</v>
      </c>
      <c r="BV43" s="22" t="n">
        <f aca="false">IF('Current Index'!1865:1865,"AAAAAHf7uEk=",0)</f>
        <v>0</v>
      </c>
      <c r="BW43" s="22" t="n">
        <f aca="false">IF('Current Index'!1866:1866,"AAAAAHf7uEo=",0)</f>
        <v>0</v>
      </c>
      <c r="BX43" s="22" t="n">
        <f aca="false">IF('Current Index'!1867:1867,"AAAAAHf7uEs=",0)</f>
        <v>0</v>
      </c>
      <c r="BY43" s="22" t="n">
        <f aca="false">IF('Current Index'!1868:1868,"AAAAAHf7uEw=",0)</f>
        <v>0</v>
      </c>
      <c r="BZ43" s="22" t="n">
        <f aca="false">IF('Current Index'!1869:1869,"AAAAAHf7uE0=",0)</f>
        <v>0</v>
      </c>
      <c r="CA43" s="22" t="n">
        <f aca="false">IF('Current Index'!1870:1870,"AAAAAHf7uE4=",0)</f>
        <v>0</v>
      </c>
      <c r="CB43" s="22" t="n">
        <f aca="false">IF('Current Index'!1871:1871,"AAAAAHf7uE8=",0)</f>
        <v>0</v>
      </c>
      <c r="CC43" s="22" t="n">
        <f aca="false">IF('Current Index'!1872:1872,"AAAAAHf7uFA=",0)</f>
        <v>0</v>
      </c>
      <c r="CD43" s="22" t="n">
        <f aca="false">IF('Current Index'!1873:1873,"AAAAAHf7uFE=",0)</f>
        <v>0</v>
      </c>
      <c r="CE43" s="22" t="n">
        <f aca="false">IF('Current Index'!1874:1874,"AAAAAHf7uFI=",0)</f>
        <v>0</v>
      </c>
      <c r="CF43" s="22" t="n">
        <f aca="false">IF('Current Index'!1875:1875,"AAAAAHf7uFM=",0)</f>
        <v>0</v>
      </c>
      <c r="CG43" s="22" t="n">
        <f aca="false">IF('Current Index'!1876:1876,"AAAAAHf7uFQ=",0)</f>
        <v>0</v>
      </c>
      <c r="CH43" s="22" t="n">
        <f aca="false">IF('Current Index'!1877:1877,"AAAAAHf7uFU=",0)</f>
        <v>0</v>
      </c>
      <c r="CI43" s="22" t="n">
        <f aca="false">IF('Current Index'!1878:1878,"AAAAAHf7uFY=",0)</f>
        <v>0</v>
      </c>
      <c r="CJ43" s="22" t="n">
        <f aca="false">IF('Current Index'!1879:1879,"AAAAAHf7uFc=",0)</f>
        <v>0</v>
      </c>
      <c r="CK43" s="22" t="n">
        <f aca="false">IF('Current Index'!1880:1880,"AAAAAHf7uFg=",0)</f>
        <v>0</v>
      </c>
      <c r="CL43" s="22" t="n">
        <f aca="false">IF('Current Index'!1881:1881,"AAAAAHf7uFk=",0)</f>
        <v>0</v>
      </c>
      <c r="CM43" s="22" t="n">
        <f aca="false">IF('Current Index'!1882:1882,"AAAAAHf7uFo=",0)</f>
        <v>0</v>
      </c>
      <c r="CN43" s="22" t="n">
        <f aca="false">IF('Current Index'!1883:1883,"AAAAAHf7uFs=",0)</f>
        <v>0</v>
      </c>
      <c r="CO43" s="22" t="n">
        <f aca="false">IF('Current Index'!1884:1884,"AAAAAHf7uFw=",0)</f>
        <v>0</v>
      </c>
      <c r="CP43" s="22" t="n">
        <f aca="false">IF('Current Index'!1885:1885,"AAAAAHf7uF0=",0)</f>
        <v>0</v>
      </c>
      <c r="CQ43" s="22" t="n">
        <f aca="false">IF('Current Index'!1886:1886,"AAAAAHf7uF4=",0)</f>
        <v>0</v>
      </c>
      <c r="CR43" s="22" t="n">
        <f aca="false">IF('Current Index'!1887:1887,"AAAAAHf7uF8=",0)</f>
        <v>0</v>
      </c>
      <c r="CS43" s="22" t="n">
        <f aca="false">IF('Current Index'!1888:1888,"AAAAAHf7uGA=",0)</f>
        <v>0</v>
      </c>
      <c r="CT43" s="22" t="n">
        <f aca="false">IF('Current Index'!1889:1889,"AAAAAHf7uGE=",0)</f>
        <v>0</v>
      </c>
      <c r="CU43" s="22" t="n">
        <f aca="false">IF('Current Index'!1890:1890,"AAAAAHf7uGI=",0)</f>
        <v>0</v>
      </c>
      <c r="CV43" s="22" t="n">
        <f aca="false">IF('Current Index'!1891:1891,"AAAAAHf7uGM=",0)</f>
        <v>0</v>
      </c>
      <c r="CW43" s="22" t="n">
        <f aca="false">IF('Current Index'!1892:1892,"AAAAAHf7uGQ=",0)</f>
        <v>0</v>
      </c>
      <c r="CX43" s="22" t="n">
        <f aca="false">IF('Current Index'!1893:1893,"AAAAAHf7uGU=",0)</f>
        <v>0</v>
      </c>
      <c r="CY43" s="22" t="n">
        <f aca="false">IF('Current Index'!1894:1894,"AAAAAHf7uGY=",0)</f>
        <v>0</v>
      </c>
      <c r="CZ43" s="22" t="n">
        <f aca="false">IF('Current Index'!1895:1895,"AAAAAHf7uGc=",0)</f>
        <v>0</v>
      </c>
      <c r="DA43" s="22" t="n">
        <f aca="false">IF('Current Index'!1896:1896,"AAAAAHf7uGg=",0)</f>
        <v>0</v>
      </c>
      <c r="DB43" s="22" t="n">
        <f aca="false">IF('Current Index'!1897:1897,"AAAAAHf7uGk=",0)</f>
        <v>0</v>
      </c>
      <c r="DC43" s="22" t="n">
        <f aca="false">IF('Current Index'!1898:1898,"AAAAAHf7uGo=",0)</f>
        <v>0</v>
      </c>
      <c r="DD43" s="22" t="n">
        <f aca="false">IF('Current Index'!1899:1899,"AAAAAHf7uGs=",0)</f>
        <v>0</v>
      </c>
      <c r="DE43" s="22" t="n">
        <f aca="false">IF('Current Index'!1900:1900,"AAAAAHf7uGw=",0)</f>
        <v>0</v>
      </c>
      <c r="DF43" s="22" t="n">
        <f aca="false">IF('Current Index'!1901:1901,"AAAAAHf7uG0=",0)</f>
        <v>0</v>
      </c>
      <c r="DG43" s="22" t="n">
        <f aca="false">IF('Current Index'!1902:1902,"AAAAAHf7uG4=",0)</f>
        <v>0</v>
      </c>
      <c r="DH43" s="22" t="n">
        <f aca="false">IF('Current Index'!1903:1903,"AAAAAHf7uG8=",0)</f>
        <v>0</v>
      </c>
      <c r="DI43" s="22" t="n">
        <f aca="false">IF('Current Index'!1904:1904,"AAAAAHf7uHA=",0)</f>
        <v>0</v>
      </c>
      <c r="DJ43" s="22" t="n">
        <f aca="false">IF('Current Index'!1905:1905,"AAAAAHf7uHE=",0)</f>
        <v>0</v>
      </c>
      <c r="DK43" s="22" t="n">
        <f aca="false">IF('Current Index'!1906:1906,"AAAAAHf7uHI=",0)</f>
        <v>0</v>
      </c>
      <c r="DL43" s="22" t="n">
        <f aca="false">IF('Current Index'!1907:1907,"AAAAAHf7uHM=",0)</f>
        <v>0</v>
      </c>
      <c r="DM43" s="22" t="n">
        <f aca="false">IF('Current Index'!1908:1908,"AAAAAHf7uHQ=",0)</f>
        <v>0</v>
      </c>
      <c r="DN43" s="22" t="n">
        <f aca="false">IF('Current Index'!1909:1909,"AAAAAHf7uHU=",0)</f>
        <v>0</v>
      </c>
      <c r="DO43" s="22" t="n">
        <f aca="false">IF('Current Index'!1910:1910,"AAAAAHf7uHY=",0)</f>
        <v>0</v>
      </c>
      <c r="DP43" s="22" t="n">
        <f aca="false">IF('Current Index'!1911:1911,"AAAAAHf7uHc=",0)</f>
        <v>0</v>
      </c>
      <c r="DQ43" s="22" t="n">
        <f aca="false">IF('Current Index'!1912:1912,"AAAAAHf7uHg=",0)</f>
        <v>0</v>
      </c>
      <c r="DR43" s="22" t="n">
        <f aca="false">IF('Current Index'!1913:1913,"AAAAAHf7uHk=",0)</f>
        <v>0</v>
      </c>
      <c r="DS43" s="22" t="n">
        <f aca="false">IF('Current Index'!1914:1914,"AAAAAHf7uHo=",0)</f>
        <v>0</v>
      </c>
      <c r="DT43" s="22" t="n">
        <f aca="false">IF('Current Index'!1915:1915,"AAAAAHf7uHs=",0)</f>
        <v>0</v>
      </c>
      <c r="DU43" s="22" t="n">
        <f aca="false">IF('Current Index'!1916:1916,"AAAAAHf7uHw=",0)</f>
        <v>0</v>
      </c>
      <c r="DV43" s="22" t="n">
        <f aca="false">IF('Current Index'!1917:1917,"AAAAAHf7uH0=",0)</f>
        <v>0</v>
      </c>
      <c r="DW43" s="22" t="n">
        <f aca="false">IF('Current Index'!1918:1918,"AAAAAHf7uH4=",0)</f>
        <v>0</v>
      </c>
      <c r="DX43" s="22" t="n">
        <f aca="false">IF('Current Index'!1919:1919,"AAAAAHf7uH8=",0)</f>
        <v>0</v>
      </c>
      <c r="DY43" s="22" t="n">
        <f aca="false">IF('Current Index'!1920:1920,"AAAAAHf7uIA=",0)</f>
        <v>0</v>
      </c>
      <c r="DZ43" s="22" t="n">
        <f aca="false">IF('Current Index'!1921:1921,"AAAAAHf7uIE=",0)</f>
        <v>0</v>
      </c>
      <c r="EA43" s="22" t="n">
        <f aca="false">IF('Current Index'!1922:1922,"AAAAAHf7uII=",0)</f>
        <v>0</v>
      </c>
      <c r="EB43" s="22" t="n">
        <f aca="false">IF('Current Index'!1923:1923,"AAAAAHf7uIM=",0)</f>
        <v>0</v>
      </c>
      <c r="EC43" s="22" t="n">
        <f aca="false">IF('Current Index'!1924:1924,"AAAAAHf7uIQ=",0)</f>
        <v>0</v>
      </c>
      <c r="ED43" s="22" t="n">
        <f aca="false">IF('Current Index'!1925:1925,"AAAAAHf7uIU=",0)</f>
        <v>0</v>
      </c>
      <c r="EE43" s="22" t="n">
        <f aca="false">IF('Current Index'!1926:1926,"AAAAAHf7uIY=",0)</f>
        <v>0</v>
      </c>
      <c r="EF43" s="22" t="n">
        <f aca="false">IF('Current Index'!1927:1927,"AAAAAHf7uIc=",0)</f>
        <v>0</v>
      </c>
      <c r="EG43" s="22" t="n">
        <f aca="false">IF('Current Index'!1928:1928,"AAAAAHf7uIg=",0)</f>
        <v>0</v>
      </c>
      <c r="EH43" s="22" t="n">
        <f aca="false">IF('Current Index'!1929:1929,"AAAAAHf7uIk=",0)</f>
        <v>0</v>
      </c>
      <c r="EI43" s="22" t="n">
        <f aca="false">IF('Current Index'!1930:1930,"AAAAAHf7uIo=",0)</f>
        <v>0</v>
      </c>
      <c r="EJ43" s="22" t="n">
        <f aca="false">IF('Current Index'!1931:1931,"AAAAAHf7uIs=",0)</f>
        <v>0</v>
      </c>
      <c r="EK43" s="22" t="n">
        <f aca="false">IF('Current Index'!1932:1932,"AAAAAHf7uIw=",0)</f>
        <v>0</v>
      </c>
      <c r="EL43" s="22" t="n">
        <f aca="false">IF('Current Index'!1933:1933,"AAAAAHf7uI0=",0)</f>
        <v>0</v>
      </c>
      <c r="EM43" s="22" t="n">
        <f aca="false">IF('Current Index'!1934:1934,"AAAAAHf7uI4=",0)</f>
        <v>0</v>
      </c>
      <c r="EN43" s="22" t="n">
        <f aca="false">IF('Current Index'!1935:1935,"AAAAAHf7uI8=",0)</f>
        <v>0</v>
      </c>
      <c r="EO43" s="22" t="n">
        <f aca="false">IF('Current Index'!1936:1936,"AAAAAHf7uJA=",0)</f>
        <v>0</v>
      </c>
      <c r="EP43" s="22" t="n">
        <f aca="false">IF('Current Index'!1937:1937,"AAAAAHf7uJE=",0)</f>
        <v>0</v>
      </c>
      <c r="EQ43" s="22" t="n">
        <f aca="false">IF('Current Index'!1938:1938,"AAAAAHf7uJI=",0)</f>
        <v>0</v>
      </c>
      <c r="ER43" s="22" t="n">
        <f aca="false">IF('Current Index'!1939:1939,"AAAAAHf7uJM=",0)</f>
        <v>0</v>
      </c>
      <c r="ES43" s="22" t="n">
        <f aca="false">IF('Current Index'!1940:1940,"AAAAAHf7uJQ=",0)</f>
        <v>0</v>
      </c>
      <c r="ET43" s="22" t="n">
        <f aca="false">IF('Current Index'!1941:1941,"AAAAAHf7uJU=",0)</f>
        <v>0</v>
      </c>
      <c r="EU43" s="22" t="n">
        <f aca="false">IF('Current Index'!1942:1942,"AAAAAHf7uJY=",0)</f>
        <v>0</v>
      </c>
      <c r="EV43" s="22" t="n">
        <f aca="false">IF('Current Index'!1943:1943,"AAAAAHf7uJc=",0)</f>
        <v>0</v>
      </c>
      <c r="EW43" s="22" t="n">
        <f aca="false">IF('Current Index'!1944:1944,"AAAAAHf7uJg=",0)</f>
        <v>0</v>
      </c>
      <c r="EX43" s="22" t="n">
        <f aca="false">IF('Current Index'!1945:1945,"AAAAAHf7uJk=",0)</f>
        <v>0</v>
      </c>
      <c r="EY43" s="22" t="n">
        <f aca="false">IF('Current Index'!1946:1946,"AAAAAHf7uJo=",0)</f>
        <v>0</v>
      </c>
      <c r="EZ43" s="22" t="n">
        <f aca="false">IF('Current Index'!1947:1947,"AAAAAHf7uJs=",0)</f>
        <v>0</v>
      </c>
      <c r="FA43" s="22" t="n">
        <f aca="false">IF('Current Index'!1948:1948,"AAAAAHf7uJw=",0)</f>
        <v>0</v>
      </c>
      <c r="FB43" s="22" t="n">
        <f aca="false">IF('Current Index'!1949:1949,"AAAAAHf7uJ0=",0)</f>
        <v>0</v>
      </c>
      <c r="FC43" s="22" t="n">
        <f aca="false">IF('Current Index'!1950:1950,"AAAAAHf7uJ4=",0)</f>
        <v>0</v>
      </c>
      <c r="FD43" s="22" t="n">
        <f aca="false">IF('Current Index'!1951:1951,"AAAAAHf7uJ8=",0)</f>
        <v>0</v>
      </c>
      <c r="FE43" s="22" t="n">
        <f aca="false">IF('Current Index'!1952:1952,"AAAAAHf7uKA=",0)</f>
        <v>0</v>
      </c>
      <c r="FF43" s="22" t="n">
        <f aca="false">IF('Current Index'!1953:1953,"AAAAAHf7uKE=",0)</f>
        <v>0</v>
      </c>
      <c r="FG43" s="22" t="n">
        <f aca="false">IF('Current Index'!1954:1954,"AAAAAHf7uKI=",0)</f>
        <v>0</v>
      </c>
      <c r="FH43" s="22" t="n">
        <f aca="false">IF('Current Index'!1955:1955,"AAAAAHf7uKM=",0)</f>
        <v>0</v>
      </c>
      <c r="FI43" s="22" t="n">
        <f aca="false">IF('Current Index'!1956:1956,"AAAAAHf7uKQ=",0)</f>
        <v>0</v>
      </c>
      <c r="FJ43" s="22" t="n">
        <f aca="false">IF('Current Index'!1957:1957,"AAAAAHf7uKU=",0)</f>
        <v>0</v>
      </c>
      <c r="FK43" s="22" t="n">
        <f aca="false">IF('Current Index'!1958:1958,"AAAAAHf7uKY=",0)</f>
        <v>0</v>
      </c>
      <c r="FL43" s="22" t="n">
        <f aca="false">IF('Current Index'!1959:1959,"AAAAAHf7uKc=",0)</f>
        <v>0</v>
      </c>
      <c r="FM43" s="22" t="n">
        <f aca="false">IF('Current Index'!1960:1960,"AAAAAHf7uKg=",0)</f>
        <v>0</v>
      </c>
      <c r="FN43" s="22" t="n">
        <f aca="false">IF('Current Index'!1961:1961,"AAAAAHf7uKk=",0)</f>
        <v>0</v>
      </c>
      <c r="FO43" s="22" t="n">
        <f aca="false">IF('Current Index'!1962:1962,"AAAAAHf7uKo=",0)</f>
        <v>0</v>
      </c>
      <c r="FP43" s="22" t="n">
        <f aca="false">IF('Current Index'!1963:1963,"AAAAAHf7uKs=",0)</f>
        <v>0</v>
      </c>
      <c r="FQ43" s="22" t="n">
        <f aca="false">IF('Current Index'!1964:1964,"AAAAAHf7uKw=",0)</f>
        <v>0</v>
      </c>
      <c r="FR43" s="22" t="n">
        <f aca="false">IF('Current Index'!1965:1965,"AAAAAHf7uK0=",0)</f>
        <v>0</v>
      </c>
      <c r="FS43" s="22" t="n">
        <f aca="false">IF('Current Index'!1966:1966,"AAAAAHf7uK4=",0)</f>
        <v>0</v>
      </c>
      <c r="FT43" s="22" t="n">
        <f aca="false">IF('Current Index'!1967:1967,"AAAAAHf7uK8=",0)</f>
        <v>0</v>
      </c>
      <c r="FU43" s="22" t="n">
        <f aca="false">IF('Current Index'!1968:1968,"AAAAAHf7uLA=",0)</f>
        <v>0</v>
      </c>
      <c r="FV43" s="22" t="n">
        <f aca="false">IF('Current Index'!1969:1969,"AAAAAHf7uLE=",0)</f>
        <v>0</v>
      </c>
      <c r="FW43" s="22" t="n">
        <f aca="false">IF('Current Index'!1970:1970,"AAAAAHf7uLI=",0)</f>
        <v>0</v>
      </c>
      <c r="FX43" s="22" t="n">
        <f aca="false">IF('Current Index'!1971:1971,"AAAAAHf7uLM=",0)</f>
        <v>0</v>
      </c>
      <c r="FY43" s="22" t="n">
        <f aca="false">IF('Current Index'!1972:1972,"AAAAAHf7uLQ=",0)</f>
        <v>0</v>
      </c>
      <c r="FZ43" s="22" t="n">
        <f aca="false">IF('Current Index'!1973:1973,"AAAAAHf7uLU=",0)</f>
        <v>0</v>
      </c>
      <c r="GA43" s="22" t="n">
        <f aca="false">IF('Current Index'!1974:1974,"AAAAAHf7uLY=",0)</f>
        <v>0</v>
      </c>
      <c r="GB43" s="22" t="n">
        <f aca="false">IF('Current Index'!1975:1975,"AAAAAHf7uLc=",0)</f>
        <v>0</v>
      </c>
      <c r="GC43" s="22" t="n">
        <f aca="false">IF('Current Index'!1976:1976,"AAAAAHf7uLg=",0)</f>
        <v>0</v>
      </c>
      <c r="GD43" s="22" t="n">
        <f aca="false">IF('Current Index'!1977:1977,"AAAAAHf7uLk=",0)</f>
        <v>0</v>
      </c>
      <c r="GE43" s="22" t="n">
        <f aca="false">IF('Current Index'!1978:1978,"AAAAAHf7uLo=",0)</f>
        <v>0</v>
      </c>
      <c r="GF43" s="22" t="n">
        <f aca="false">IF('Current Index'!1979:1979,"AAAAAHf7uLs=",0)</f>
        <v>0</v>
      </c>
      <c r="GG43" s="22" t="n">
        <f aca="false">IF('Current Index'!1980:1980,"AAAAAHf7uLw=",0)</f>
        <v>0</v>
      </c>
      <c r="GH43" s="22" t="n">
        <f aca="false">IF('Current Index'!1981:1981,"AAAAAHf7uL0=",0)</f>
        <v>0</v>
      </c>
      <c r="GI43" s="22" t="n">
        <f aca="false">IF('Current Index'!1982:1982,"AAAAAHf7uL4=",0)</f>
        <v>0</v>
      </c>
      <c r="GJ43" s="22" t="n">
        <f aca="false">IF('Current Index'!1983:1983,"AAAAAHf7uL8=",0)</f>
        <v>0</v>
      </c>
      <c r="GK43" s="22" t="n">
        <f aca="false">IF('Current Index'!1984:1984,"AAAAAHf7uMA=",0)</f>
        <v>0</v>
      </c>
      <c r="GL43" s="22" t="n">
        <f aca="false">IF('Current Index'!1985:1985,"AAAAAHf7uME=",0)</f>
        <v>0</v>
      </c>
      <c r="GM43" s="22" t="n">
        <f aca="false">IF('Current Index'!1986:1986,"AAAAAHf7uMI=",0)</f>
        <v>0</v>
      </c>
      <c r="GN43" s="22" t="n">
        <f aca="false">IF('Current Index'!1987:1987,"AAAAAHf7uMM=",0)</f>
        <v>0</v>
      </c>
      <c r="GO43" s="22" t="n">
        <f aca="false">IF('Current Index'!1988:1988,"AAAAAHf7uMQ=",0)</f>
        <v>0</v>
      </c>
      <c r="GP43" s="22" t="n">
        <f aca="false">IF('Current Index'!1989:1989,"AAAAAHf7uMU=",0)</f>
        <v>0</v>
      </c>
      <c r="GQ43" s="22" t="n">
        <f aca="false">IF('Current Index'!1990:1990,"AAAAAHf7uMY=",0)</f>
        <v>0</v>
      </c>
      <c r="GR43" s="22" t="n">
        <f aca="false">IF('Current Index'!1991:1991,"AAAAAHf7uMc=",0)</f>
        <v>0</v>
      </c>
      <c r="GS43" s="22" t="n">
        <f aca="false">IF('Current Index'!1992:1992,"AAAAAHf7uMg=",0)</f>
        <v>0</v>
      </c>
      <c r="GT43" s="22" t="n">
        <f aca="false">IF('Current Index'!1993:1993,"AAAAAHf7uMk=",0)</f>
        <v>0</v>
      </c>
      <c r="GU43" s="22" t="n">
        <f aca="false">IF('Current Index'!1994:1994,"AAAAAHf7uMo=",0)</f>
        <v>0</v>
      </c>
      <c r="GV43" s="22" t="n">
        <f aca="false">IF('Current Index'!1995:1995,"AAAAAHf7uMs=",0)</f>
        <v>0</v>
      </c>
      <c r="GW43" s="22" t="n">
        <f aca="false">IF('Current Index'!1996:1996,"AAAAAHf7uMw=",0)</f>
        <v>0</v>
      </c>
      <c r="GX43" s="22" t="n">
        <f aca="false">IF('Current Index'!1997:1997,"AAAAAHf7uM0=",0)</f>
        <v>0</v>
      </c>
      <c r="GY43" s="22" t="n">
        <f aca="false">IF('Current Index'!1998:1998,"AAAAAHf7uM4=",0)</f>
        <v>0</v>
      </c>
      <c r="GZ43" s="22" t="n">
        <f aca="false">IF('Current Index'!1999:1999,"AAAAAHf7uM8=",0)</f>
        <v>0</v>
      </c>
      <c r="HA43" s="22" t="n">
        <f aca="false">IF('Current Index'!2000:2000,"AAAAAHf7uNA=",0)</f>
        <v>0</v>
      </c>
      <c r="HB43" s="22" t="n">
        <f aca="false">IF('Current Index'!2001:2001,"AAAAAHf7uNE=",0)</f>
        <v>0</v>
      </c>
      <c r="HC43" s="22" t="n">
        <f aca="false">IF('Current Index'!2002:2002,"AAAAAHf7uNI=",0)</f>
        <v>0</v>
      </c>
      <c r="HD43" s="22" t="n">
        <f aca="false">IF('Current Index'!2003:2003,"AAAAAHf7uNM=",0)</f>
        <v>0</v>
      </c>
      <c r="HE43" s="22" t="n">
        <f aca="false">IF('Current Index'!2004:2004,"AAAAAHf7uNQ=",0)</f>
        <v>0</v>
      </c>
      <c r="HF43" s="22" t="n">
        <f aca="false">IF('Current Index'!2005:2005,"AAAAAHf7uNU=",0)</f>
        <v>0</v>
      </c>
      <c r="HG43" s="22" t="n">
        <f aca="false">IF('Current Index'!2006:2006,"AAAAAHf7uNY=",0)</f>
        <v>0</v>
      </c>
      <c r="HH43" s="22" t="n">
        <f aca="false">IF('Current Index'!2007:2007,"AAAAAHf7uNc=",0)</f>
        <v>0</v>
      </c>
      <c r="HI43" s="22" t="n">
        <f aca="false">IF('Current Index'!2008:2008,"AAAAAHf7uNg=",0)</f>
        <v>0</v>
      </c>
      <c r="HJ43" s="22" t="n">
        <f aca="false">IF('Current Index'!2009:2009,"AAAAAHf7uNk=",0)</f>
        <v>0</v>
      </c>
      <c r="HK43" s="22" t="n">
        <f aca="false">IF('Current Index'!2010:2010,"AAAAAHf7uNo=",0)</f>
        <v>0</v>
      </c>
      <c r="HL43" s="22" t="n">
        <f aca="false">IF('Current Index'!2011:2011,"AAAAAHf7uNs=",0)</f>
        <v>0</v>
      </c>
      <c r="HM43" s="22" t="n">
        <f aca="false">IF('Current Index'!2012:2012,"AAAAAHf7uNw=",0)</f>
        <v>0</v>
      </c>
      <c r="HN43" s="22" t="n">
        <f aca="false">IF('Current Index'!2013:2013,"AAAAAHf7uN0=",0)</f>
        <v>0</v>
      </c>
      <c r="HO43" s="22" t="n">
        <f aca="false">IF('Current Index'!2014:2014,"AAAAAHf7uN4=",0)</f>
        <v>0</v>
      </c>
      <c r="HP43" s="22" t="n">
        <f aca="false">IF('Current Index'!2015:2015,"AAAAAHf7uN8=",0)</f>
        <v>0</v>
      </c>
      <c r="HQ43" s="22" t="n">
        <f aca="false">IF('Current Index'!2016:2016,"AAAAAHf7uOA=",0)</f>
        <v>0</v>
      </c>
      <c r="HR43" s="22" t="n">
        <f aca="false">IF('Current Index'!2017:2017,"AAAAAHf7uOE=",0)</f>
        <v>0</v>
      </c>
      <c r="HS43" s="22" t="n">
        <f aca="false">IF('Current Index'!2018:2018,"AAAAAHf7uOI=",0)</f>
        <v>0</v>
      </c>
      <c r="HT43" s="22" t="n">
        <f aca="false">IF('Current Index'!2019:2019,"AAAAAHf7uOM=",0)</f>
        <v>0</v>
      </c>
      <c r="HU43" s="22" t="n">
        <f aca="false">IF('Current Index'!2020:2020,"AAAAAHf7uOQ=",0)</f>
        <v>0</v>
      </c>
      <c r="HV43" s="22" t="n">
        <f aca="false">IF('Current Index'!2021:2021,"AAAAAHf7uOU=",0)</f>
        <v>0</v>
      </c>
      <c r="HW43" s="22" t="n">
        <f aca="false">IF('Current Index'!2022:2022,"AAAAAHf7uOY=",0)</f>
        <v>0</v>
      </c>
      <c r="HX43" s="22" t="n">
        <f aca="false">IF('Current Index'!2023:2023,"AAAAAHf7uOc=",0)</f>
        <v>0</v>
      </c>
      <c r="HY43" s="22" t="n">
        <f aca="false">IF('Current Index'!2024:2024,"AAAAAHf7uOg=",0)</f>
        <v>0</v>
      </c>
      <c r="HZ43" s="22" t="n">
        <f aca="false">IF('Current Index'!2025:2025,"AAAAAHf7uOk=",0)</f>
        <v>0</v>
      </c>
      <c r="IA43" s="22" t="n">
        <f aca="false">IF('Current Index'!2026:2026,"AAAAAHf7uOo=",0)</f>
        <v>0</v>
      </c>
      <c r="IB43" s="22" t="n">
        <f aca="false">IF('Current Index'!2027:2027,"AAAAAHf7uOs=",0)</f>
        <v>0</v>
      </c>
      <c r="IC43" s="22" t="n">
        <f aca="false">IF('Current Index'!2028:2028,"AAAAAHf7uOw=",0)</f>
        <v>0</v>
      </c>
      <c r="ID43" s="22" t="n">
        <f aca="false">IF('Current Index'!2029:2029,"AAAAAHf7uO0=",0)</f>
        <v>0</v>
      </c>
      <c r="IE43" s="22" t="n">
        <f aca="false">IF('Current Index'!2030:2030,"AAAAAHf7uO4=",0)</f>
        <v>0</v>
      </c>
      <c r="IF43" s="22" t="n">
        <f aca="false">IF('Current Index'!2031:2031,"AAAAAHf7uO8=",0)</f>
        <v>0</v>
      </c>
      <c r="IG43" s="22" t="n">
        <f aca="false">IF('Current Index'!2032:2032,"AAAAAHf7uPA=",0)</f>
        <v>0</v>
      </c>
      <c r="IH43" s="22" t="n">
        <f aca="false">IF('Current Index'!2033:2033,"AAAAAHf7uPE=",0)</f>
        <v>0</v>
      </c>
      <c r="II43" s="22" t="n">
        <f aca="false">IF('Current Index'!2034:2034,"AAAAAHf7uPI=",0)</f>
        <v>0</v>
      </c>
      <c r="IJ43" s="22" t="n">
        <f aca="false">IF('Current Index'!2035:2035,"AAAAAHf7uPM=",0)</f>
        <v>0</v>
      </c>
      <c r="IK43" s="22" t="n">
        <f aca="false">IF('Current Index'!2036:2036,"AAAAAHf7uPQ=",0)</f>
        <v>0</v>
      </c>
      <c r="IL43" s="22" t="n">
        <f aca="false">IF('Current Index'!2037:2037,"AAAAAHf7uPU=",0)</f>
        <v>0</v>
      </c>
      <c r="IM43" s="22" t="n">
        <f aca="false">IF('Current Index'!2038:2038,"AAAAAHf7uPY=",0)</f>
        <v>0</v>
      </c>
      <c r="IN43" s="22" t="n">
        <f aca="false">IF('Current Index'!2039:2039,"AAAAAHf7uPc=",0)</f>
        <v>0</v>
      </c>
      <c r="IO43" s="22" t="n">
        <f aca="false">IF('Current Index'!2040:2040,"AAAAAHf7uPg=",0)</f>
        <v>0</v>
      </c>
      <c r="IP43" s="22" t="n">
        <f aca="false">IF('Current Index'!2041:2041,"AAAAAHf7uPk=",0)</f>
        <v>0</v>
      </c>
      <c r="IQ43" s="22" t="n">
        <f aca="false">IF('Current Index'!2042:2042,"AAAAAHf7uPo=",0)</f>
        <v>0</v>
      </c>
      <c r="IR43" s="22" t="n">
        <f aca="false">IF('Current Index'!2043:2043,"AAAAAHf7uPs=",0)</f>
        <v>0</v>
      </c>
      <c r="IS43" s="22" t="n">
        <f aca="false">IF('Current Index'!2044:2044,"AAAAAHf7uPw=",0)</f>
        <v>0</v>
      </c>
      <c r="IT43" s="22" t="n">
        <f aca="false">IF('Current Index'!2045:2045,"AAAAAHf7uP0=",0)</f>
        <v>0</v>
      </c>
      <c r="IU43" s="22" t="n">
        <f aca="false">IF('Current Index'!2046:2046,"AAAAAHf7uP4=",0)</f>
        <v>0</v>
      </c>
      <c r="IV43" s="22" t="n">
        <f aca="false">IF('Current Index'!2047:2047,"AAAAAHf7uP8=",0)</f>
        <v>0</v>
      </c>
    </row>
    <row r="44" customFormat="false" ht="12.75" hidden="false" customHeight="false" outlineLevel="0" collapsed="false">
      <c r="A44" s="22" t="n">
        <f aca="false">IF('Current Index'!2048:2048,"AAAAAD30dgA=",0)</f>
        <v>0</v>
      </c>
      <c r="B44" s="22" t="n">
        <f aca="false">IF('Current Index'!2049:2049,"AAAAAD30dgE=",0)</f>
        <v>0</v>
      </c>
      <c r="C44" s="22" t="n">
        <f aca="false">IF('Current Index'!2050:2050,"AAAAAD30dgI=",0)</f>
        <v>0</v>
      </c>
      <c r="D44" s="22" t="n">
        <f aca="false">IF('Current Index'!2051:2051,"AAAAAD30dgM=",0)</f>
        <v>0</v>
      </c>
      <c r="E44" s="22" t="n">
        <f aca="false">IF('Current Index'!2052:2052,"AAAAAD30dgQ=",0)</f>
        <v>0</v>
      </c>
      <c r="F44" s="22" t="n">
        <f aca="false">IF('Current Index'!2053:2053,"AAAAAD30dgU=",0)</f>
        <v>0</v>
      </c>
      <c r="G44" s="22" t="n">
        <f aca="false">IF('Current Index'!2054:2054,"AAAAAD30dgY=",0)</f>
        <v>0</v>
      </c>
      <c r="H44" s="22" t="n">
        <f aca="false">IF('Current Index'!2055:2055,"AAAAAD30dgc=",0)</f>
        <v>0</v>
      </c>
      <c r="I44" s="22" t="n">
        <f aca="false">IF('Current Index'!2056:2056,"AAAAAD30dgg=",0)</f>
        <v>0</v>
      </c>
      <c r="J44" s="22" t="n">
        <f aca="false">IF('Current Index'!2057:2057,"AAAAAD30dgk=",0)</f>
        <v>0</v>
      </c>
      <c r="K44" s="22" t="n">
        <f aca="false">IF('Current Index'!2058:2058,"AAAAAD30dgo=",0)</f>
        <v>0</v>
      </c>
      <c r="L44" s="22" t="n">
        <f aca="false">IF('Current Index'!2059:2059,"AAAAAD30dgs=",0)</f>
        <v>0</v>
      </c>
      <c r="M44" s="22" t="n">
        <f aca="false">IF('Current Index'!2060:2060,"AAAAAD30dgw=",0)</f>
        <v>0</v>
      </c>
      <c r="N44" s="22" t="n">
        <f aca="false">IF('Current Index'!2061:2061,"AAAAAD30dg0=",0)</f>
        <v>0</v>
      </c>
      <c r="O44" s="22" t="n">
        <f aca="false">IF('Current Index'!2062:2062,"AAAAAD30dg4=",0)</f>
        <v>0</v>
      </c>
      <c r="P44" s="22" t="n">
        <f aca="false">IF('Current Index'!2063:2063,"AAAAAD30dg8=",0)</f>
        <v>0</v>
      </c>
      <c r="Q44" s="22" t="n">
        <f aca="false">IF('Current Index'!2064:2064,"AAAAAD30dhA=",0)</f>
        <v>0</v>
      </c>
      <c r="R44" s="22" t="n">
        <f aca="false">IF('Current Index'!2065:2065,"AAAAAD30dhE=",0)</f>
        <v>0</v>
      </c>
      <c r="S44" s="22" t="n">
        <f aca="false">IF('Current Index'!2066:2066,"AAAAAD30dhI=",0)</f>
        <v>0</v>
      </c>
      <c r="T44" s="22" t="n">
        <f aca="false">IF('Current Index'!2067:2067,"AAAAAD30dhM=",0)</f>
        <v>0</v>
      </c>
      <c r="U44" s="22" t="n">
        <f aca="false">IF('Current Index'!2068:2068,"AAAAAD30dhQ=",0)</f>
        <v>0</v>
      </c>
      <c r="V44" s="22" t="n">
        <f aca="false">IF('Current Index'!2069:2069,"AAAAAD30dhU=",0)</f>
        <v>0</v>
      </c>
      <c r="W44" s="22" t="n">
        <f aca="false">IF('Current Index'!2070:2070,"AAAAAD30dhY=",0)</f>
        <v>0</v>
      </c>
      <c r="X44" s="22" t="n">
        <f aca="false">IF('Current Index'!2071:2071,"AAAAAD30dhc=",0)</f>
        <v>0</v>
      </c>
      <c r="Y44" s="22" t="n">
        <f aca="false">IF('Current Index'!2072:2072,"AAAAAD30dhg=",0)</f>
        <v>0</v>
      </c>
      <c r="Z44" s="22" t="n">
        <f aca="false">IF('Current Index'!2073:2073,"AAAAAD30dhk=",0)</f>
        <v>0</v>
      </c>
      <c r="AA44" s="22" t="n">
        <f aca="false">IF('Current Index'!2074:2074,"AAAAAD30dho=",0)</f>
        <v>0</v>
      </c>
      <c r="AB44" s="22" t="n">
        <f aca="false">IF('Current Index'!2075:2075,"AAAAAD30dhs=",0)</f>
        <v>0</v>
      </c>
      <c r="AC44" s="22" t="n">
        <f aca="false">IF('Current Index'!2076:2076,"AAAAAD30dhw=",0)</f>
        <v>0</v>
      </c>
      <c r="AD44" s="22" t="n">
        <f aca="false">IF('Current Index'!2077:2077,"AAAAAD30dh0=",0)</f>
        <v>0</v>
      </c>
      <c r="AE44" s="22" t="n">
        <f aca="false">IF('Current Index'!2078:2078,"AAAAAD30dh4=",0)</f>
        <v>0</v>
      </c>
      <c r="AF44" s="22" t="n">
        <f aca="false">IF('Current Index'!2079:2079,"AAAAAD30dh8=",0)</f>
        <v>0</v>
      </c>
      <c r="AG44" s="22" t="n">
        <f aca="false">IF('Current Index'!2080:2080,"AAAAAD30diA=",0)</f>
        <v>0</v>
      </c>
      <c r="AH44" s="22" t="n">
        <f aca="false">IF('Current Index'!2081:2081,"AAAAAD30diE=",0)</f>
        <v>0</v>
      </c>
      <c r="AI44" s="22" t="n">
        <f aca="false">IF('Current Index'!2082:2082,"AAAAAD30diI=",0)</f>
        <v>0</v>
      </c>
      <c r="AJ44" s="22" t="n">
        <f aca="false">IF('Current Index'!2083:2083,"AAAAAD30diM=",0)</f>
        <v>0</v>
      </c>
      <c r="AK44" s="22" t="n">
        <f aca="false">IF('Current Index'!2084:2084,"AAAAAD30diQ=",0)</f>
        <v>0</v>
      </c>
      <c r="AL44" s="22" t="n">
        <f aca="false">IF('Current Index'!2085:2085,"AAAAAD30diU=",0)</f>
        <v>0</v>
      </c>
      <c r="AM44" s="22" t="n">
        <f aca="false">IF('Current Index'!2086:2086,"AAAAAD30diY=",0)</f>
        <v>0</v>
      </c>
      <c r="AN44" s="22" t="n">
        <f aca="false">IF('Current Index'!2087:2087,"AAAAAD30dic=",0)</f>
        <v>0</v>
      </c>
      <c r="AO44" s="22" t="n">
        <f aca="false">IF('Current Index'!2088:2088,"AAAAAD30dig=",0)</f>
        <v>0</v>
      </c>
      <c r="AP44" s="22" t="n">
        <f aca="false">IF('Current Index'!2089:2089,"AAAAAD30dik=",0)</f>
        <v>0</v>
      </c>
      <c r="AQ44" s="22" t="n">
        <f aca="false">IF('Current Index'!2090:2090,"AAAAAD30dio=",0)</f>
        <v>0</v>
      </c>
      <c r="AR44" s="22" t="n">
        <f aca="false">IF('Current Index'!2091:2091,"AAAAAD30dis=",0)</f>
        <v>0</v>
      </c>
      <c r="AS44" s="22" t="n">
        <f aca="false">IF('Current Index'!2092:2092,"AAAAAD30diw=",0)</f>
        <v>0</v>
      </c>
      <c r="AT44" s="22" t="n">
        <f aca="false">IF('Current Index'!2093:2093,"AAAAAD30di0=",0)</f>
        <v>0</v>
      </c>
      <c r="AU44" s="22" t="n">
        <f aca="false">IF('Current Index'!2094:2094,"AAAAAD30di4=",0)</f>
        <v>0</v>
      </c>
      <c r="AV44" s="22" t="n">
        <f aca="false">IF('Current Index'!2095:2095,"AAAAAD30di8=",0)</f>
        <v>0</v>
      </c>
      <c r="AW44" s="22" t="n">
        <f aca="false">IF('Current Index'!2096:2096,"AAAAAD30djA=",0)</f>
        <v>0</v>
      </c>
      <c r="AX44" s="22" t="n">
        <f aca="false">IF('Current Index'!2097:2097,"AAAAAD30djE=",0)</f>
        <v>0</v>
      </c>
      <c r="AY44" s="22" t="n">
        <f aca="false">IF('Current Index'!2098:2098,"AAAAAD30djI=",0)</f>
        <v>0</v>
      </c>
      <c r="AZ44" s="22" t="n">
        <f aca="false">IF('Current Index'!2099:2099,"AAAAAD30djM=",0)</f>
        <v>0</v>
      </c>
      <c r="BA44" s="22" t="n">
        <f aca="false">IF('Current Index'!2100:2100,"AAAAAD30djQ=",0)</f>
        <v>0</v>
      </c>
      <c r="BB44" s="22" t="n">
        <f aca="false">IF('Current Index'!2101:2101,"AAAAAD30djU=",0)</f>
        <v>0</v>
      </c>
      <c r="BC44" s="22" t="n">
        <f aca="false">IF('Current Index'!2102:2102,"AAAAAD30djY=",0)</f>
        <v>0</v>
      </c>
      <c r="BD44" s="22" t="n">
        <f aca="false">IF('Current Index'!2103:2103,"AAAAAD30djc=",0)</f>
        <v>0</v>
      </c>
      <c r="BE44" s="22" t="n">
        <f aca="false">IF('Current Index'!2104:2104,"AAAAAD30djg=",0)</f>
        <v>0</v>
      </c>
      <c r="BF44" s="22" t="n">
        <f aca="false">IF('Current Index'!2105:2105,"AAAAAD30djk=",0)</f>
        <v>0</v>
      </c>
      <c r="BG44" s="22" t="n">
        <f aca="false">IF('Current Index'!2106:2106,"AAAAAD30djo=",0)</f>
        <v>0</v>
      </c>
      <c r="BH44" s="22" t="n">
        <f aca="false">IF('Current Index'!2107:2107,"AAAAAD30djs=",0)</f>
        <v>0</v>
      </c>
      <c r="BI44" s="22" t="n">
        <f aca="false">IF('Current Index'!2108:2108,"AAAAAD30djw=",0)</f>
        <v>0</v>
      </c>
      <c r="BJ44" s="22" t="n">
        <f aca="false">IF('Current Index'!2109:2109,"AAAAAD30dj0=",0)</f>
        <v>0</v>
      </c>
      <c r="BK44" s="22" t="n">
        <f aca="false">IF('Current Index'!2110:2110,"AAAAAD30dj4=",0)</f>
        <v>0</v>
      </c>
      <c r="BL44" s="22" t="n">
        <f aca="false">IF('Current Index'!2111:2111,"AAAAAD30dj8=",0)</f>
        <v>0</v>
      </c>
      <c r="BM44" s="22" t="n">
        <f aca="false">IF('Current Index'!2112:2112,"AAAAAD30dkA=",0)</f>
        <v>0</v>
      </c>
      <c r="BN44" s="22" t="n">
        <f aca="false">IF('Current Index'!2113:2113,"AAAAAD30dkE=",0)</f>
        <v>0</v>
      </c>
      <c r="BO44" s="22" t="n">
        <f aca="false">IF('Current Index'!2114:2114,"AAAAAD30dkI=",0)</f>
        <v>0</v>
      </c>
      <c r="BP44" s="22" t="n">
        <f aca="false">IF('Current Index'!A:A,"AAAAAD30dkM=",0)</f>
        <v>0</v>
      </c>
      <c r="BQ44" s="22" t="e">
        <f aca="false">IF('current index'!#ref!,"AAAAAD30dkQ=",0)</f>
        <v>#VALUE!</v>
      </c>
      <c r="BR44" s="22" t="e">
        <f aca="false">IF('Current Index'!B:B,"AAAAAD30dkU=",0)</f>
        <v>#VALUE!</v>
      </c>
      <c r="BS44" s="22" t="e">
        <f aca="false">IF('Current Index'!C:C,"AAAAAD30dkY=",0)</f>
        <v>#VALUE!</v>
      </c>
      <c r="BT44" s="22" t="n">
        <f aca="false">IF('Current Index'!D:D,"AAAAAD30dkc=",0)</f>
        <v>0</v>
      </c>
      <c r="BU44" s="22" t="e">
        <f aca="false">IF('Current Index'!E:E,"AAAAAD30dkg=",0)</f>
        <v>#VALUE!</v>
      </c>
      <c r="BV44" s="22" t="str">
        <f aca="false">IF('Current Index'!F:F,"AAAAAD30dkk=",0)</f>
        <v>AAAAAD30dkk=</v>
      </c>
      <c r="BW44" s="22" t="e">
        <f aca="false">IF('Current Index'!G:G,"AAAAAD30dko=",0)</f>
        <v>#VALUE!</v>
      </c>
      <c r="BX44" s="22" t="e">
        <f aca="false">IF('Current Index'!H:H,"AAAAAD30dks=",0)</f>
        <v>#VALUE!</v>
      </c>
      <c r="BY44" s="22" t="n">
        <f aca="false">IF('Current Index'!I:I,"AAAAAD30dkw=",0)</f>
        <v>0</v>
      </c>
      <c r="BZ44" s="22" t="e">
        <f aca="false">IF(#REF!,"AAAAAD30dk0=",0)</f>
        <v>#REF!</v>
      </c>
      <c r="CA44" s="22" t="e">
        <f aca="false">AND(#REF!,"AAAAAD30dk4=")</f>
        <v>#VALUE!</v>
      </c>
      <c r="CB44" s="22" t="e">
        <f aca="false">AND(#REF!,"AAAAAD30dk8=")</f>
        <v>#VALUE!</v>
      </c>
      <c r="CC44" s="22" t="e">
        <f aca="false">AND(#REF!,"AAAAAD30dlA=")</f>
        <v>#VALUE!</v>
      </c>
      <c r="CD44" s="22" t="e">
        <f aca="false">AND(#REF!,"AAAAAD30dlE=")</f>
        <v>#VALUE!</v>
      </c>
      <c r="CE44" s="22" t="e">
        <f aca="false">AND(#REF!,"AAAAAD30dlI=")</f>
        <v>#VALUE!</v>
      </c>
      <c r="CF44" s="22" t="e">
        <f aca="false">AND(#REF!,"AAAAAD30dlM=")</f>
        <v>#VALUE!</v>
      </c>
      <c r="CG44" s="22" t="e">
        <f aca="false">IF(#REF!,"AAAAAD30dlQ=",0)</f>
        <v>#REF!</v>
      </c>
      <c r="CH44" s="22" t="e">
        <f aca="false">AND(#REF!,"AAAAAD30dlU=")</f>
        <v>#VALUE!</v>
      </c>
      <c r="CI44" s="22" t="e">
        <f aca="false">AND(#REF!,"AAAAAD30dlY=")</f>
        <v>#VALUE!</v>
      </c>
      <c r="CJ44" s="22" t="e">
        <f aca="false">AND(#REF!,"AAAAAD30dlc=")</f>
        <v>#VALUE!</v>
      </c>
      <c r="CK44" s="22" t="e">
        <f aca="false">AND(#REF!,"AAAAAD30dlg=")</f>
        <v>#VALUE!</v>
      </c>
      <c r="CL44" s="22" t="e">
        <f aca="false">AND(#REF!,"AAAAAD30dlk=")</f>
        <v>#VALUE!</v>
      </c>
      <c r="CM44" s="22" t="e">
        <f aca="false">AND(#REF!,"AAAAAD30dlo=")</f>
        <v>#VALUE!</v>
      </c>
      <c r="CN44" s="22" t="e">
        <f aca="false">IF(#REF!,"AAAAAD30dls=",0)</f>
        <v>#REF!</v>
      </c>
      <c r="CO44" s="22" t="e">
        <f aca="false">AND(#REF!,"AAAAAD30dlw=")</f>
        <v>#VALUE!</v>
      </c>
      <c r="CP44" s="22" t="e">
        <f aca="false">AND(#REF!,"AAAAAD30dl0=")</f>
        <v>#VALUE!</v>
      </c>
      <c r="CQ44" s="22" t="e">
        <f aca="false">AND(#REF!,"AAAAAD30dl4=")</f>
        <v>#VALUE!</v>
      </c>
      <c r="CR44" s="22" t="e">
        <f aca="false">AND(#REF!,"AAAAAD30dl8=")</f>
        <v>#VALUE!</v>
      </c>
      <c r="CS44" s="22" t="e">
        <f aca="false">AND(#REF!,"AAAAAD30dmA=")</f>
        <v>#VALUE!</v>
      </c>
      <c r="CT44" s="22" t="e">
        <f aca="false">AND(#REF!,"AAAAAD30dmE=")</f>
        <v>#VALUE!</v>
      </c>
      <c r="CU44" s="22" t="e">
        <f aca="false">IF(#REF!,"AAAAAD30dmI=",0)</f>
        <v>#REF!</v>
      </c>
      <c r="CV44" s="22" t="e">
        <f aca="false">AND(#REF!,"AAAAAD30dmM=")</f>
        <v>#VALUE!</v>
      </c>
      <c r="CW44" s="22" t="e">
        <f aca="false">AND(#REF!,"AAAAAD30dmQ=")</f>
        <v>#VALUE!</v>
      </c>
      <c r="CX44" s="22" t="e">
        <f aca="false">AND(#REF!,"AAAAAD30dmU=")</f>
        <v>#VALUE!</v>
      </c>
      <c r="CY44" s="22" t="e">
        <f aca="false">AND(#REF!,"AAAAAD30dmY=")</f>
        <v>#VALUE!</v>
      </c>
      <c r="CZ44" s="22" t="e">
        <f aca="false">AND(#REF!,"AAAAAD30dmc=")</f>
        <v>#VALUE!</v>
      </c>
      <c r="DA44" s="22" t="e">
        <f aca="false">AND(#REF!,"AAAAAD30dmg=")</f>
        <v>#VALUE!</v>
      </c>
      <c r="DB44" s="22" t="e">
        <f aca="false">IF(#REF!,"AAAAAD30dmk=",0)</f>
        <v>#REF!</v>
      </c>
      <c r="DC44" s="22" t="e">
        <f aca="false">AND(#REF!,"AAAAAD30dmo=")</f>
        <v>#VALUE!</v>
      </c>
      <c r="DD44" s="22" t="e">
        <f aca="false">AND(#REF!,"AAAAAD30dms=")</f>
        <v>#VALUE!</v>
      </c>
      <c r="DE44" s="22" t="e">
        <f aca="false">AND(#REF!,"AAAAAD30dmw=")</f>
        <v>#VALUE!</v>
      </c>
      <c r="DF44" s="22" t="e">
        <f aca="false">AND(#REF!,"AAAAAD30dm0=")</f>
        <v>#VALUE!</v>
      </c>
      <c r="DG44" s="22" t="e">
        <f aca="false">AND(#REF!,"AAAAAD30dm4=")</f>
        <v>#VALUE!</v>
      </c>
      <c r="DH44" s="22" t="e">
        <f aca="false">AND(#REF!,"AAAAAD30dm8=")</f>
        <v>#VALUE!</v>
      </c>
      <c r="DI44" s="22" t="e">
        <f aca="false">IF(#REF!,"AAAAAD30dnA=",0)</f>
        <v>#REF!</v>
      </c>
      <c r="DJ44" s="22" t="e">
        <f aca="false">AND(#REF!,"AAAAAD30dnE=")</f>
        <v>#VALUE!</v>
      </c>
      <c r="DK44" s="22" t="e">
        <f aca="false">AND(#REF!,"AAAAAD30dnI=")</f>
        <v>#VALUE!</v>
      </c>
      <c r="DL44" s="22" t="e">
        <f aca="false">AND(#REF!,"AAAAAD30dnM=")</f>
        <v>#VALUE!</v>
      </c>
      <c r="DM44" s="22" t="e">
        <f aca="false">AND(#REF!,"AAAAAD30dnQ=")</f>
        <v>#VALUE!</v>
      </c>
      <c r="DN44" s="22" t="e">
        <f aca="false">AND(#REF!,"AAAAAD30dnU=")</f>
        <v>#VALUE!</v>
      </c>
      <c r="DO44" s="22" t="e">
        <f aca="false">AND(#REF!,"AAAAAD30dnY=")</f>
        <v>#VALUE!</v>
      </c>
      <c r="DP44" s="22" t="e">
        <f aca="false">IF(#REF!,"AAAAAD30dnc=",0)</f>
        <v>#REF!</v>
      </c>
      <c r="DQ44" s="22" t="e">
        <f aca="false">AND(#REF!,"AAAAAD30dng=")</f>
        <v>#VALUE!</v>
      </c>
      <c r="DR44" s="22" t="e">
        <f aca="false">AND(#REF!,"AAAAAD30dnk=")</f>
        <v>#VALUE!</v>
      </c>
      <c r="DS44" s="22" t="e">
        <f aca="false">AND(#REF!,"AAAAAD30dno=")</f>
        <v>#VALUE!</v>
      </c>
      <c r="DT44" s="22" t="e">
        <f aca="false">AND(#REF!,"AAAAAD30dns=")</f>
        <v>#VALUE!</v>
      </c>
      <c r="DU44" s="22" t="e">
        <f aca="false">AND(#REF!,"AAAAAD30dnw=")</f>
        <v>#VALUE!</v>
      </c>
      <c r="DV44" s="22" t="e">
        <f aca="false">AND(#REF!,"AAAAAD30dn0=")</f>
        <v>#VALUE!</v>
      </c>
      <c r="DW44" s="22" t="e">
        <f aca="false">IF(#REF!,"AAAAAD30dn4=",0)</f>
        <v>#REF!</v>
      </c>
      <c r="DX44" s="22" t="e">
        <f aca="false">AND(#REF!,"AAAAAD30dn8=")</f>
        <v>#VALUE!</v>
      </c>
      <c r="DY44" s="22" t="e">
        <f aca="false">AND(#REF!,"AAAAAD30doA=")</f>
        <v>#VALUE!</v>
      </c>
      <c r="DZ44" s="22" t="e">
        <f aca="false">AND(#REF!,"AAAAAD30doE=")</f>
        <v>#VALUE!</v>
      </c>
      <c r="EA44" s="22" t="e">
        <f aca="false">AND(#REF!,"AAAAAD30doI=")</f>
        <v>#VALUE!</v>
      </c>
      <c r="EB44" s="22" t="e">
        <f aca="false">AND(#REF!,"AAAAAD30doM=")</f>
        <v>#VALUE!</v>
      </c>
      <c r="EC44" s="22" t="e">
        <f aca="false">AND(#REF!,"AAAAAD30doQ=")</f>
        <v>#VALUE!</v>
      </c>
      <c r="ED44" s="22" t="e">
        <f aca="false">IF(#REF!,"AAAAAD30doU=",0)</f>
        <v>#REF!</v>
      </c>
      <c r="EE44" s="22" t="e">
        <f aca="false">AND(#REF!,"AAAAAD30doY=")</f>
        <v>#VALUE!</v>
      </c>
      <c r="EF44" s="22" t="e">
        <f aca="false">AND(#REF!,"AAAAAD30doc=")</f>
        <v>#VALUE!</v>
      </c>
      <c r="EG44" s="22" t="e">
        <f aca="false">AND(#REF!,"AAAAAD30dog=")</f>
        <v>#VALUE!</v>
      </c>
      <c r="EH44" s="22" t="e">
        <f aca="false">AND(#REF!,"AAAAAD30dok=")</f>
        <v>#VALUE!</v>
      </c>
      <c r="EI44" s="22" t="e">
        <f aca="false">AND(#REF!,"AAAAAD30doo=")</f>
        <v>#VALUE!</v>
      </c>
      <c r="EJ44" s="22" t="e">
        <f aca="false">AND(#REF!,"AAAAAD30dos=")</f>
        <v>#VALUE!</v>
      </c>
      <c r="EK44" s="22" t="e">
        <f aca="false">IF(#REF!,"AAAAAD30dow=",0)</f>
        <v>#REF!</v>
      </c>
      <c r="EL44" s="22" t="e">
        <f aca="false">AND(#REF!,"AAAAAD30do0=")</f>
        <v>#VALUE!</v>
      </c>
      <c r="EM44" s="22" t="e">
        <f aca="false">AND(#REF!,"AAAAAD30do4=")</f>
        <v>#VALUE!</v>
      </c>
      <c r="EN44" s="22" t="e">
        <f aca="false">AND(#REF!,"AAAAAD30do8=")</f>
        <v>#VALUE!</v>
      </c>
      <c r="EO44" s="22" t="e">
        <f aca="false">AND(#REF!,"AAAAAD30dpA=")</f>
        <v>#VALUE!</v>
      </c>
      <c r="EP44" s="22" t="e">
        <f aca="false">AND(#REF!,"AAAAAD30dpE=")</f>
        <v>#VALUE!</v>
      </c>
      <c r="EQ44" s="22" t="e">
        <f aca="false">AND(#REF!,"AAAAAD30dpI=")</f>
        <v>#VALUE!</v>
      </c>
      <c r="ER44" s="22" t="e">
        <f aca="false">IF(#REF!,"AAAAAD30dpM=",0)</f>
        <v>#REF!</v>
      </c>
      <c r="ES44" s="22" t="e">
        <f aca="false">AND(#REF!,"AAAAAD30dpQ=")</f>
        <v>#VALUE!</v>
      </c>
      <c r="ET44" s="22" t="e">
        <f aca="false">AND(#REF!,"AAAAAD30dpU=")</f>
        <v>#VALUE!</v>
      </c>
      <c r="EU44" s="22" t="e">
        <f aca="false">AND(#REF!,"AAAAAD30dpY=")</f>
        <v>#VALUE!</v>
      </c>
      <c r="EV44" s="22" t="e">
        <f aca="false">AND(#REF!,"AAAAAD30dpc=")</f>
        <v>#VALUE!</v>
      </c>
      <c r="EW44" s="22" t="e">
        <f aca="false">AND(#REF!,"AAAAAD30dpg=")</f>
        <v>#VALUE!</v>
      </c>
      <c r="EX44" s="22" t="e">
        <f aca="false">AND(#REF!,"AAAAAD30dpk=")</f>
        <v>#VALUE!</v>
      </c>
      <c r="EY44" s="22" t="e">
        <f aca="false">IF(#REF!,"AAAAAD30dpo=",0)</f>
        <v>#REF!</v>
      </c>
      <c r="EZ44" s="22" t="e">
        <f aca="false">AND(#REF!,"AAAAAD30dps=")</f>
        <v>#VALUE!</v>
      </c>
      <c r="FA44" s="22" t="e">
        <f aca="false">AND(#REF!,"AAAAAD30dpw=")</f>
        <v>#VALUE!</v>
      </c>
      <c r="FB44" s="22" t="e">
        <f aca="false">AND(#REF!,"AAAAAD30dp0=")</f>
        <v>#VALUE!</v>
      </c>
      <c r="FC44" s="22" t="e">
        <f aca="false">AND(#REF!,"AAAAAD30dp4=")</f>
        <v>#VALUE!</v>
      </c>
      <c r="FD44" s="22" t="e">
        <f aca="false">AND(#REF!,"AAAAAD30dp8=")</f>
        <v>#VALUE!</v>
      </c>
      <c r="FE44" s="22" t="e">
        <f aca="false">AND(#REF!,"AAAAAD30dqA=")</f>
        <v>#VALUE!</v>
      </c>
      <c r="FF44" s="22" t="e">
        <f aca="false">IF(#REF!,"AAAAAD30dqE=",0)</f>
        <v>#REF!</v>
      </c>
      <c r="FG44" s="22" t="e">
        <f aca="false">AND(#REF!,"AAAAAD30dqI=")</f>
        <v>#VALUE!</v>
      </c>
      <c r="FH44" s="22" t="e">
        <f aca="false">AND(#REF!,"AAAAAD30dqM=")</f>
        <v>#VALUE!</v>
      </c>
      <c r="FI44" s="22" t="e">
        <f aca="false">AND(#REF!,"AAAAAD30dqQ=")</f>
        <v>#VALUE!</v>
      </c>
      <c r="FJ44" s="22" t="e">
        <f aca="false">AND(#REF!,"AAAAAD30dqU=")</f>
        <v>#VALUE!</v>
      </c>
      <c r="FK44" s="22" t="e">
        <f aca="false">AND(#REF!,"AAAAAD30dqY=")</f>
        <v>#VALUE!</v>
      </c>
      <c r="FL44" s="22" t="e">
        <f aca="false">AND(#REF!,"AAAAAD30dqc=")</f>
        <v>#VALUE!</v>
      </c>
      <c r="FM44" s="22" t="e">
        <f aca="false">IF(#REF!,"AAAAAD30dqg=",0)</f>
        <v>#REF!</v>
      </c>
      <c r="FN44" s="22" t="e">
        <f aca="false">AND(#REF!,"AAAAAD30dqk=")</f>
        <v>#VALUE!</v>
      </c>
      <c r="FO44" s="22" t="e">
        <f aca="false">AND(#REF!,"AAAAAD30dqo=")</f>
        <v>#VALUE!</v>
      </c>
      <c r="FP44" s="22" t="e">
        <f aca="false">AND(#REF!,"AAAAAD30dqs=")</f>
        <v>#VALUE!</v>
      </c>
      <c r="FQ44" s="22" t="e">
        <f aca="false">AND(#REF!,"AAAAAD30dqw=")</f>
        <v>#VALUE!</v>
      </c>
      <c r="FR44" s="22" t="e">
        <f aca="false">AND(#REF!,"AAAAAD30dq0=")</f>
        <v>#VALUE!</v>
      </c>
      <c r="FS44" s="22" t="e">
        <f aca="false">AND(#REF!,"AAAAAD30dq4=")</f>
        <v>#VALUE!</v>
      </c>
      <c r="FT44" s="22" t="e">
        <f aca="false">IF(#REF!,"AAAAAD30dq8=",0)</f>
        <v>#REF!</v>
      </c>
      <c r="FU44" s="22" t="e">
        <f aca="false">AND(#REF!,"AAAAAD30drA=")</f>
        <v>#VALUE!</v>
      </c>
      <c r="FV44" s="22" t="e">
        <f aca="false">AND(#REF!,"AAAAAD30drE=")</f>
        <v>#VALUE!</v>
      </c>
      <c r="FW44" s="22" t="e">
        <f aca="false">AND(#REF!,"AAAAAD30drI=")</f>
        <v>#VALUE!</v>
      </c>
      <c r="FX44" s="22" t="e">
        <f aca="false">AND(#REF!,"AAAAAD30drM=")</f>
        <v>#VALUE!</v>
      </c>
      <c r="FY44" s="22" t="e">
        <f aca="false">AND(#REF!,"AAAAAD30drQ=")</f>
        <v>#VALUE!</v>
      </c>
      <c r="FZ44" s="22" t="e">
        <f aca="false">AND(#REF!,"AAAAAD30drU=")</f>
        <v>#VALUE!</v>
      </c>
      <c r="GA44" s="22" t="e">
        <f aca="false">IF(#REF!,"AAAAAD30drY=",0)</f>
        <v>#REF!</v>
      </c>
      <c r="GB44" s="22" t="e">
        <f aca="false">AND(#REF!,"AAAAAD30drc=")</f>
        <v>#VALUE!</v>
      </c>
      <c r="GC44" s="22" t="e">
        <f aca="false">AND(#REF!,"AAAAAD30drg=")</f>
        <v>#VALUE!</v>
      </c>
      <c r="GD44" s="22" t="e">
        <f aca="false">AND(#REF!,"AAAAAD30drk=")</f>
        <v>#VALUE!</v>
      </c>
      <c r="GE44" s="22" t="e">
        <f aca="false">AND(#REF!,"AAAAAD30dro=")</f>
        <v>#VALUE!</v>
      </c>
      <c r="GF44" s="22" t="e">
        <f aca="false">AND(#REF!,"AAAAAD30drs=")</f>
        <v>#VALUE!</v>
      </c>
      <c r="GG44" s="22" t="e">
        <f aca="false">AND(#REF!,"AAAAAD30drw=")</f>
        <v>#VALUE!</v>
      </c>
      <c r="GH44" s="22" t="e">
        <f aca="false">IF(#REF!,"AAAAAD30dr0=",0)</f>
        <v>#REF!</v>
      </c>
      <c r="GI44" s="22" t="e">
        <f aca="false">AND(#REF!,"AAAAAD30dr4=")</f>
        <v>#VALUE!</v>
      </c>
      <c r="GJ44" s="22" t="e">
        <f aca="false">AND(#REF!,"AAAAAD30dr8=")</f>
        <v>#VALUE!</v>
      </c>
      <c r="GK44" s="22" t="e">
        <f aca="false">AND(#REF!,"AAAAAD30dsA=")</f>
        <v>#VALUE!</v>
      </c>
      <c r="GL44" s="22" t="e">
        <f aca="false">AND(#REF!,"AAAAAD30dsE=")</f>
        <v>#VALUE!</v>
      </c>
      <c r="GM44" s="22" t="e">
        <f aca="false">AND(#REF!,"AAAAAD30dsI=")</f>
        <v>#VALUE!</v>
      </c>
      <c r="GN44" s="22" t="e">
        <f aca="false">AND(#REF!,"AAAAAD30dsM=")</f>
        <v>#VALUE!</v>
      </c>
      <c r="GO44" s="22" t="e">
        <f aca="false">IF(#REF!,"AAAAAD30dsQ=",0)</f>
        <v>#REF!</v>
      </c>
      <c r="GP44" s="22" t="e">
        <f aca="false">AND(#REF!,"AAAAAD30dsU=")</f>
        <v>#VALUE!</v>
      </c>
      <c r="GQ44" s="22" t="e">
        <f aca="false">AND(#REF!,"AAAAAD30dsY=")</f>
        <v>#VALUE!</v>
      </c>
      <c r="GR44" s="22" t="e">
        <f aca="false">AND(#REF!,"AAAAAD30dsc=")</f>
        <v>#VALUE!</v>
      </c>
      <c r="GS44" s="22" t="e">
        <f aca="false">AND(#REF!,"AAAAAD30dsg=")</f>
        <v>#VALUE!</v>
      </c>
      <c r="GT44" s="22" t="e">
        <f aca="false">AND(#REF!,"AAAAAD30dsk=")</f>
        <v>#VALUE!</v>
      </c>
      <c r="GU44" s="22" t="e">
        <f aca="false">AND(#REF!,"AAAAAD30dso=")</f>
        <v>#VALUE!</v>
      </c>
      <c r="GV44" s="22" t="e">
        <f aca="false">IF(#REF!,"AAAAAD30dss=",0)</f>
        <v>#REF!</v>
      </c>
      <c r="GW44" s="22" t="e">
        <f aca="false">AND(#REF!,"AAAAAD30dsw=")</f>
        <v>#VALUE!</v>
      </c>
      <c r="GX44" s="22" t="e">
        <f aca="false">AND(#REF!,"AAAAAD30ds0=")</f>
        <v>#VALUE!</v>
      </c>
      <c r="GY44" s="22" t="e">
        <f aca="false">AND(#REF!,"AAAAAD30ds4=")</f>
        <v>#VALUE!</v>
      </c>
      <c r="GZ44" s="22" t="e">
        <f aca="false">AND(#REF!,"AAAAAD30ds8=")</f>
        <v>#VALUE!</v>
      </c>
      <c r="HA44" s="22" t="e">
        <f aca="false">AND(#REF!,"AAAAAD30dtA=")</f>
        <v>#VALUE!</v>
      </c>
      <c r="HB44" s="22" t="e">
        <f aca="false">AND(#REF!,"AAAAAD30dtE=")</f>
        <v>#VALUE!</v>
      </c>
      <c r="HC44" s="22" t="e">
        <f aca="false">IF(#REF!,"AAAAAD30dtI=",0)</f>
        <v>#REF!</v>
      </c>
      <c r="HD44" s="22" t="e">
        <f aca="false">AND(#REF!,"AAAAAD30dtM=")</f>
        <v>#VALUE!</v>
      </c>
      <c r="HE44" s="22" t="e">
        <f aca="false">AND(#REF!,"AAAAAD30dtQ=")</f>
        <v>#VALUE!</v>
      </c>
      <c r="HF44" s="22" t="e">
        <f aca="false">AND(#REF!,"AAAAAD30dtU=")</f>
        <v>#VALUE!</v>
      </c>
      <c r="HG44" s="22" t="e">
        <f aca="false">AND(#REF!,"AAAAAD30dtY=")</f>
        <v>#VALUE!</v>
      </c>
      <c r="HH44" s="22" t="e">
        <f aca="false">AND(#REF!,"AAAAAD30dtc=")</f>
        <v>#VALUE!</v>
      </c>
      <c r="HI44" s="22" t="e">
        <f aca="false">AND(#REF!,"AAAAAD30dtg=")</f>
        <v>#VALUE!</v>
      </c>
      <c r="HJ44" s="22" t="e">
        <f aca="false">IF(#REF!,"AAAAAD30dtk=",0)</f>
        <v>#REF!</v>
      </c>
      <c r="HK44" s="22" t="e">
        <f aca="false">AND(#REF!,"AAAAAD30dto=")</f>
        <v>#VALUE!</v>
      </c>
      <c r="HL44" s="22" t="e">
        <f aca="false">AND(#REF!,"AAAAAD30dts=")</f>
        <v>#VALUE!</v>
      </c>
      <c r="HM44" s="22" t="e">
        <f aca="false">AND(#REF!,"AAAAAD30dtw=")</f>
        <v>#VALUE!</v>
      </c>
      <c r="HN44" s="22" t="e">
        <f aca="false">AND(#REF!,"AAAAAD30dt0=")</f>
        <v>#VALUE!</v>
      </c>
      <c r="HO44" s="22" t="e">
        <f aca="false">AND(#REF!,"AAAAAD30dt4=")</f>
        <v>#VALUE!</v>
      </c>
      <c r="HP44" s="22" t="e">
        <f aca="false">AND(#REF!,"AAAAAD30dt8=")</f>
        <v>#VALUE!</v>
      </c>
      <c r="HQ44" s="22" t="e">
        <f aca="false">IF(#REF!,"AAAAAD30duA=",0)</f>
        <v>#REF!</v>
      </c>
      <c r="HR44" s="22" t="e">
        <f aca="false">AND(#REF!,"AAAAAD30duE=")</f>
        <v>#VALUE!</v>
      </c>
      <c r="HS44" s="22" t="e">
        <f aca="false">AND(#REF!,"AAAAAD30duI=")</f>
        <v>#VALUE!</v>
      </c>
      <c r="HT44" s="22" t="e">
        <f aca="false">AND(#REF!,"AAAAAD30duM=")</f>
        <v>#VALUE!</v>
      </c>
      <c r="HU44" s="22" t="e">
        <f aca="false">AND(#REF!,"AAAAAD30duQ=")</f>
        <v>#VALUE!</v>
      </c>
      <c r="HV44" s="22" t="e">
        <f aca="false">AND(#REF!,"AAAAAD30duU=")</f>
        <v>#VALUE!</v>
      </c>
      <c r="HW44" s="22" t="e">
        <f aca="false">AND(#REF!,"AAAAAD30duY=")</f>
        <v>#VALUE!</v>
      </c>
      <c r="HX44" s="22" t="e">
        <f aca="false">IF(#REF!,"AAAAAD30duc=",0)</f>
        <v>#REF!</v>
      </c>
      <c r="HY44" s="22" t="e">
        <f aca="false">AND(#REF!,"AAAAAD30dug=")</f>
        <v>#VALUE!</v>
      </c>
      <c r="HZ44" s="22" t="e">
        <f aca="false">AND(#REF!,"AAAAAD30duk=")</f>
        <v>#VALUE!</v>
      </c>
      <c r="IA44" s="22" t="e">
        <f aca="false">AND(#REF!,"AAAAAD30duo=")</f>
        <v>#VALUE!</v>
      </c>
      <c r="IB44" s="22" t="e">
        <f aca="false">AND(#REF!,"AAAAAD30dus=")</f>
        <v>#VALUE!</v>
      </c>
      <c r="IC44" s="22" t="e">
        <f aca="false">AND(#REF!,"AAAAAD30duw=")</f>
        <v>#VALUE!</v>
      </c>
      <c r="ID44" s="22" t="e">
        <f aca="false">AND(#REF!,"AAAAAD30du0=")</f>
        <v>#VALUE!</v>
      </c>
      <c r="IE44" s="22" t="e">
        <f aca="false">IF(#REF!,"AAAAAD30du4=",0)</f>
        <v>#REF!</v>
      </c>
      <c r="IF44" s="22" t="e">
        <f aca="false">AND(#REF!,"AAAAAD30du8=")</f>
        <v>#VALUE!</v>
      </c>
      <c r="IG44" s="22" t="e">
        <f aca="false">AND(#REF!,"AAAAAD30dvA=")</f>
        <v>#VALUE!</v>
      </c>
      <c r="IH44" s="22" t="e">
        <f aca="false">AND(#REF!,"AAAAAD30dvE=")</f>
        <v>#VALUE!</v>
      </c>
      <c r="II44" s="22" t="e">
        <f aca="false">AND(#REF!,"AAAAAD30dvI=")</f>
        <v>#VALUE!</v>
      </c>
      <c r="IJ44" s="22" t="e">
        <f aca="false">AND(#REF!,"AAAAAD30dvM=")</f>
        <v>#VALUE!</v>
      </c>
      <c r="IK44" s="22" t="e">
        <f aca="false">AND(#REF!,"AAAAAD30dvQ=")</f>
        <v>#VALUE!</v>
      </c>
      <c r="IL44" s="22" t="e">
        <f aca="false">IF(#REF!,"AAAAAD30dvU=",0)</f>
        <v>#REF!</v>
      </c>
      <c r="IM44" s="22" t="e">
        <f aca="false">AND(#REF!,"AAAAAD30dvY=")</f>
        <v>#VALUE!</v>
      </c>
      <c r="IN44" s="22" t="e">
        <f aca="false">AND(#REF!,"AAAAAD30dvc=")</f>
        <v>#VALUE!</v>
      </c>
      <c r="IO44" s="22" t="e">
        <f aca="false">AND(#REF!,"AAAAAD30dvg=")</f>
        <v>#VALUE!</v>
      </c>
      <c r="IP44" s="22" t="e">
        <f aca="false">AND(#REF!,"AAAAAD30dvk=")</f>
        <v>#VALUE!</v>
      </c>
      <c r="IQ44" s="22" t="e">
        <f aca="false">AND(#REF!,"AAAAAD30dvo=")</f>
        <v>#VALUE!</v>
      </c>
      <c r="IR44" s="22" t="e">
        <f aca="false">AND(#REF!,"AAAAAD30dvs=")</f>
        <v>#VALUE!</v>
      </c>
      <c r="IS44" s="22" t="e">
        <f aca="false">IF(#REF!,"AAAAAD30dvw=",0)</f>
        <v>#REF!</v>
      </c>
      <c r="IT44" s="22" t="e">
        <f aca="false">AND(#REF!,"AAAAAD30dv0=")</f>
        <v>#VALUE!</v>
      </c>
      <c r="IU44" s="22" t="e">
        <f aca="false">AND(#REF!,"AAAAAD30dv4=")</f>
        <v>#VALUE!</v>
      </c>
      <c r="IV44" s="22" t="e">
        <f aca="false">AND(#REF!,"AAAAAD30dv8=")</f>
        <v>#VALUE!</v>
      </c>
    </row>
    <row r="45" customFormat="false" ht="12.75" hidden="false" customHeight="false" outlineLevel="0" collapsed="false">
      <c r="A45" s="22" t="e">
        <f aca="false">AND(#REF!,"AAAAAF3z7wA=")</f>
        <v>#VALUE!</v>
      </c>
      <c r="B45" s="22" t="e">
        <f aca="false">AND(#REF!,"AAAAAF3z7wE=")</f>
        <v>#VALUE!</v>
      </c>
      <c r="C45" s="22" t="e">
        <f aca="false">AND(#REF!,"AAAAAF3z7wI=")</f>
        <v>#VALUE!</v>
      </c>
      <c r="D45" s="22" t="e">
        <f aca="false">IF(#REF!,"AAAAAF3z7wM=",0)</f>
        <v>#REF!</v>
      </c>
      <c r="E45" s="22" t="e">
        <f aca="false">AND(#REF!,"AAAAAF3z7wQ=")</f>
        <v>#VALUE!</v>
      </c>
      <c r="F45" s="22" t="e">
        <f aca="false">AND(#REF!,"AAAAAF3z7wU=")</f>
        <v>#VALUE!</v>
      </c>
      <c r="G45" s="22" t="e">
        <f aca="false">AND(#REF!,"AAAAAF3z7wY=")</f>
        <v>#VALUE!</v>
      </c>
      <c r="H45" s="22" t="e">
        <f aca="false">AND(#REF!,"AAAAAF3z7wc=")</f>
        <v>#VALUE!</v>
      </c>
      <c r="I45" s="22" t="e">
        <f aca="false">AND(#REF!,"AAAAAF3z7wg=")</f>
        <v>#VALUE!</v>
      </c>
      <c r="J45" s="22" t="e">
        <f aca="false">AND(#REF!,"AAAAAF3z7wk=")</f>
        <v>#VALUE!</v>
      </c>
      <c r="K45" s="22" t="e">
        <f aca="false">IF(#REF!,"AAAAAF3z7wo=",0)</f>
        <v>#REF!</v>
      </c>
      <c r="L45" s="22" t="e">
        <f aca="false">AND(#REF!,"AAAAAF3z7ws=")</f>
        <v>#VALUE!</v>
      </c>
      <c r="M45" s="22" t="e">
        <f aca="false">AND(#REF!,"AAAAAF3z7ww=")</f>
        <v>#VALUE!</v>
      </c>
      <c r="N45" s="22" t="e">
        <f aca="false">AND(#REF!,"AAAAAF3z7w0=")</f>
        <v>#VALUE!</v>
      </c>
      <c r="O45" s="22" t="e">
        <f aca="false">AND(#REF!,"AAAAAF3z7w4=")</f>
        <v>#VALUE!</v>
      </c>
      <c r="P45" s="22" t="e">
        <f aca="false">AND(#REF!,"AAAAAF3z7w8=")</f>
        <v>#VALUE!</v>
      </c>
      <c r="Q45" s="22" t="e">
        <f aca="false">AND(#REF!,"AAAAAF3z7xA=")</f>
        <v>#VALUE!</v>
      </c>
      <c r="R45" s="22" t="e">
        <f aca="false">IF(#REF!,"AAAAAF3z7xE=",0)</f>
        <v>#REF!</v>
      </c>
      <c r="S45" s="22" t="e">
        <f aca="false">AND(#REF!,"AAAAAF3z7xI=")</f>
        <v>#VALUE!</v>
      </c>
      <c r="T45" s="22" t="e">
        <f aca="false">AND(#REF!,"AAAAAF3z7xM=")</f>
        <v>#VALUE!</v>
      </c>
      <c r="U45" s="22" t="e">
        <f aca="false">AND(#REF!,"AAAAAF3z7xQ=")</f>
        <v>#VALUE!</v>
      </c>
      <c r="V45" s="22" t="e">
        <f aca="false">AND(#REF!,"AAAAAF3z7xU=")</f>
        <v>#VALUE!</v>
      </c>
      <c r="W45" s="22" t="e">
        <f aca="false">AND(#REF!,"AAAAAF3z7xY=")</f>
        <v>#VALUE!</v>
      </c>
      <c r="X45" s="22" t="e">
        <f aca="false">AND(#REF!,"AAAAAF3z7xc=")</f>
        <v>#VALUE!</v>
      </c>
      <c r="Y45" s="22" t="e">
        <f aca="false">IF(#REF!,"AAAAAF3z7xg=",0)</f>
        <v>#REF!</v>
      </c>
      <c r="Z45" s="22" t="e">
        <f aca="false">AND(#REF!,"AAAAAF3z7xk=")</f>
        <v>#VALUE!</v>
      </c>
      <c r="AA45" s="22" t="e">
        <f aca="false">AND(#REF!,"AAAAAF3z7xo=")</f>
        <v>#VALUE!</v>
      </c>
      <c r="AB45" s="22" t="e">
        <f aca="false">AND(#REF!,"AAAAAF3z7xs=")</f>
        <v>#VALUE!</v>
      </c>
      <c r="AC45" s="22" t="e">
        <f aca="false">AND(#REF!,"AAAAAF3z7xw=")</f>
        <v>#VALUE!</v>
      </c>
      <c r="AD45" s="22" t="e">
        <f aca="false">AND(#REF!,"AAAAAF3z7x0=")</f>
        <v>#VALUE!</v>
      </c>
      <c r="AE45" s="22" t="e">
        <f aca="false">AND(#REF!,"AAAAAF3z7x4=")</f>
        <v>#VALUE!</v>
      </c>
      <c r="AF45" s="22" t="e">
        <f aca="false">IF(#REF!,"AAAAAF3z7x8=",0)</f>
        <v>#REF!</v>
      </c>
      <c r="AG45" s="22" t="e">
        <f aca="false">AND(#REF!,"AAAAAF3z7yA=")</f>
        <v>#VALUE!</v>
      </c>
      <c r="AH45" s="22" t="e">
        <f aca="false">AND(#REF!,"AAAAAF3z7yE=")</f>
        <v>#VALUE!</v>
      </c>
      <c r="AI45" s="22" t="e">
        <f aca="false">AND(#REF!,"AAAAAF3z7yI=")</f>
        <v>#VALUE!</v>
      </c>
      <c r="AJ45" s="22" t="e">
        <f aca="false">AND(#REF!,"AAAAAF3z7yM=")</f>
        <v>#VALUE!</v>
      </c>
      <c r="AK45" s="22" t="e">
        <f aca="false">AND(#REF!,"AAAAAF3z7yQ=")</f>
        <v>#VALUE!</v>
      </c>
      <c r="AL45" s="22" t="e">
        <f aca="false">AND(#REF!,"AAAAAF3z7yU=")</f>
        <v>#VALUE!</v>
      </c>
      <c r="AM45" s="22" t="e">
        <f aca="false">IF(#REF!,"AAAAAF3z7yY=",0)</f>
        <v>#REF!</v>
      </c>
      <c r="AN45" s="22" t="e">
        <f aca="false">AND(#REF!,"AAAAAF3z7yc=")</f>
        <v>#VALUE!</v>
      </c>
      <c r="AO45" s="22" t="e">
        <f aca="false">AND(#REF!,"AAAAAF3z7yg=")</f>
        <v>#VALUE!</v>
      </c>
      <c r="AP45" s="22" t="e">
        <f aca="false">AND(#REF!,"AAAAAF3z7yk=")</f>
        <v>#VALUE!</v>
      </c>
      <c r="AQ45" s="22" t="e">
        <f aca="false">AND(#REF!,"AAAAAF3z7yo=")</f>
        <v>#VALUE!</v>
      </c>
      <c r="AR45" s="22" t="e">
        <f aca="false">AND(#REF!,"AAAAAF3z7ys=")</f>
        <v>#VALUE!</v>
      </c>
      <c r="AS45" s="22" t="e">
        <f aca="false">AND(#REF!,"AAAAAF3z7yw=")</f>
        <v>#VALUE!</v>
      </c>
      <c r="AT45" s="22" t="e">
        <f aca="false">IF(#REF!,"AAAAAF3z7y0=",0)</f>
        <v>#REF!</v>
      </c>
      <c r="AU45" s="22" t="e">
        <f aca="false">AND(#REF!,"AAAAAF3z7y4=")</f>
        <v>#VALUE!</v>
      </c>
      <c r="AV45" s="22" t="e">
        <f aca="false">AND(#REF!,"AAAAAF3z7y8=")</f>
        <v>#VALUE!</v>
      </c>
      <c r="AW45" s="22" t="e">
        <f aca="false">AND(#REF!,"AAAAAF3z7zA=")</f>
        <v>#VALUE!</v>
      </c>
      <c r="AX45" s="22" t="e">
        <f aca="false">AND(#REF!,"AAAAAF3z7zE=")</f>
        <v>#VALUE!</v>
      </c>
      <c r="AY45" s="22" t="e">
        <f aca="false">AND(#REF!,"AAAAAF3z7zI=")</f>
        <v>#VALUE!</v>
      </c>
      <c r="AZ45" s="22" t="e">
        <f aca="false">AND(#REF!,"AAAAAF3z7zM=")</f>
        <v>#VALUE!</v>
      </c>
      <c r="BA45" s="22" t="e">
        <f aca="false">IF(#REF!,"AAAAAF3z7zQ=",0)</f>
        <v>#REF!</v>
      </c>
      <c r="BB45" s="22" t="e">
        <f aca="false">AND(#REF!,"AAAAAF3z7zU=")</f>
        <v>#VALUE!</v>
      </c>
      <c r="BC45" s="22" t="e">
        <f aca="false">AND(#REF!,"AAAAAF3z7zY=")</f>
        <v>#VALUE!</v>
      </c>
      <c r="BD45" s="22" t="e">
        <f aca="false">AND(#REF!,"AAAAAF3z7zc=")</f>
        <v>#VALUE!</v>
      </c>
      <c r="BE45" s="22" t="e">
        <f aca="false">AND(#REF!,"AAAAAF3z7zg=")</f>
        <v>#VALUE!</v>
      </c>
      <c r="BF45" s="22" t="e">
        <f aca="false">AND(#REF!,"AAAAAF3z7zk=")</f>
        <v>#VALUE!</v>
      </c>
      <c r="BG45" s="22" t="e">
        <f aca="false">AND(#REF!,"AAAAAF3z7zo=")</f>
        <v>#VALUE!</v>
      </c>
      <c r="BH45" s="22" t="e">
        <f aca="false">IF(#REF!,"AAAAAF3z7zs=",0)</f>
        <v>#REF!</v>
      </c>
      <c r="BI45" s="22" t="e">
        <f aca="false">AND(#REF!,"AAAAAF3z7zw=")</f>
        <v>#VALUE!</v>
      </c>
      <c r="BJ45" s="22" t="e">
        <f aca="false">AND(#REF!,"AAAAAF3z7z0=")</f>
        <v>#VALUE!</v>
      </c>
      <c r="BK45" s="22" t="e">
        <f aca="false">AND(#REF!,"AAAAAF3z7z4=")</f>
        <v>#VALUE!</v>
      </c>
      <c r="BL45" s="22" t="e">
        <f aca="false">AND(#REF!,"AAAAAF3z7z8=")</f>
        <v>#VALUE!</v>
      </c>
      <c r="BM45" s="22" t="e">
        <f aca="false">AND(#REF!,"AAAAAF3z70A=")</f>
        <v>#VALUE!</v>
      </c>
      <c r="BN45" s="22" t="e">
        <f aca="false">AND(#REF!,"AAAAAF3z70E=")</f>
        <v>#VALUE!</v>
      </c>
      <c r="BO45" s="22" t="e">
        <f aca="false">IF(#REF!,"AAAAAF3z70I=",0)</f>
        <v>#REF!</v>
      </c>
      <c r="BP45" s="22" t="e">
        <f aca="false">AND(#REF!,"AAAAAF3z70M=")</f>
        <v>#VALUE!</v>
      </c>
      <c r="BQ45" s="22" t="e">
        <f aca="false">AND(#REF!,"AAAAAF3z70Q=")</f>
        <v>#VALUE!</v>
      </c>
      <c r="BR45" s="22" t="e">
        <f aca="false">AND(#REF!,"AAAAAF3z70U=")</f>
        <v>#VALUE!</v>
      </c>
      <c r="BS45" s="22" t="e">
        <f aca="false">AND(#REF!,"AAAAAF3z70Y=")</f>
        <v>#VALUE!</v>
      </c>
      <c r="BT45" s="22" t="e">
        <f aca="false">AND(#REF!,"AAAAAF3z70c=")</f>
        <v>#VALUE!</v>
      </c>
      <c r="BU45" s="22" t="e">
        <f aca="false">AND(#REF!,"AAAAAF3z70g=")</f>
        <v>#VALUE!</v>
      </c>
      <c r="BV45" s="22" t="e">
        <f aca="false">IF(#REF!,"AAAAAF3z70k=",0)</f>
        <v>#REF!</v>
      </c>
      <c r="BW45" s="22" t="e">
        <f aca="false">AND(#REF!,"AAAAAF3z70o=")</f>
        <v>#VALUE!</v>
      </c>
      <c r="BX45" s="22" t="e">
        <f aca="false">AND(#REF!,"AAAAAF3z70s=")</f>
        <v>#VALUE!</v>
      </c>
      <c r="BY45" s="22" t="e">
        <f aca="false">AND(#REF!,"AAAAAF3z70w=")</f>
        <v>#VALUE!</v>
      </c>
      <c r="BZ45" s="22" t="e">
        <f aca="false">AND(#REF!,"AAAAAF3z700=")</f>
        <v>#VALUE!</v>
      </c>
      <c r="CA45" s="22" t="e">
        <f aca="false">AND(#REF!,"AAAAAF3z704=")</f>
        <v>#VALUE!</v>
      </c>
      <c r="CB45" s="22" t="e">
        <f aca="false">AND(#REF!,"AAAAAF3z708=")</f>
        <v>#VALUE!</v>
      </c>
      <c r="CC45" s="22" t="e">
        <f aca="false">IF(#REF!,"AAAAAF3z71A=",0)</f>
        <v>#REF!</v>
      </c>
      <c r="CD45" s="22" t="e">
        <f aca="false">AND(#REF!,"AAAAAF3z71E=")</f>
        <v>#VALUE!</v>
      </c>
      <c r="CE45" s="22" t="e">
        <f aca="false">AND(#REF!,"AAAAAF3z71I=")</f>
        <v>#VALUE!</v>
      </c>
      <c r="CF45" s="22" t="e">
        <f aca="false">AND(#REF!,"AAAAAF3z71M=")</f>
        <v>#VALUE!</v>
      </c>
      <c r="CG45" s="22" t="e">
        <f aca="false">AND(#REF!,"AAAAAF3z71Q=")</f>
        <v>#VALUE!</v>
      </c>
      <c r="CH45" s="22" t="e">
        <f aca="false">AND(#REF!,"AAAAAF3z71U=")</f>
        <v>#VALUE!</v>
      </c>
      <c r="CI45" s="22" t="e">
        <f aca="false">AND(#REF!,"AAAAAF3z71Y=")</f>
        <v>#VALUE!</v>
      </c>
      <c r="CJ45" s="22" t="e">
        <f aca="false">IF(#REF!,"AAAAAF3z71c=",0)</f>
        <v>#REF!</v>
      </c>
      <c r="CK45" s="22" t="e">
        <f aca="false">AND(#REF!,"AAAAAF3z71g=")</f>
        <v>#VALUE!</v>
      </c>
      <c r="CL45" s="22" t="e">
        <f aca="false">AND(#REF!,"AAAAAF3z71k=")</f>
        <v>#VALUE!</v>
      </c>
      <c r="CM45" s="22" t="e">
        <f aca="false">AND(#REF!,"AAAAAF3z71o=")</f>
        <v>#VALUE!</v>
      </c>
      <c r="CN45" s="22" t="e">
        <f aca="false">AND(#REF!,"AAAAAF3z71s=")</f>
        <v>#VALUE!</v>
      </c>
      <c r="CO45" s="22" t="e">
        <f aca="false">AND(#REF!,"AAAAAF3z71w=")</f>
        <v>#VALUE!</v>
      </c>
      <c r="CP45" s="22" t="e">
        <f aca="false">AND(#REF!,"AAAAAF3z710=")</f>
        <v>#VALUE!</v>
      </c>
      <c r="CQ45" s="22" t="e">
        <f aca="false">IF(#REF!,"AAAAAF3z714=",0)</f>
        <v>#REF!</v>
      </c>
      <c r="CR45" s="22" t="e">
        <f aca="false">AND(#REF!,"AAAAAF3z718=")</f>
        <v>#VALUE!</v>
      </c>
      <c r="CS45" s="22" t="e">
        <f aca="false">AND(#REF!,"AAAAAF3z72A=")</f>
        <v>#VALUE!</v>
      </c>
      <c r="CT45" s="22" t="e">
        <f aca="false">AND(#REF!,"AAAAAF3z72E=")</f>
        <v>#VALUE!</v>
      </c>
      <c r="CU45" s="22" t="e">
        <f aca="false">AND(#REF!,"AAAAAF3z72I=")</f>
        <v>#VALUE!</v>
      </c>
      <c r="CV45" s="22" t="e">
        <f aca="false">AND(#REF!,"AAAAAF3z72M=")</f>
        <v>#VALUE!</v>
      </c>
      <c r="CW45" s="22" t="e">
        <f aca="false">AND(#REF!,"AAAAAF3z72Q=")</f>
        <v>#VALUE!</v>
      </c>
      <c r="CX45" s="22" t="e">
        <f aca="false">IF(#REF!,"AAAAAF3z72U=",0)</f>
        <v>#REF!</v>
      </c>
      <c r="CY45" s="22" t="e">
        <f aca="false">AND(#REF!,"AAAAAF3z72Y=")</f>
        <v>#VALUE!</v>
      </c>
      <c r="CZ45" s="22" t="e">
        <f aca="false">AND(#REF!,"AAAAAF3z72c=")</f>
        <v>#VALUE!</v>
      </c>
      <c r="DA45" s="22" t="e">
        <f aca="false">AND(#REF!,"AAAAAF3z72g=")</f>
        <v>#VALUE!</v>
      </c>
      <c r="DB45" s="22" t="e">
        <f aca="false">AND(#REF!,"AAAAAF3z72k=")</f>
        <v>#VALUE!</v>
      </c>
      <c r="DC45" s="22" t="e">
        <f aca="false">AND(#REF!,"AAAAAF3z72o=")</f>
        <v>#VALUE!</v>
      </c>
      <c r="DD45" s="22" t="e">
        <f aca="false">AND(#REF!,"AAAAAF3z72s=")</f>
        <v>#VALUE!</v>
      </c>
      <c r="DE45" s="22" t="e">
        <f aca="false">IF(#REF!,"AAAAAF3z72w=",0)</f>
        <v>#REF!</v>
      </c>
      <c r="DF45" s="22" t="e">
        <f aca="false">AND(#REF!,"AAAAAF3z720=")</f>
        <v>#VALUE!</v>
      </c>
      <c r="DG45" s="22" t="e">
        <f aca="false">AND(#REF!,"AAAAAF3z724=")</f>
        <v>#VALUE!</v>
      </c>
      <c r="DH45" s="22" t="e">
        <f aca="false">AND(#REF!,"AAAAAF3z728=")</f>
        <v>#VALUE!</v>
      </c>
      <c r="DI45" s="22" t="e">
        <f aca="false">AND(#REF!,"AAAAAF3z73A=")</f>
        <v>#VALUE!</v>
      </c>
      <c r="DJ45" s="22" t="e">
        <f aca="false">AND(#REF!,"AAAAAF3z73E=")</f>
        <v>#VALUE!</v>
      </c>
      <c r="DK45" s="22" t="e">
        <f aca="false">AND(#REF!,"AAAAAF3z73I=")</f>
        <v>#VALUE!</v>
      </c>
      <c r="DL45" s="22" t="e">
        <f aca="false">IF(#REF!,"AAAAAF3z73M=",0)</f>
        <v>#REF!</v>
      </c>
      <c r="DM45" s="22" t="e">
        <f aca="false">AND(#REF!,"AAAAAF3z73Q=")</f>
        <v>#VALUE!</v>
      </c>
      <c r="DN45" s="22" t="e">
        <f aca="false">AND(#REF!,"AAAAAF3z73U=")</f>
        <v>#VALUE!</v>
      </c>
      <c r="DO45" s="22" t="e">
        <f aca="false">AND(#REF!,"AAAAAF3z73Y=")</f>
        <v>#VALUE!</v>
      </c>
      <c r="DP45" s="22" t="e">
        <f aca="false">AND(#REF!,"AAAAAF3z73c=")</f>
        <v>#VALUE!</v>
      </c>
      <c r="DQ45" s="22" t="e">
        <f aca="false">AND(#REF!,"AAAAAF3z73g=")</f>
        <v>#VALUE!</v>
      </c>
      <c r="DR45" s="22" t="e">
        <f aca="false">AND(#REF!,"AAAAAF3z73k=")</f>
        <v>#VALUE!</v>
      </c>
      <c r="DS45" s="22" t="e">
        <f aca="false">IF(#REF!,"AAAAAF3z73o=",0)</f>
        <v>#REF!</v>
      </c>
      <c r="DT45" s="22" t="e">
        <f aca="false">AND(#REF!,"AAAAAF3z73s=")</f>
        <v>#VALUE!</v>
      </c>
      <c r="DU45" s="22" t="e">
        <f aca="false">AND(#REF!,"AAAAAF3z73w=")</f>
        <v>#VALUE!</v>
      </c>
      <c r="DV45" s="22" t="e">
        <f aca="false">AND(#REF!,"AAAAAF3z730=")</f>
        <v>#VALUE!</v>
      </c>
      <c r="DW45" s="22" t="e">
        <f aca="false">AND(#REF!,"AAAAAF3z734=")</f>
        <v>#VALUE!</v>
      </c>
      <c r="DX45" s="22" t="e">
        <f aca="false">AND(#REF!,"AAAAAF3z738=")</f>
        <v>#VALUE!</v>
      </c>
      <c r="DY45" s="22" t="e">
        <f aca="false">AND(#REF!,"AAAAAF3z74A=")</f>
        <v>#VALUE!</v>
      </c>
      <c r="DZ45" s="22" t="e">
        <f aca="false">IF(#REF!,"AAAAAF3z74E=",0)</f>
        <v>#REF!</v>
      </c>
      <c r="EA45" s="22" t="e">
        <f aca="false">AND(#REF!,"AAAAAF3z74I=")</f>
        <v>#VALUE!</v>
      </c>
      <c r="EB45" s="22" t="e">
        <f aca="false">AND(#REF!,"AAAAAF3z74M=")</f>
        <v>#VALUE!</v>
      </c>
      <c r="EC45" s="22" t="e">
        <f aca="false">AND(#REF!,"AAAAAF3z74Q=")</f>
        <v>#VALUE!</v>
      </c>
      <c r="ED45" s="22" t="e">
        <f aca="false">AND(#REF!,"AAAAAF3z74U=")</f>
        <v>#VALUE!</v>
      </c>
      <c r="EE45" s="22" t="e">
        <f aca="false">AND(#REF!,"AAAAAF3z74Y=")</f>
        <v>#VALUE!</v>
      </c>
      <c r="EF45" s="22" t="e">
        <f aca="false">AND(#REF!,"AAAAAF3z74c=")</f>
        <v>#VALUE!</v>
      </c>
      <c r="EG45" s="22" t="e">
        <f aca="false">IF(#REF!,"AAAAAF3z74g=",0)</f>
        <v>#REF!</v>
      </c>
      <c r="EH45" s="22" t="e">
        <f aca="false">AND(#REF!,"AAAAAF3z74k=")</f>
        <v>#VALUE!</v>
      </c>
      <c r="EI45" s="22" t="e">
        <f aca="false">AND(#REF!,"AAAAAF3z74o=")</f>
        <v>#VALUE!</v>
      </c>
      <c r="EJ45" s="22" t="e">
        <f aca="false">AND(#REF!,"AAAAAF3z74s=")</f>
        <v>#VALUE!</v>
      </c>
      <c r="EK45" s="22" t="e">
        <f aca="false">AND(#REF!,"AAAAAF3z74w=")</f>
        <v>#VALUE!</v>
      </c>
      <c r="EL45" s="22" t="e">
        <f aca="false">AND(#REF!,"AAAAAF3z740=")</f>
        <v>#VALUE!</v>
      </c>
      <c r="EM45" s="22" t="e">
        <f aca="false">AND(#REF!,"AAAAAF3z744=")</f>
        <v>#VALUE!</v>
      </c>
      <c r="EN45" s="22" t="e">
        <f aca="false">IF(#REF!,"AAAAAF3z748=",0)</f>
        <v>#REF!</v>
      </c>
      <c r="EO45" s="22" t="e">
        <f aca="false">AND(#REF!,"AAAAAF3z75A=")</f>
        <v>#VALUE!</v>
      </c>
      <c r="EP45" s="22" t="e">
        <f aca="false">AND(#REF!,"AAAAAF3z75E=")</f>
        <v>#VALUE!</v>
      </c>
      <c r="EQ45" s="22" t="e">
        <f aca="false">AND(#REF!,"AAAAAF3z75I=")</f>
        <v>#VALUE!</v>
      </c>
      <c r="ER45" s="22" t="e">
        <f aca="false">AND(#REF!,"AAAAAF3z75M=")</f>
        <v>#VALUE!</v>
      </c>
      <c r="ES45" s="22" t="e">
        <f aca="false">AND(#REF!,"AAAAAF3z75Q=")</f>
        <v>#VALUE!</v>
      </c>
      <c r="ET45" s="22" t="e">
        <f aca="false">AND(#REF!,"AAAAAF3z75U=")</f>
        <v>#VALUE!</v>
      </c>
      <c r="EU45" s="22" t="e">
        <f aca="false">IF(#REF!,"AAAAAF3z75Y=",0)</f>
        <v>#REF!</v>
      </c>
      <c r="EV45" s="22" t="e">
        <f aca="false">AND(#REF!,"AAAAAF3z75c=")</f>
        <v>#VALUE!</v>
      </c>
      <c r="EW45" s="22" t="e">
        <f aca="false">AND(#REF!,"AAAAAF3z75g=")</f>
        <v>#VALUE!</v>
      </c>
      <c r="EX45" s="22" t="e">
        <f aca="false">AND(#REF!,"AAAAAF3z75k=")</f>
        <v>#VALUE!</v>
      </c>
      <c r="EY45" s="22" t="e">
        <f aca="false">AND(#REF!,"AAAAAF3z75o=")</f>
        <v>#VALUE!</v>
      </c>
      <c r="EZ45" s="22" t="e">
        <f aca="false">AND(#REF!,"AAAAAF3z75s=")</f>
        <v>#VALUE!</v>
      </c>
      <c r="FA45" s="22" t="e">
        <f aca="false">AND(#REF!,"AAAAAF3z75w=")</f>
        <v>#VALUE!</v>
      </c>
      <c r="FB45" s="22" t="e">
        <f aca="false">IF(#REF!,"AAAAAF3z750=",0)</f>
        <v>#REF!</v>
      </c>
      <c r="FC45" s="22" t="e">
        <f aca="false">AND(#REF!,"AAAAAF3z754=")</f>
        <v>#VALUE!</v>
      </c>
      <c r="FD45" s="22" t="e">
        <f aca="false">AND(#REF!,"AAAAAF3z758=")</f>
        <v>#VALUE!</v>
      </c>
      <c r="FE45" s="22" t="e">
        <f aca="false">AND(#REF!,"AAAAAF3z76A=")</f>
        <v>#VALUE!</v>
      </c>
      <c r="FF45" s="22" t="e">
        <f aca="false">AND(#REF!,"AAAAAF3z76E=")</f>
        <v>#VALUE!</v>
      </c>
      <c r="FG45" s="22" t="e">
        <f aca="false">AND(#REF!,"AAAAAF3z76I=")</f>
        <v>#VALUE!</v>
      </c>
      <c r="FH45" s="22" t="e">
        <f aca="false">AND(#REF!,"AAAAAF3z76M=")</f>
        <v>#VALUE!</v>
      </c>
      <c r="FI45" s="22" t="e">
        <f aca="false">IF(#REF!,"AAAAAF3z76Q=",0)</f>
        <v>#REF!</v>
      </c>
      <c r="FJ45" s="22" t="e">
        <f aca="false">AND(#REF!,"AAAAAF3z76U=")</f>
        <v>#VALUE!</v>
      </c>
      <c r="FK45" s="22" t="e">
        <f aca="false">AND(#REF!,"AAAAAF3z76Y=")</f>
        <v>#VALUE!</v>
      </c>
      <c r="FL45" s="22" t="e">
        <f aca="false">AND(#REF!,"AAAAAF3z76c=")</f>
        <v>#VALUE!</v>
      </c>
      <c r="FM45" s="22" t="e">
        <f aca="false">AND(#REF!,"AAAAAF3z76g=")</f>
        <v>#VALUE!</v>
      </c>
      <c r="FN45" s="22" t="e">
        <f aca="false">AND(#REF!,"AAAAAF3z76k=")</f>
        <v>#VALUE!</v>
      </c>
      <c r="FO45" s="22" t="e">
        <f aca="false">AND(#REF!,"AAAAAF3z76o=")</f>
        <v>#VALUE!</v>
      </c>
      <c r="FP45" s="22" t="e">
        <f aca="false">IF(#REF!,"AAAAAF3z76s=",0)</f>
        <v>#REF!</v>
      </c>
      <c r="FQ45" s="22" t="e">
        <f aca="false">AND(#REF!,"AAAAAF3z76w=")</f>
        <v>#VALUE!</v>
      </c>
      <c r="FR45" s="22" t="e">
        <f aca="false">AND(#REF!,"AAAAAF3z760=")</f>
        <v>#VALUE!</v>
      </c>
      <c r="FS45" s="22" t="e">
        <f aca="false">AND(#REF!,"AAAAAF3z764=")</f>
        <v>#VALUE!</v>
      </c>
      <c r="FT45" s="22" t="e">
        <f aca="false">AND(#REF!,"AAAAAF3z768=")</f>
        <v>#VALUE!</v>
      </c>
      <c r="FU45" s="22" t="e">
        <f aca="false">AND(#REF!,"AAAAAF3z77A=")</f>
        <v>#VALUE!</v>
      </c>
      <c r="FV45" s="22" t="e">
        <f aca="false">AND(#REF!,"AAAAAF3z77E=")</f>
        <v>#VALUE!</v>
      </c>
      <c r="FW45" s="22" t="e">
        <f aca="false">IF(#REF!,"AAAAAF3z77I=",0)</f>
        <v>#REF!</v>
      </c>
      <c r="FX45" s="22" t="e">
        <f aca="false">AND(#REF!,"AAAAAF3z77M=")</f>
        <v>#VALUE!</v>
      </c>
      <c r="FY45" s="22" t="e">
        <f aca="false">AND(#REF!,"AAAAAF3z77Q=")</f>
        <v>#VALUE!</v>
      </c>
      <c r="FZ45" s="22" t="e">
        <f aca="false">AND(#REF!,"AAAAAF3z77U=")</f>
        <v>#VALUE!</v>
      </c>
      <c r="GA45" s="22" t="e">
        <f aca="false">AND(#REF!,"AAAAAF3z77Y=")</f>
        <v>#VALUE!</v>
      </c>
      <c r="GB45" s="22" t="e">
        <f aca="false">AND(#REF!,"AAAAAF3z77c=")</f>
        <v>#VALUE!</v>
      </c>
      <c r="GC45" s="22" t="e">
        <f aca="false">AND(#REF!,"AAAAAF3z77g=")</f>
        <v>#VALUE!</v>
      </c>
      <c r="GD45" s="22" t="e">
        <f aca="false">IF(#REF!,"AAAAAF3z77k=",0)</f>
        <v>#REF!</v>
      </c>
      <c r="GE45" s="22" t="e">
        <f aca="false">AND(#REF!,"AAAAAF3z77o=")</f>
        <v>#VALUE!</v>
      </c>
      <c r="GF45" s="22" t="e">
        <f aca="false">AND(#REF!,"AAAAAF3z77s=")</f>
        <v>#VALUE!</v>
      </c>
      <c r="GG45" s="22" t="e">
        <f aca="false">AND(#REF!,"AAAAAF3z77w=")</f>
        <v>#VALUE!</v>
      </c>
      <c r="GH45" s="22" t="e">
        <f aca="false">AND(#REF!,"AAAAAF3z770=")</f>
        <v>#VALUE!</v>
      </c>
      <c r="GI45" s="22" t="e">
        <f aca="false">AND(#REF!,"AAAAAF3z774=")</f>
        <v>#VALUE!</v>
      </c>
      <c r="GJ45" s="22" t="e">
        <f aca="false">AND(#REF!,"AAAAAF3z778=")</f>
        <v>#VALUE!</v>
      </c>
      <c r="GK45" s="22" t="e">
        <f aca="false">IF(#REF!,"AAAAAF3z78A=",0)</f>
        <v>#REF!</v>
      </c>
      <c r="GL45" s="22" t="e">
        <f aca="false">AND(#REF!,"AAAAAF3z78E=")</f>
        <v>#VALUE!</v>
      </c>
      <c r="GM45" s="22" t="e">
        <f aca="false">AND(#REF!,"AAAAAF3z78I=")</f>
        <v>#VALUE!</v>
      </c>
      <c r="GN45" s="22" t="e">
        <f aca="false">AND(#REF!,"AAAAAF3z78M=")</f>
        <v>#VALUE!</v>
      </c>
      <c r="GO45" s="22" t="e">
        <f aca="false">AND(#REF!,"AAAAAF3z78Q=")</f>
        <v>#VALUE!</v>
      </c>
      <c r="GP45" s="22" t="e">
        <f aca="false">AND(#REF!,"AAAAAF3z78U=")</f>
        <v>#VALUE!</v>
      </c>
      <c r="GQ45" s="22" t="e">
        <f aca="false">AND(#REF!,"AAAAAF3z78Y=")</f>
        <v>#VALUE!</v>
      </c>
      <c r="GR45" s="22" t="e">
        <f aca="false">IF(#REF!,"AAAAAF3z78c=",0)</f>
        <v>#REF!</v>
      </c>
      <c r="GS45" s="22" t="e">
        <f aca="false">AND(#REF!,"AAAAAF3z78g=")</f>
        <v>#VALUE!</v>
      </c>
      <c r="GT45" s="22" t="e">
        <f aca="false">AND(#REF!,"AAAAAF3z78k=")</f>
        <v>#VALUE!</v>
      </c>
      <c r="GU45" s="22" t="e">
        <f aca="false">AND(#REF!,"AAAAAF3z78o=")</f>
        <v>#VALUE!</v>
      </c>
      <c r="GV45" s="22" t="e">
        <f aca="false">AND(#REF!,"AAAAAF3z78s=")</f>
        <v>#VALUE!</v>
      </c>
      <c r="GW45" s="22" t="e">
        <f aca="false">AND(#REF!,"AAAAAF3z78w=")</f>
        <v>#VALUE!</v>
      </c>
      <c r="GX45" s="22" t="e">
        <f aca="false">AND(#REF!,"AAAAAF3z780=")</f>
        <v>#VALUE!</v>
      </c>
      <c r="GY45" s="22" t="e">
        <f aca="false">IF(#REF!,"AAAAAF3z784=",0)</f>
        <v>#REF!</v>
      </c>
      <c r="GZ45" s="22" t="e">
        <f aca="false">AND(#REF!,"AAAAAF3z788=")</f>
        <v>#VALUE!</v>
      </c>
      <c r="HA45" s="22" t="e">
        <f aca="false">AND(#REF!,"AAAAAF3z79A=")</f>
        <v>#VALUE!</v>
      </c>
      <c r="HB45" s="22" t="e">
        <f aca="false">AND(#REF!,"AAAAAF3z79E=")</f>
        <v>#VALUE!</v>
      </c>
      <c r="HC45" s="22" t="e">
        <f aca="false">AND(#REF!,"AAAAAF3z79I=")</f>
        <v>#VALUE!</v>
      </c>
      <c r="HD45" s="22" t="e">
        <f aca="false">AND(#REF!,"AAAAAF3z79M=")</f>
        <v>#VALUE!</v>
      </c>
      <c r="HE45" s="22" t="e">
        <f aca="false">AND(#REF!,"AAAAAF3z79Q=")</f>
        <v>#VALUE!</v>
      </c>
      <c r="HF45" s="22" t="e">
        <f aca="false">IF(#REF!,"AAAAAF3z79U=",0)</f>
        <v>#REF!</v>
      </c>
      <c r="HG45" s="22" t="e">
        <f aca="false">AND(#REF!,"AAAAAF3z79Y=")</f>
        <v>#VALUE!</v>
      </c>
      <c r="HH45" s="22" t="e">
        <f aca="false">AND(#REF!,"AAAAAF3z79c=")</f>
        <v>#VALUE!</v>
      </c>
      <c r="HI45" s="22" t="e">
        <f aca="false">AND(#REF!,"AAAAAF3z79g=")</f>
        <v>#VALUE!</v>
      </c>
      <c r="HJ45" s="22" t="e">
        <f aca="false">AND(#REF!,"AAAAAF3z79k=")</f>
        <v>#VALUE!</v>
      </c>
      <c r="HK45" s="22" t="e">
        <f aca="false">AND(#REF!,"AAAAAF3z79o=")</f>
        <v>#VALUE!</v>
      </c>
      <c r="HL45" s="22" t="e">
        <f aca="false">AND(#REF!,"AAAAAF3z79s=")</f>
        <v>#VALUE!</v>
      </c>
      <c r="HM45" s="22" t="e">
        <f aca="false">IF(#REF!,"AAAAAF3z79w=",0)</f>
        <v>#REF!</v>
      </c>
      <c r="HN45" s="22" t="e">
        <f aca="false">AND(#REF!,"AAAAAF3z790=")</f>
        <v>#VALUE!</v>
      </c>
      <c r="HO45" s="22" t="e">
        <f aca="false">AND(#REF!,"AAAAAF3z794=")</f>
        <v>#VALUE!</v>
      </c>
      <c r="HP45" s="22" t="e">
        <f aca="false">AND(#REF!,"AAAAAF3z798=")</f>
        <v>#VALUE!</v>
      </c>
      <c r="HQ45" s="22" t="e">
        <f aca="false">AND(#REF!,"AAAAAF3z7+A=")</f>
        <v>#VALUE!</v>
      </c>
      <c r="HR45" s="22" t="e">
        <f aca="false">AND(#REF!,"AAAAAF3z7+E=")</f>
        <v>#VALUE!</v>
      </c>
      <c r="HS45" s="22" t="e">
        <f aca="false">AND(#REF!,"AAAAAF3z7+I=")</f>
        <v>#VALUE!</v>
      </c>
      <c r="HT45" s="22" t="e">
        <f aca="false">IF(#REF!,"AAAAAF3z7+M=",0)</f>
        <v>#REF!</v>
      </c>
      <c r="HU45" s="22" t="e">
        <f aca="false">AND(#REF!,"AAAAAF3z7+Q=")</f>
        <v>#VALUE!</v>
      </c>
      <c r="HV45" s="22" t="e">
        <f aca="false">AND(#REF!,"AAAAAF3z7+U=")</f>
        <v>#VALUE!</v>
      </c>
      <c r="HW45" s="22" t="e">
        <f aca="false">AND(#REF!,"AAAAAF3z7+Y=")</f>
        <v>#VALUE!</v>
      </c>
      <c r="HX45" s="22" t="e">
        <f aca="false">AND(#REF!,"AAAAAF3z7+c=")</f>
        <v>#VALUE!</v>
      </c>
      <c r="HY45" s="22" t="e">
        <f aca="false">AND(#REF!,"AAAAAF3z7+g=")</f>
        <v>#VALUE!</v>
      </c>
      <c r="HZ45" s="22" t="e">
        <f aca="false">AND(#REF!,"AAAAAF3z7+k=")</f>
        <v>#VALUE!</v>
      </c>
      <c r="IA45" s="22" t="e">
        <f aca="false">IF(#REF!,"AAAAAF3z7+o=",0)</f>
        <v>#REF!</v>
      </c>
      <c r="IB45" s="22" t="e">
        <f aca="false">AND(#REF!,"AAAAAF3z7+s=")</f>
        <v>#VALUE!</v>
      </c>
      <c r="IC45" s="22" t="e">
        <f aca="false">AND(#REF!,"AAAAAF3z7+w=")</f>
        <v>#VALUE!</v>
      </c>
      <c r="ID45" s="22" t="e">
        <f aca="false">AND(#REF!,"AAAAAF3z7+0=")</f>
        <v>#VALUE!</v>
      </c>
      <c r="IE45" s="22" t="e">
        <f aca="false">AND(#REF!,"AAAAAF3z7+4=")</f>
        <v>#VALUE!</v>
      </c>
      <c r="IF45" s="22" t="e">
        <f aca="false">AND(#REF!,"AAAAAF3z7+8=")</f>
        <v>#VALUE!</v>
      </c>
      <c r="IG45" s="22" t="e">
        <f aca="false">AND(#REF!,"AAAAAF3z7/A=")</f>
        <v>#VALUE!</v>
      </c>
      <c r="IH45" s="22" t="e">
        <f aca="false">IF(#REF!,"AAAAAF3z7/E=",0)</f>
        <v>#REF!</v>
      </c>
      <c r="II45" s="22" t="e">
        <f aca="false">AND(#REF!,"AAAAAF3z7/I=")</f>
        <v>#VALUE!</v>
      </c>
      <c r="IJ45" s="22" t="e">
        <f aca="false">AND(#REF!,"AAAAAF3z7/M=")</f>
        <v>#VALUE!</v>
      </c>
      <c r="IK45" s="22" t="e">
        <f aca="false">AND(#REF!,"AAAAAF3z7/Q=")</f>
        <v>#VALUE!</v>
      </c>
      <c r="IL45" s="22" t="e">
        <f aca="false">AND(#REF!,"AAAAAF3z7/U=")</f>
        <v>#VALUE!</v>
      </c>
      <c r="IM45" s="22" t="e">
        <f aca="false">AND(#REF!,"AAAAAF3z7/Y=")</f>
        <v>#VALUE!</v>
      </c>
      <c r="IN45" s="22" t="e">
        <f aca="false">AND(#REF!,"AAAAAF3z7/c=")</f>
        <v>#VALUE!</v>
      </c>
      <c r="IO45" s="22" t="e">
        <f aca="false">IF(#REF!,"AAAAAF3z7/g=",0)</f>
        <v>#REF!</v>
      </c>
      <c r="IP45" s="22" t="e">
        <f aca="false">AND(#REF!,"AAAAAF3z7/k=")</f>
        <v>#VALUE!</v>
      </c>
      <c r="IQ45" s="22" t="e">
        <f aca="false">AND(#REF!,"AAAAAF3z7/o=")</f>
        <v>#VALUE!</v>
      </c>
      <c r="IR45" s="22" t="e">
        <f aca="false">AND(#REF!,"AAAAAF3z7/s=")</f>
        <v>#VALUE!</v>
      </c>
      <c r="IS45" s="22" t="e">
        <f aca="false">AND(#REF!,"AAAAAF3z7/w=")</f>
        <v>#VALUE!</v>
      </c>
      <c r="IT45" s="22" t="e">
        <f aca="false">AND(#REF!,"AAAAAF3z7/0=")</f>
        <v>#VALUE!</v>
      </c>
      <c r="IU45" s="22" t="e">
        <f aca="false">AND(#REF!,"AAAAAF3z7/4=")</f>
        <v>#VALUE!</v>
      </c>
      <c r="IV45" s="22" t="e">
        <f aca="false">IF(#REF!,"AAAAAF3z7/8=",0)</f>
        <v>#REF!</v>
      </c>
    </row>
    <row r="46" customFormat="false" ht="12.75" hidden="false" customHeight="false" outlineLevel="0" collapsed="false">
      <c r="A46" s="22" t="e">
        <f aca="false">AND(#REF!,"AAAAAG/9+wA=")</f>
        <v>#VALUE!</v>
      </c>
      <c r="B46" s="22" t="e">
        <f aca="false">AND(#REF!,"AAAAAG/9+wE=")</f>
        <v>#VALUE!</v>
      </c>
      <c r="C46" s="22" t="e">
        <f aca="false">AND(#REF!,"AAAAAG/9+wI=")</f>
        <v>#VALUE!</v>
      </c>
      <c r="D46" s="22" t="e">
        <f aca="false">AND(#REF!,"AAAAAG/9+wM=")</f>
        <v>#VALUE!</v>
      </c>
      <c r="E46" s="22" t="e">
        <f aca="false">AND(#REF!,"AAAAAG/9+wQ=")</f>
        <v>#VALUE!</v>
      </c>
      <c r="F46" s="22" t="e">
        <f aca="false">AND(#REF!,"AAAAAG/9+wU=")</f>
        <v>#VALUE!</v>
      </c>
      <c r="G46" s="22" t="e">
        <f aca="false">IF(#REF!,"AAAAAG/9+wY=",0)</f>
        <v>#REF!</v>
      </c>
      <c r="H46" s="22" t="e">
        <f aca="false">AND(#REF!,"AAAAAG/9+wc=")</f>
        <v>#VALUE!</v>
      </c>
      <c r="I46" s="22" t="e">
        <f aca="false">AND(#REF!,"AAAAAG/9+wg=")</f>
        <v>#VALUE!</v>
      </c>
      <c r="J46" s="22" t="e">
        <f aca="false">AND(#REF!,"AAAAAG/9+wk=")</f>
        <v>#VALUE!</v>
      </c>
      <c r="K46" s="22" t="e">
        <f aca="false">AND(#REF!,"AAAAAG/9+wo=")</f>
        <v>#VALUE!</v>
      </c>
      <c r="L46" s="22" t="e">
        <f aca="false">AND(#REF!,"AAAAAG/9+ws=")</f>
        <v>#VALUE!</v>
      </c>
      <c r="M46" s="22" t="e">
        <f aca="false">AND(#REF!,"AAAAAG/9+ww=")</f>
        <v>#VALUE!</v>
      </c>
      <c r="N46" s="22" t="e">
        <f aca="false">IF(#REF!,"AAAAAG/9+w0=",0)</f>
        <v>#REF!</v>
      </c>
      <c r="O46" s="22" t="e">
        <f aca="false">AND(#REF!,"AAAAAG/9+w4=")</f>
        <v>#VALUE!</v>
      </c>
      <c r="P46" s="22" t="e">
        <f aca="false">AND(#REF!,"AAAAAG/9+w8=")</f>
        <v>#VALUE!</v>
      </c>
      <c r="Q46" s="22" t="e">
        <f aca="false">AND(#REF!,"AAAAAG/9+xA=")</f>
        <v>#VALUE!</v>
      </c>
      <c r="R46" s="22" t="e">
        <f aca="false">AND(#REF!,"AAAAAG/9+xE=")</f>
        <v>#VALUE!</v>
      </c>
      <c r="S46" s="22" t="e">
        <f aca="false">AND(#REF!,"AAAAAG/9+xI=")</f>
        <v>#VALUE!</v>
      </c>
      <c r="T46" s="22" t="e">
        <f aca="false">AND(#REF!,"AAAAAG/9+xM=")</f>
        <v>#VALUE!</v>
      </c>
      <c r="U46" s="22" t="e">
        <f aca="false">IF(#REF!,"AAAAAG/9+xQ=",0)</f>
        <v>#REF!</v>
      </c>
      <c r="V46" s="22" t="e">
        <f aca="false">AND(#REF!,"AAAAAG/9+xU=")</f>
        <v>#VALUE!</v>
      </c>
      <c r="W46" s="22" t="e">
        <f aca="false">AND(#REF!,"AAAAAG/9+xY=")</f>
        <v>#VALUE!</v>
      </c>
      <c r="X46" s="22" t="e">
        <f aca="false">AND(#REF!,"AAAAAG/9+xc=")</f>
        <v>#VALUE!</v>
      </c>
      <c r="Y46" s="22" t="e">
        <f aca="false">AND(#REF!,"AAAAAG/9+xg=")</f>
        <v>#VALUE!</v>
      </c>
      <c r="Z46" s="22" t="e">
        <f aca="false">AND(#REF!,"AAAAAG/9+xk=")</f>
        <v>#VALUE!</v>
      </c>
      <c r="AA46" s="22" t="e">
        <f aca="false">AND(#REF!,"AAAAAG/9+xo=")</f>
        <v>#VALUE!</v>
      </c>
      <c r="AB46" s="22" t="e">
        <f aca="false">IF(#REF!,"AAAAAG/9+xs=",0)</f>
        <v>#REF!</v>
      </c>
      <c r="AC46" s="22" t="e">
        <f aca="false">AND(#REF!,"AAAAAG/9+xw=")</f>
        <v>#VALUE!</v>
      </c>
      <c r="AD46" s="22" t="e">
        <f aca="false">AND(#REF!,"AAAAAG/9+x0=")</f>
        <v>#VALUE!</v>
      </c>
      <c r="AE46" s="22" t="e">
        <f aca="false">AND(#REF!,"AAAAAG/9+x4=")</f>
        <v>#VALUE!</v>
      </c>
      <c r="AF46" s="22" t="e">
        <f aca="false">AND(#REF!,"AAAAAG/9+x8=")</f>
        <v>#VALUE!</v>
      </c>
      <c r="AG46" s="22" t="e">
        <f aca="false">AND(#REF!,"AAAAAG/9+yA=")</f>
        <v>#VALUE!</v>
      </c>
      <c r="AH46" s="22" t="e">
        <f aca="false">AND(#REF!,"AAAAAG/9+yE=")</f>
        <v>#VALUE!</v>
      </c>
      <c r="AI46" s="22" t="e">
        <f aca="false">IF(#REF!,"AAAAAG/9+yI=",0)</f>
        <v>#REF!</v>
      </c>
      <c r="AJ46" s="22" t="e">
        <f aca="false">AND(#REF!,"AAAAAG/9+yM=")</f>
        <v>#VALUE!</v>
      </c>
      <c r="AK46" s="22" t="e">
        <f aca="false">AND(#REF!,"AAAAAG/9+yQ=")</f>
        <v>#VALUE!</v>
      </c>
      <c r="AL46" s="22" t="e">
        <f aca="false">AND(#REF!,"AAAAAG/9+yU=")</f>
        <v>#VALUE!</v>
      </c>
      <c r="AM46" s="22" t="e">
        <f aca="false">AND(#REF!,"AAAAAG/9+yY=")</f>
        <v>#VALUE!</v>
      </c>
      <c r="AN46" s="22" t="e">
        <f aca="false">AND(#REF!,"AAAAAG/9+yc=")</f>
        <v>#VALUE!</v>
      </c>
      <c r="AO46" s="22" t="e">
        <f aca="false">AND(#REF!,"AAAAAG/9+yg=")</f>
        <v>#VALUE!</v>
      </c>
      <c r="AP46" s="22" t="e">
        <f aca="false">IF(#REF!,"AAAAAG/9+yk=",0)</f>
        <v>#REF!</v>
      </c>
      <c r="AQ46" s="22" t="e">
        <f aca="false">AND(#REF!,"AAAAAG/9+yo=")</f>
        <v>#VALUE!</v>
      </c>
      <c r="AR46" s="22" t="e">
        <f aca="false">AND(#REF!,"AAAAAG/9+ys=")</f>
        <v>#VALUE!</v>
      </c>
      <c r="AS46" s="22" t="e">
        <f aca="false">AND(#REF!,"AAAAAG/9+yw=")</f>
        <v>#VALUE!</v>
      </c>
      <c r="AT46" s="22" t="e">
        <f aca="false">AND(#REF!,"AAAAAG/9+y0=")</f>
        <v>#VALUE!</v>
      </c>
      <c r="AU46" s="22" t="e">
        <f aca="false">AND(#REF!,"AAAAAG/9+y4=")</f>
        <v>#VALUE!</v>
      </c>
      <c r="AV46" s="22" t="e">
        <f aca="false">AND(#REF!,"AAAAAG/9+y8=")</f>
        <v>#VALUE!</v>
      </c>
      <c r="AW46" s="22" t="e">
        <f aca="false">IF(#REF!,"AAAAAG/9+zA=",0)</f>
        <v>#REF!</v>
      </c>
      <c r="AX46" s="22" t="e">
        <f aca="false">AND(#REF!,"AAAAAG/9+zE=")</f>
        <v>#VALUE!</v>
      </c>
      <c r="AY46" s="22" t="e">
        <f aca="false">AND(#REF!,"AAAAAG/9+zI=")</f>
        <v>#VALUE!</v>
      </c>
      <c r="AZ46" s="22" t="e">
        <f aca="false">AND(#REF!,"AAAAAG/9+zM=")</f>
        <v>#VALUE!</v>
      </c>
      <c r="BA46" s="22" t="e">
        <f aca="false">AND(#REF!,"AAAAAG/9+zQ=")</f>
        <v>#VALUE!</v>
      </c>
      <c r="BB46" s="22" t="e">
        <f aca="false">AND(#REF!,"AAAAAG/9+zU=")</f>
        <v>#VALUE!</v>
      </c>
      <c r="BC46" s="22" t="e">
        <f aca="false">AND(#REF!,"AAAAAG/9+zY=")</f>
        <v>#VALUE!</v>
      </c>
      <c r="BD46" s="22" t="e">
        <f aca="false">IF(#REF!,"AAAAAG/9+zc=",0)</f>
        <v>#REF!</v>
      </c>
      <c r="BE46" s="22" t="e">
        <f aca="false">AND(#REF!,"AAAAAG/9+zg=")</f>
        <v>#VALUE!</v>
      </c>
      <c r="BF46" s="22" t="e">
        <f aca="false">AND(#REF!,"AAAAAG/9+zk=")</f>
        <v>#VALUE!</v>
      </c>
      <c r="BG46" s="22" t="e">
        <f aca="false">AND(#REF!,"AAAAAG/9+zo=")</f>
        <v>#VALUE!</v>
      </c>
      <c r="BH46" s="22" t="e">
        <f aca="false">AND(#REF!,"AAAAAG/9+zs=")</f>
        <v>#VALUE!</v>
      </c>
      <c r="BI46" s="22" t="e">
        <f aca="false">AND(#REF!,"AAAAAG/9+zw=")</f>
        <v>#VALUE!</v>
      </c>
      <c r="BJ46" s="22" t="e">
        <f aca="false">AND(#REF!,"AAAAAG/9+z0=")</f>
        <v>#VALUE!</v>
      </c>
      <c r="BK46" s="22" t="e">
        <f aca="false">IF(#REF!,"AAAAAG/9+z4=",0)</f>
        <v>#REF!</v>
      </c>
      <c r="BL46" s="22" t="e">
        <f aca="false">AND(#REF!,"AAAAAG/9+z8=")</f>
        <v>#VALUE!</v>
      </c>
      <c r="BM46" s="22" t="e">
        <f aca="false">AND(#REF!,"AAAAAG/9+0A=")</f>
        <v>#VALUE!</v>
      </c>
      <c r="BN46" s="22" t="e">
        <f aca="false">AND(#REF!,"AAAAAG/9+0E=")</f>
        <v>#VALUE!</v>
      </c>
      <c r="BO46" s="22" t="e">
        <f aca="false">AND(#REF!,"AAAAAG/9+0I=")</f>
        <v>#VALUE!</v>
      </c>
      <c r="BP46" s="22" t="e">
        <f aca="false">AND(#REF!,"AAAAAG/9+0M=")</f>
        <v>#VALUE!</v>
      </c>
      <c r="BQ46" s="22" t="e">
        <f aca="false">AND(#REF!,"AAAAAG/9+0Q=")</f>
        <v>#VALUE!</v>
      </c>
      <c r="BR46" s="22" t="e">
        <f aca="false">IF(#REF!,"AAAAAG/9+0U=",0)</f>
        <v>#REF!</v>
      </c>
      <c r="BS46" s="22" t="e">
        <f aca="false">AND(#REF!,"AAAAAG/9+0Y=")</f>
        <v>#VALUE!</v>
      </c>
      <c r="BT46" s="22" t="e">
        <f aca="false">AND(#REF!,"AAAAAG/9+0c=")</f>
        <v>#VALUE!</v>
      </c>
      <c r="BU46" s="22" t="e">
        <f aca="false">AND(#REF!,"AAAAAG/9+0g=")</f>
        <v>#VALUE!</v>
      </c>
      <c r="BV46" s="22" t="e">
        <f aca="false">AND(#REF!,"AAAAAG/9+0k=")</f>
        <v>#VALUE!</v>
      </c>
      <c r="BW46" s="22" t="e">
        <f aca="false">AND(#REF!,"AAAAAG/9+0o=")</f>
        <v>#VALUE!</v>
      </c>
      <c r="BX46" s="22" t="e">
        <f aca="false">AND(#REF!,"AAAAAG/9+0s=")</f>
        <v>#VALUE!</v>
      </c>
      <c r="BY46" s="22" t="e">
        <f aca="false">IF(#REF!,"AAAAAG/9+0w=",0)</f>
        <v>#REF!</v>
      </c>
      <c r="BZ46" s="22" t="e">
        <f aca="false">AND(#REF!,"AAAAAG/9+00=")</f>
        <v>#VALUE!</v>
      </c>
      <c r="CA46" s="22" t="e">
        <f aca="false">AND(#REF!,"AAAAAG/9+04=")</f>
        <v>#VALUE!</v>
      </c>
      <c r="CB46" s="22" t="e">
        <f aca="false">AND(#REF!,"AAAAAG/9+08=")</f>
        <v>#VALUE!</v>
      </c>
      <c r="CC46" s="22" t="e">
        <f aca="false">AND(#REF!,"AAAAAG/9+1A=")</f>
        <v>#VALUE!</v>
      </c>
      <c r="CD46" s="22" t="e">
        <f aca="false">AND(#REF!,"AAAAAG/9+1E=")</f>
        <v>#VALUE!</v>
      </c>
      <c r="CE46" s="22" t="e">
        <f aca="false">AND(#REF!,"AAAAAG/9+1I=")</f>
        <v>#VALUE!</v>
      </c>
      <c r="CF46" s="22" t="e">
        <f aca="false">IF(#REF!,"AAAAAG/9+1M=",0)</f>
        <v>#REF!</v>
      </c>
      <c r="CG46" s="22" t="e">
        <f aca="false">AND(#REF!,"AAAAAG/9+1Q=")</f>
        <v>#VALUE!</v>
      </c>
      <c r="CH46" s="22" t="e">
        <f aca="false">AND(#REF!,"AAAAAG/9+1U=")</f>
        <v>#VALUE!</v>
      </c>
      <c r="CI46" s="22" t="e">
        <f aca="false">AND(#REF!,"AAAAAG/9+1Y=")</f>
        <v>#VALUE!</v>
      </c>
      <c r="CJ46" s="22" t="e">
        <f aca="false">AND(#REF!,"AAAAAG/9+1c=")</f>
        <v>#VALUE!</v>
      </c>
      <c r="CK46" s="22" t="e">
        <f aca="false">AND(#REF!,"AAAAAG/9+1g=")</f>
        <v>#VALUE!</v>
      </c>
      <c r="CL46" s="22" t="e">
        <f aca="false">AND(#REF!,"AAAAAG/9+1k=")</f>
        <v>#VALUE!</v>
      </c>
      <c r="CM46" s="22" t="e">
        <f aca="false">IF(#REF!,"AAAAAG/9+1o=",0)</f>
        <v>#REF!</v>
      </c>
      <c r="CN46" s="22" t="e">
        <f aca="false">AND(#REF!,"AAAAAG/9+1s=")</f>
        <v>#VALUE!</v>
      </c>
      <c r="CO46" s="22" t="e">
        <f aca="false">AND(#REF!,"AAAAAG/9+1w=")</f>
        <v>#VALUE!</v>
      </c>
      <c r="CP46" s="22" t="e">
        <f aca="false">AND(#REF!,"AAAAAG/9+10=")</f>
        <v>#VALUE!</v>
      </c>
      <c r="CQ46" s="22" t="e">
        <f aca="false">AND(#REF!,"AAAAAG/9+14=")</f>
        <v>#VALUE!</v>
      </c>
      <c r="CR46" s="22" t="e">
        <f aca="false">AND(#REF!,"AAAAAG/9+18=")</f>
        <v>#VALUE!</v>
      </c>
      <c r="CS46" s="22" t="e">
        <f aca="false">AND(#REF!,"AAAAAG/9+2A=")</f>
        <v>#VALUE!</v>
      </c>
      <c r="CT46" s="22" t="e">
        <f aca="false">IF(#REF!,"AAAAAG/9+2E=",0)</f>
        <v>#REF!</v>
      </c>
      <c r="CU46" s="22" t="e">
        <f aca="false">AND(#REF!,"AAAAAG/9+2I=")</f>
        <v>#VALUE!</v>
      </c>
      <c r="CV46" s="22" t="e">
        <f aca="false">AND(#REF!,"AAAAAG/9+2M=")</f>
        <v>#VALUE!</v>
      </c>
      <c r="CW46" s="22" t="e">
        <f aca="false">AND(#REF!,"AAAAAG/9+2Q=")</f>
        <v>#VALUE!</v>
      </c>
      <c r="CX46" s="22" t="e">
        <f aca="false">AND(#REF!,"AAAAAG/9+2U=")</f>
        <v>#VALUE!</v>
      </c>
      <c r="CY46" s="22" t="e">
        <f aca="false">AND(#REF!,"AAAAAG/9+2Y=")</f>
        <v>#VALUE!</v>
      </c>
      <c r="CZ46" s="22" t="e">
        <f aca="false">AND(#REF!,"AAAAAG/9+2c=")</f>
        <v>#VALUE!</v>
      </c>
      <c r="DA46" s="22" t="e">
        <f aca="false">IF(#REF!,"AAAAAG/9+2g=",0)</f>
        <v>#REF!</v>
      </c>
      <c r="DB46" s="22" t="e">
        <f aca="false">AND(#REF!,"AAAAAG/9+2k=")</f>
        <v>#VALUE!</v>
      </c>
      <c r="DC46" s="22" t="e">
        <f aca="false">AND(#REF!,"AAAAAG/9+2o=")</f>
        <v>#VALUE!</v>
      </c>
      <c r="DD46" s="22" t="e">
        <f aca="false">AND(#REF!,"AAAAAG/9+2s=")</f>
        <v>#VALUE!</v>
      </c>
      <c r="DE46" s="22" t="e">
        <f aca="false">AND(#REF!,"AAAAAG/9+2w=")</f>
        <v>#VALUE!</v>
      </c>
      <c r="DF46" s="22" t="e">
        <f aca="false">AND(#REF!,"AAAAAG/9+20=")</f>
        <v>#VALUE!</v>
      </c>
      <c r="DG46" s="22" t="e">
        <f aca="false">AND(#REF!,"AAAAAG/9+24=")</f>
        <v>#VALUE!</v>
      </c>
      <c r="DH46" s="22" t="e">
        <f aca="false">IF(#REF!,"AAAAAG/9+28=",0)</f>
        <v>#REF!</v>
      </c>
      <c r="DI46" s="22" t="e">
        <f aca="false">AND(#REF!,"AAAAAG/9+3A=")</f>
        <v>#VALUE!</v>
      </c>
      <c r="DJ46" s="22" t="e">
        <f aca="false">AND(#REF!,"AAAAAG/9+3E=")</f>
        <v>#VALUE!</v>
      </c>
      <c r="DK46" s="22" t="e">
        <f aca="false">AND(#REF!,"AAAAAG/9+3I=")</f>
        <v>#VALUE!</v>
      </c>
      <c r="DL46" s="22" t="e">
        <f aca="false">AND(#REF!,"AAAAAG/9+3M=")</f>
        <v>#VALUE!</v>
      </c>
      <c r="DM46" s="22" t="e">
        <f aca="false">AND(#REF!,"AAAAAG/9+3Q=")</f>
        <v>#VALUE!</v>
      </c>
      <c r="DN46" s="22" t="e">
        <f aca="false">AND(#REF!,"AAAAAG/9+3U=")</f>
        <v>#VALUE!</v>
      </c>
      <c r="DO46" s="22" t="e">
        <f aca="false">IF(#REF!,"AAAAAG/9+3Y=",0)</f>
        <v>#REF!</v>
      </c>
      <c r="DP46" s="22" t="e">
        <f aca="false">AND(#REF!,"AAAAAG/9+3c=")</f>
        <v>#VALUE!</v>
      </c>
      <c r="DQ46" s="22" t="e">
        <f aca="false">AND(#REF!,"AAAAAG/9+3g=")</f>
        <v>#VALUE!</v>
      </c>
      <c r="DR46" s="22" t="e">
        <f aca="false">AND(#REF!,"AAAAAG/9+3k=")</f>
        <v>#VALUE!</v>
      </c>
      <c r="DS46" s="22" t="e">
        <f aca="false">AND(#REF!,"AAAAAG/9+3o=")</f>
        <v>#VALUE!</v>
      </c>
      <c r="DT46" s="22" t="e">
        <f aca="false">AND(#REF!,"AAAAAG/9+3s=")</f>
        <v>#VALUE!</v>
      </c>
      <c r="DU46" s="22" t="e">
        <f aca="false">AND(#REF!,"AAAAAG/9+3w=")</f>
        <v>#VALUE!</v>
      </c>
      <c r="DV46" s="22" t="e">
        <f aca="false">IF(#REF!,"AAAAAG/9+30=",0)</f>
        <v>#REF!</v>
      </c>
      <c r="DW46" s="22" t="e">
        <f aca="false">AND(#REF!,"AAAAAG/9+34=")</f>
        <v>#VALUE!</v>
      </c>
      <c r="DX46" s="22" t="e">
        <f aca="false">AND(#REF!,"AAAAAG/9+38=")</f>
        <v>#VALUE!</v>
      </c>
      <c r="DY46" s="22" t="e">
        <f aca="false">AND(#REF!,"AAAAAG/9+4A=")</f>
        <v>#VALUE!</v>
      </c>
      <c r="DZ46" s="22" t="e">
        <f aca="false">AND(#REF!,"AAAAAG/9+4E=")</f>
        <v>#VALUE!</v>
      </c>
      <c r="EA46" s="22" t="e">
        <f aca="false">AND(#REF!,"AAAAAG/9+4I=")</f>
        <v>#VALUE!</v>
      </c>
      <c r="EB46" s="22" t="e">
        <f aca="false">AND(#REF!,"AAAAAG/9+4M=")</f>
        <v>#VALUE!</v>
      </c>
      <c r="EC46" s="22" t="e">
        <f aca="false">IF(#REF!,"AAAAAG/9+4Q=",0)</f>
        <v>#REF!</v>
      </c>
      <c r="ED46" s="22" t="e">
        <f aca="false">AND(#REF!,"AAAAAG/9+4U=")</f>
        <v>#VALUE!</v>
      </c>
      <c r="EE46" s="22" t="e">
        <f aca="false">AND(#REF!,"AAAAAG/9+4Y=")</f>
        <v>#VALUE!</v>
      </c>
      <c r="EF46" s="22" t="e">
        <f aca="false">AND(#REF!,"AAAAAG/9+4c=")</f>
        <v>#VALUE!</v>
      </c>
      <c r="EG46" s="22" t="e">
        <f aca="false">AND(#REF!,"AAAAAG/9+4g=")</f>
        <v>#VALUE!</v>
      </c>
      <c r="EH46" s="22" t="e">
        <f aca="false">AND(#REF!,"AAAAAG/9+4k=")</f>
        <v>#VALUE!</v>
      </c>
      <c r="EI46" s="22" t="e">
        <f aca="false">AND(#REF!,"AAAAAG/9+4o=")</f>
        <v>#VALUE!</v>
      </c>
      <c r="EJ46" s="22" t="e">
        <f aca="false">IF(#REF!,"AAAAAG/9+4s=",0)</f>
        <v>#REF!</v>
      </c>
      <c r="EK46" s="22" t="e">
        <f aca="false">AND(#REF!,"AAAAAG/9+4w=")</f>
        <v>#VALUE!</v>
      </c>
      <c r="EL46" s="22" t="e">
        <f aca="false">AND(#REF!,"AAAAAG/9+40=")</f>
        <v>#VALUE!</v>
      </c>
      <c r="EM46" s="22" t="e">
        <f aca="false">AND(#REF!,"AAAAAG/9+44=")</f>
        <v>#VALUE!</v>
      </c>
      <c r="EN46" s="22" t="e">
        <f aca="false">AND(#REF!,"AAAAAG/9+48=")</f>
        <v>#VALUE!</v>
      </c>
      <c r="EO46" s="22" t="e">
        <f aca="false">AND(#REF!,"AAAAAG/9+5A=")</f>
        <v>#VALUE!</v>
      </c>
      <c r="EP46" s="22" t="e">
        <f aca="false">AND(#REF!,"AAAAAG/9+5E=")</f>
        <v>#VALUE!</v>
      </c>
      <c r="EQ46" s="22" t="e">
        <f aca="false">IF(#REF!,"AAAAAG/9+5I=",0)</f>
        <v>#REF!</v>
      </c>
      <c r="ER46" s="22" t="e">
        <f aca="false">AND(#REF!,"AAAAAG/9+5M=")</f>
        <v>#VALUE!</v>
      </c>
      <c r="ES46" s="22" t="e">
        <f aca="false">AND(#REF!,"AAAAAG/9+5Q=")</f>
        <v>#VALUE!</v>
      </c>
      <c r="ET46" s="22" t="e">
        <f aca="false">AND(#REF!,"AAAAAG/9+5U=")</f>
        <v>#VALUE!</v>
      </c>
      <c r="EU46" s="22" t="e">
        <f aca="false">AND(#REF!,"AAAAAG/9+5Y=")</f>
        <v>#VALUE!</v>
      </c>
      <c r="EV46" s="22" t="e">
        <f aca="false">AND(#REF!,"AAAAAG/9+5c=")</f>
        <v>#VALUE!</v>
      </c>
      <c r="EW46" s="22" t="e">
        <f aca="false">AND(#REF!,"AAAAAG/9+5g=")</f>
        <v>#VALUE!</v>
      </c>
      <c r="EX46" s="22" t="e">
        <f aca="false">IF(#REF!,"AAAAAG/9+5k=",0)</f>
        <v>#REF!</v>
      </c>
      <c r="EY46" s="22" t="e">
        <f aca="false">AND(#REF!,"AAAAAG/9+5o=")</f>
        <v>#VALUE!</v>
      </c>
      <c r="EZ46" s="22" t="e">
        <f aca="false">AND(#REF!,"AAAAAG/9+5s=")</f>
        <v>#VALUE!</v>
      </c>
      <c r="FA46" s="22" t="e">
        <f aca="false">AND(#REF!,"AAAAAG/9+5w=")</f>
        <v>#VALUE!</v>
      </c>
      <c r="FB46" s="22" t="e">
        <f aca="false">AND(#REF!,"AAAAAG/9+50=")</f>
        <v>#VALUE!</v>
      </c>
      <c r="FC46" s="22" t="e">
        <f aca="false">AND(#REF!,"AAAAAG/9+54=")</f>
        <v>#VALUE!</v>
      </c>
      <c r="FD46" s="22" t="e">
        <f aca="false">AND(#REF!,"AAAAAG/9+58=")</f>
        <v>#VALUE!</v>
      </c>
      <c r="FE46" s="22" t="e">
        <f aca="false">IF(#REF!,"AAAAAG/9+6A=",0)</f>
        <v>#REF!</v>
      </c>
      <c r="FF46" s="22" t="e">
        <f aca="false">AND(#REF!,"AAAAAG/9+6E=")</f>
        <v>#VALUE!</v>
      </c>
      <c r="FG46" s="22" t="e">
        <f aca="false">AND(#REF!,"AAAAAG/9+6I=")</f>
        <v>#VALUE!</v>
      </c>
      <c r="FH46" s="22" t="e">
        <f aca="false">AND(#REF!,"AAAAAG/9+6M=")</f>
        <v>#VALUE!</v>
      </c>
      <c r="FI46" s="22" t="e">
        <f aca="false">AND(#REF!,"AAAAAG/9+6Q=")</f>
        <v>#VALUE!</v>
      </c>
      <c r="FJ46" s="22" t="e">
        <f aca="false">AND(#REF!,"AAAAAG/9+6U=")</f>
        <v>#VALUE!</v>
      </c>
      <c r="FK46" s="22" t="e">
        <f aca="false">AND(#REF!,"AAAAAG/9+6Y=")</f>
        <v>#VALUE!</v>
      </c>
      <c r="FL46" s="22" t="e">
        <f aca="false">IF(#REF!,"AAAAAG/9+6c=",0)</f>
        <v>#REF!</v>
      </c>
      <c r="FM46" s="22" t="e">
        <f aca="false">AND(#REF!,"AAAAAG/9+6g=")</f>
        <v>#VALUE!</v>
      </c>
      <c r="FN46" s="22" t="e">
        <f aca="false">AND(#REF!,"AAAAAG/9+6k=")</f>
        <v>#VALUE!</v>
      </c>
      <c r="FO46" s="22" t="e">
        <f aca="false">AND(#REF!,"AAAAAG/9+6o=")</f>
        <v>#VALUE!</v>
      </c>
      <c r="FP46" s="22" t="e">
        <f aca="false">AND(#REF!,"AAAAAG/9+6s=")</f>
        <v>#VALUE!</v>
      </c>
      <c r="FQ46" s="22" t="e">
        <f aca="false">AND(#REF!,"AAAAAG/9+6w=")</f>
        <v>#VALUE!</v>
      </c>
      <c r="FR46" s="22" t="e">
        <f aca="false">AND(#REF!,"AAAAAG/9+60=")</f>
        <v>#VALUE!</v>
      </c>
      <c r="FS46" s="22" t="e">
        <f aca="false">IF(#REF!,"AAAAAG/9+64=",0)</f>
        <v>#REF!</v>
      </c>
      <c r="FT46" s="22" t="e">
        <f aca="false">AND(#REF!,"AAAAAG/9+68=")</f>
        <v>#VALUE!</v>
      </c>
      <c r="FU46" s="22" t="e">
        <f aca="false">AND(#REF!,"AAAAAG/9+7A=")</f>
        <v>#VALUE!</v>
      </c>
      <c r="FV46" s="22" t="e">
        <f aca="false">AND(#REF!,"AAAAAG/9+7E=")</f>
        <v>#VALUE!</v>
      </c>
      <c r="FW46" s="22" t="e">
        <f aca="false">AND(#REF!,"AAAAAG/9+7I=")</f>
        <v>#VALUE!</v>
      </c>
      <c r="FX46" s="22" t="e">
        <f aca="false">AND(#REF!,"AAAAAG/9+7M=")</f>
        <v>#VALUE!</v>
      </c>
      <c r="FY46" s="22" t="e">
        <f aca="false">AND(#REF!,"AAAAAG/9+7Q=")</f>
        <v>#VALUE!</v>
      </c>
      <c r="FZ46" s="22" t="e">
        <f aca="false">IF(#REF!,"AAAAAG/9+7U=",0)</f>
        <v>#REF!</v>
      </c>
      <c r="GA46" s="22" t="e">
        <f aca="false">AND(#REF!,"AAAAAG/9+7Y=")</f>
        <v>#VALUE!</v>
      </c>
      <c r="GB46" s="22" t="e">
        <f aca="false">AND(#REF!,"AAAAAG/9+7c=")</f>
        <v>#VALUE!</v>
      </c>
      <c r="GC46" s="22" t="e">
        <f aca="false">AND(#REF!,"AAAAAG/9+7g=")</f>
        <v>#VALUE!</v>
      </c>
      <c r="GD46" s="22" t="e">
        <f aca="false">AND(#REF!,"AAAAAG/9+7k=")</f>
        <v>#VALUE!</v>
      </c>
      <c r="GE46" s="22" t="e">
        <f aca="false">AND(#REF!,"AAAAAG/9+7o=")</f>
        <v>#VALUE!</v>
      </c>
      <c r="GF46" s="22" t="e">
        <f aca="false">AND(#REF!,"AAAAAG/9+7s=")</f>
        <v>#VALUE!</v>
      </c>
      <c r="GG46" s="22" t="e">
        <f aca="false">IF(#REF!,"AAAAAG/9+7w=",0)</f>
        <v>#REF!</v>
      </c>
      <c r="GH46" s="22" t="e">
        <f aca="false">AND(#REF!,"AAAAAG/9+70=")</f>
        <v>#VALUE!</v>
      </c>
      <c r="GI46" s="22" t="e">
        <f aca="false">AND(#REF!,"AAAAAG/9+74=")</f>
        <v>#VALUE!</v>
      </c>
      <c r="GJ46" s="22" t="e">
        <f aca="false">AND(#REF!,"AAAAAG/9+78=")</f>
        <v>#VALUE!</v>
      </c>
      <c r="GK46" s="22" t="e">
        <f aca="false">AND(#REF!,"AAAAAG/9+8A=")</f>
        <v>#VALUE!</v>
      </c>
      <c r="GL46" s="22" t="e">
        <f aca="false">AND(#REF!,"AAAAAG/9+8E=")</f>
        <v>#VALUE!</v>
      </c>
      <c r="GM46" s="22" t="e">
        <f aca="false">AND(#REF!,"AAAAAG/9+8I=")</f>
        <v>#VALUE!</v>
      </c>
      <c r="GN46" s="22" t="e">
        <f aca="false">IF(#REF!,"AAAAAG/9+8M=",0)</f>
        <v>#REF!</v>
      </c>
      <c r="GO46" s="22" t="e">
        <f aca="false">AND(#REF!,"AAAAAG/9+8Q=")</f>
        <v>#VALUE!</v>
      </c>
      <c r="GP46" s="22" t="e">
        <f aca="false">AND(#REF!,"AAAAAG/9+8U=")</f>
        <v>#VALUE!</v>
      </c>
      <c r="GQ46" s="22" t="e">
        <f aca="false">AND(#REF!,"AAAAAG/9+8Y=")</f>
        <v>#VALUE!</v>
      </c>
      <c r="GR46" s="22" t="e">
        <f aca="false">AND(#REF!,"AAAAAG/9+8c=")</f>
        <v>#VALUE!</v>
      </c>
      <c r="GS46" s="22" t="e">
        <f aca="false">AND(#REF!,"AAAAAG/9+8g=")</f>
        <v>#VALUE!</v>
      </c>
      <c r="GT46" s="22" t="e">
        <f aca="false">AND(#REF!,"AAAAAG/9+8k=")</f>
        <v>#VALUE!</v>
      </c>
      <c r="GU46" s="22" t="e">
        <f aca="false">IF(#REF!,"AAAAAG/9+8o=",0)</f>
        <v>#REF!</v>
      </c>
      <c r="GV46" s="22" t="e">
        <f aca="false">AND(#REF!,"AAAAAG/9+8s=")</f>
        <v>#VALUE!</v>
      </c>
      <c r="GW46" s="22" t="e">
        <f aca="false">AND(#REF!,"AAAAAG/9+8w=")</f>
        <v>#VALUE!</v>
      </c>
      <c r="GX46" s="22" t="e">
        <f aca="false">AND(#REF!,"AAAAAG/9+80=")</f>
        <v>#VALUE!</v>
      </c>
      <c r="GY46" s="22" t="e">
        <f aca="false">AND(#REF!,"AAAAAG/9+84=")</f>
        <v>#VALUE!</v>
      </c>
      <c r="GZ46" s="22" t="e">
        <f aca="false">AND(#REF!,"AAAAAG/9+88=")</f>
        <v>#VALUE!</v>
      </c>
      <c r="HA46" s="22" t="e">
        <f aca="false">AND(#REF!,"AAAAAG/9+9A=")</f>
        <v>#VALUE!</v>
      </c>
      <c r="HB46" s="22" t="e">
        <f aca="false">IF(#REF!,"AAAAAG/9+9E=",0)</f>
        <v>#REF!</v>
      </c>
      <c r="HC46" s="22" t="e">
        <f aca="false">AND(#REF!,"AAAAAG/9+9I=")</f>
        <v>#VALUE!</v>
      </c>
      <c r="HD46" s="22" t="e">
        <f aca="false">AND(#REF!,"AAAAAG/9+9M=")</f>
        <v>#VALUE!</v>
      </c>
      <c r="HE46" s="22" t="e">
        <f aca="false">AND(#REF!,"AAAAAG/9+9Q=")</f>
        <v>#VALUE!</v>
      </c>
      <c r="HF46" s="22" t="e">
        <f aca="false">AND(#REF!,"AAAAAG/9+9U=")</f>
        <v>#VALUE!</v>
      </c>
      <c r="HG46" s="22" t="e">
        <f aca="false">AND(#REF!,"AAAAAG/9+9Y=")</f>
        <v>#VALUE!</v>
      </c>
      <c r="HH46" s="22" t="e">
        <f aca="false">AND(#REF!,"AAAAAG/9+9c=")</f>
        <v>#VALUE!</v>
      </c>
      <c r="HI46" s="22" t="e">
        <f aca="false">IF(#REF!,"AAAAAG/9+9g=",0)</f>
        <v>#REF!</v>
      </c>
      <c r="HJ46" s="22" t="e">
        <f aca="false">AND(#REF!,"AAAAAG/9+9k=")</f>
        <v>#VALUE!</v>
      </c>
      <c r="HK46" s="22" t="e">
        <f aca="false">AND(#REF!,"AAAAAG/9+9o=")</f>
        <v>#VALUE!</v>
      </c>
      <c r="HL46" s="22" t="e">
        <f aca="false">AND(#REF!,"AAAAAG/9+9s=")</f>
        <v>#VALUE!</v>
      </c>
      <c r="HM46" s="22" t="e">
        <f aca="false">AND(#REF!,"AAAAAG/9+9w=")</f>
        <v>#VALUE!</v>
      </c>
      <c r="HN46" s="22" t="e">
        <f aca="false">AND(#REF!,"AAAAAG/9+90=")</f>
        <v>#VALUE!</v>
      </c>
      <c r="HO46" s="22" t="e">
        <f aca="false">AND(#REF!,"AAAAAG/9+94=")</f>
        <v>#VALUE!</v>
      </c>
      <c r="HP46" s="22" t="e">
        <f aca="false">IF(#REF!,"AAAAAG/9+98=",0)</f>
        <v>#REF!</v>
      </c>
      <c r="HQ46" s="22" t="e">
        <f aca="false">AND(#REF!,"AAAAAG/9++A=")</f>
        <v>#VALUE!</v>
      </c>
      <c r="HR46" s="22" t="e">
        <f aca="false">AND(#REF!,"AAAAAG/9++E=")</f>
        <v>#VALUE!</v>
      </c>
      <c r="HS46" s="22" t="e">
        <f aca="false">AND(#REF!,"AAAAAG/9++I=")</f>
        <v>#VALUE!</v>
      </c>
      <c r="HT46" s="22" t="e">
        <f aca="false">AND(#REF!,"AAAAAG/9++M=")</f>
        <v>#VALUE!</v>
      </c>
      <c r="HU46" s="22" t="e">
        <f aca="false">AND(#REF!,"AAAAAG/9++Q=")</f>
        <v>#VALUE!</v>
      </c>
      <c r="HV46" s="22" t="e">
        <f aca="false">AND(#REF!,"AAAAAG/9++U=")</f>
        <v>#VALUE!</v>
      </c>
      <c r="HW46" s="22" t="e">
        <f aca="false">IF(#REF!,"AAAAAG/9++Y=",0)</f>
        <v>#REF!</v>
      </c>
      <c r="HX46" s="22" t="e">
        <f aca="false">AND(#REF!,"AAAAAG/9++c=")</f>
        <v>#VALUE!</v>
      </c>
      <c r="HY46" s="22" t="e">
        <f aca="false">AND(#REF!,"AAAAAG/9++g=")</f>
        <v>#VALUE!</v>
      </c>
      <c r="HZ46" s="22" t="e">
        <f aca="false">AND(#REF!,"AAAAAG/9++k=")</f>
        <v>#VALUE!</v>
      </c>
      <c r="IA46" s="22" t="e">
        <f aca="false">AND(#REF!,"AAAAAG/9++o=")</f>
        <v>#VALUE!</v>
      </c>
      <c r="IB46" s="22" t="e">
        <f aca="false">AND(#REF!,"AAAAAG/9++s=")</f>
        <v>#VALUE!</v>
      </c>
      <c r="IC46" s="22" t="e">
        <f aca="false">AND(#REF!,"AAAAAG/9++w=")</f>
        <v>#VALUE!</v>
      </c>
      <c r="ID46" s="22" t="e">
        <f aca="false">IF(#REF!,"AAAAAG/9++0=",0)</f>
        <v>#REF!</v>
      </c>
      <c r="IE46" s="22" t="e">
        <f aca="false">AND(#REF!,"AAAAAG/9++4=")</f>
        <v>#VALUE!</v>
      </c>
      <c r="IF46" s="22" t="e">
        <f aca="false">AND(#REF!,"AAAAAG/9++8=")</f>
        <v>#VALUE!</v>
      </c>
      <c r="IG46" s="22" t="e">
        <f aca="false">AND(#REF!,"AAAAAG/9+/A=")</f>
        <v>#VALUE!</v>
      </c>
      <c r="IH46" s="22" t="e">
        <f aca="false">AND(#REF!,"AAAAAG/9+/E=")</f>
        <v>#VALUE!</v>
      </c>
      <c r="II46" s="22" t="e">
        <f aca="false">AND(#REF!,"AAAAAG/9+/I=")</f>
        <v>#VALUE!</v>
      </c>
      <c r="IJ46" s="22" t="e">
        <f aca="false">AND(#REF!,"AAAAAG/9+/M=")</f>
        <v>#VALUE!</v>
      </c>
      <c r="IK46" s="22" t="e">
        <f aca="false">IF(#REF!,"AAAAAG/9+/Q=",0)</f>
        <v>#REF!</v>
      </c>
      <c r="IL46" s="22" t="e">
        <f aca="false">AND(#REF!,"AAAAAG/9+/U=")</f>
        <v>#VALUE!</v>
      </c>
      <c r="IM46" s="22" t="e">
        <f aca="false">AND(#REF!,"AAAAAG/9+/Y=")</f>
        <v>#VALUE!</v>
      </c>
      <c r="IN46" s="22" t="e">
        <f aca="false">AND(#REF!,"AAAAAG/9+/c=")</f>
        <v>#VALUE!</v>
      </c>
      <c r="IO46" s="22" t="e">
        <f aca="false">AND(#REF!,"AAAAAG/9+/g=")</f>
        <v>#VALUE!</v>
      </c>
      <c r="IP46" s="22" t="e">
        <f aca="false">AND(#REF!,"AAAAAG/9+/k=")</f>
        <v>#VALUE!</v>
      </c>
      <c r="IQ46" s="22" t="e">
        <f aca="false">AND(#REF!,"AAAAAG/9+/o=")</f>
        <v>#VALUE!</v>
      </c>
      <c r="IR46" s="22" t="e">
        <f aca="false">IF(#REF!,"AAAAAG/9+/s=",0)</f>
        <v>#REF!</v>
      </c>
      <c r="IS46" s="22" t="e">
        <f aca="false">AND(#REF!,"AAAAAG/9+/w=")</f>
        <v>#VALUE!</v>
      </c>
      <c r="IT46" s="22" t="e">
        <f aca="false">AND(#REF!,"AAAAAG/9+/0=")</f>
        <v>#VALUE!</v>
      </c>
      <c r="IU46" s="22" t="e">
        <f aca="false">AND(#REF!,"AAAAAG/9+/4=")</f>
        <v>#VALUE!</v>
      </c>
      <c r="IV46" s="22" t="e">
        <f aca="false">AND(#REF!,"AAAAAG/9+/8=")</f>
        <v>#VALUE!</v>
      </c>
    </row>
    <row r="47" customFormat="false" ht="12.75" hidden="false" customHeight="false" outlineLevel="0" collapsed="false">
      <c r="A47" s="22" t="e">
        <f aca="false">AND(#REF!,"AAAAAHw/vgA=")</f>
        <v>#VALUE!</v>
      </c>
      <c r="B47" s="22" t="e">
        <f aca="false">AND(#REF!,"AAAAAHw/vgE=")</f>
        <v>#VALUE!</v>
      </c>
      <c r="C47" s="22" t="e">
        <f aca="false">IF(#REF!,"AAAAAHw/vgI=",0)</f>
        <v>#REF!</v>
      </c>
      <c r="D47" s="22" t="e">
        <f aca="false">AND(#REF!,"AAAAAHw/vgM=")</f>
        <v>#VALUE!</v>
      </c>
      <c r="E47" s="22" t="e">
        <f aca="false">AND(#REF!,"AAAAAHw/vgQ=")</f>
        <v>#VALUE!</v>
      </c>
      <c r="F47" s="22" t="e">
        <f aca="false">AND(#REF!,"AAAAAHw/vgU=")</f>
        <v>#VALUE!</v>
      </c>
      <c r="G47" s="22" t="e">
        <f aca="false">AND(#REF!,"AAAAAHw/vgY=")</f>
        <v>#VALUE!</v>
      </c>
      <c r="H47" s="22" t="e">
        <f aca="false">AND(#REF!,"AAAAAHw/vgc=")</f>
        <v>#VALUE!</v>
      </c>
      <c r="I47" s="22" t="e">
        <f aca="false">AND(#REF!,"AAAAAHw/vgg=")</f>
        <v>#VALUE!</v>
      </c>
      <c r="J47" s="22" t="e">
        <f aca="false">IF(#REF!,"AAAAAHw/vgk=",0)</f>
        <v>#REF!</v>
      </c>
      <c r="K47" s="22" t="e">
        <f aca="false">AND(#REF!,"AAAAAHw/vgo=")</f>
        <v>#VALUE!</v>
      </c>
      <c r="L47" s="22" t="e">
        <f aca="false">AND(#REF!,"AAAAAHw/vgs=")</f>
        <v>#VALUE!</v>
      </c>
      <c r="M47" s="22" t="e">
        <f aca="false">AND(#REF!,"AAAAAHw/vgw=")</f>
        <v>#VALUE!</v>
      </c>
      <c r="N47" s="22" t="e">
        <f aca="false">AND(#REF!,"AAAAAHw/vg0=")</f>
        <v>#VALUE!</v>
      </c>
      <c r="O47" s="22" t="e">
        <f aca="false">AND(#REF!,"AAAAAHw/vg4=")</f>
        <v>#VALUE!</v>
      </c>
      <c r="P47" s="22" t="e">
        <f aca="false">AND(#REF!,"AAAAAHw/vg8=")</f>
        <v>#VALUE!</v>
      </c>
      <c r="Q47" s="22" t="e">
        <f aca="false">IF(#REF!,"AAAAAHw/vhA=",0)</f>
        <v>#REF!</v>
      </c>
      <c r="R47" s="22" t="e">
        <f aca="false">AND(#REF!,"AAAAAHw/vhE=")</f>
        <v>#VALUE!</v>
      </c>
      <c r="S47" s="22" t="e">
        <f aca="false">AND(#REF!,"AAAAAHw/vhI=")</f>
        <v>#VALUE!</v>
      </c>
      <c r="T47" s="22" t="e">
        <f aca="false">AND(#REF!,"AAAAAHw/vhM=")</f>
        <v>#VALUE!</v>
      </c>
      <c r="U47" s="22" t="e">
        <f aca="false">AND(#REF!,"AAAAAHw/vhQ=")</f>
        <v>#VALUE!</v>
      </c>
      <c r="V47" s="22" t="e">
        <f aca="false">AND(#REF!,"AAAAAHw/vhU=")</f>
        <v>#VALUE!</v>
      </c>
      <c r="W47" s="22" t="e">
        <f aca="false">AND(#REF!,"AAAAAHw/vhY=")</f>
        <v>#VALUE!</v>
      </c>
      <c r="X47" s="22" t="e">
        <f aca="false">IF(#REF!,"AAAAAHw/vhc=",0)</f>
        <v>#REF!</v>
      </c>
      <c r="Y47" s="22" t="e">
        <f aca="false">AND(#REF!,"AAAAAHw/vhg=")</f>
        <v>#VALUE!</v>
      </c>
      <c r="Z47" s="22" t="e">
        <f aca="false">AND(#REF!,"AAAAAHw/vhk=")</f>
        <v>#VALUE!</v>
      </c>
      <c r="AA47" s="22" t="e">
        <f aca="false">AND(#REF!,"AAAAAHw/vho=")</f>
        <v>#VALUE!</v>
      </c>
      <c r="AB47" s="22" t="e">
        <f aca="false">AND(#REF!,"AAAAAHw/vhs=")</f>
        <v>#VALUE!</v>
      </c>
      <c r="AC47" s="22" t="e">
        <f aca="false">AND(#REF!,"AAAAAHw/vhw=")</f>
        <v>#VALUE!</v>
      </c>
      <c r="AD47" s="22" t="e">
        <f aca="false">AND(#REF!,"AAAAAHw/vh0=")</f>
        <v>#VALUE!</v>
      </c>
      <c r="AE47" s="22" t="e">
        <f aca="false">IF(#REF!,"AAAAAHw/vh4=",0)</f>
        <v>#REF!</v>
      </c>
      <c r="AF47" s="22" t="e">
        <f aca="false">AND(#REF!,"AAAAAHw/vh8=")</f>
        <v>#VALUE!</v>
      </c>
      <c r="AG47" s="22" t="e">
        <f aca="false">AND(#REF!,"AAAAAHw/viA=")</f>
        <v>#VALUE!</v>
      </c>
      <c r="AH47" s="22" t="e">
        <f aca="false">AND(#REF!,"AAAAAHw/viE=")</f>
        <v>#VALUE!</v>
      </c>
      <c r="AI47" s="22" t="e">
        <f aca="false">AND(#REF!,"AAAAAHw/viI=")</f>
        <v>#VALUE!</v>
      </c>
      <c r="AJ47" s="22" t="e">
        <f aca="false">AND(#REF!,"AAAAAHw/viM=")</f>
        <v>#VALUE!</v>
      </c>
      <c r="AK47" s="22" t="e">
        <f aca="false">AND(#REF!,"AAAAAHw/viQ=")</f>
        <v>#VALUE!</v>
      </c>
      <c r="AL47" s="22" t="e">
        <f aca="false">IF(#REF!,"AAAAAHw/viU=",0)</f>
        <v>#REF!</v>
      </c>
      <c r="AM47" s="22" t="e">
        <f aca="false">AND(#REF!,"AAAAAHw/viY=")</f>
        <v>#VALUE!</v>
      </c>
      <c r="AN47" s="22" t="e">
        <f aca="false">AND(#REF!,"AAAAAHw/vic=")</f>
        <v>#VALUE!</v>
      </c>
      <c r="AO47" s="22" t="e">
        <f aca="false">AND(#REF!,"AAAAAHw/vig=")</f>
        <v>#VALUE!</v>
      </c>
      <c r="AP47" s="22" t="e">
        <f aca="false">AND(#REF!,"AAAAAHw/vik=")</f>
        <v>#VALUE!</v>
      </c>
      <c r="AQ47" s="22" t="e">
        <f aca="false">AND(#REF!,"AAAAAHw/vio=")</f>
        <v>#VALUE!</v>
      </c>
      <c r="AR47" s="22" t="e">
        <f aca="false">AND(#REF!,"AAAAAHw/vis=")</f>
        <v>#VALUE!</v>
      </c>
      <c r="AS47" s="22" t="e">
        <f aca="false">IF(#REF!,"AAAAAHw/viw=",0)</f>
        <v>#REF!</v>
      </c>
      <c r="AT47" s="22" t="e">
        <f aca="false">AND(#REF!,"AAAAAHw/vi0=")</f>
        <v>#VALUE!</v>
      </c>
      <c r="AU47" s="22" t="e">
        <f aca="false">AND(#REF!,"AAAAAHw/vi4=")</f>
        <v>#VALUE!</v>
      </c>
      <c r="AV47" s="22" t="e">
        <f aca="false">AND(#REF!,"AAAAAHw/vi8=")</f>
        <v>#VALUE!</v>
      </c>
      <c r="AW47" s="22" t="e">
        <f aca="false">AND(#REF!,"AAAAAHw/vjA=")</f>
        <v>#VALUE!</v>
      </c>
      <c r="AX47" s="22" t="e">
        <f aca="false">AND(#REF!,"AAAAAHw/vjE=")</f>
        <v>#VALUE!</v>
      </c>
      <c r="AY47" s="22" t="e">
        <f aca="false">AND(#REF!,"AAAAAHw/vjI=")</f>
        <v>#VALUE!</v>
      </c>
      <c r="AZ47" s="22" t="e">
        <f aca="false">IF(#REF!,"AAAAAHw/vjM=",0)</f>
        <v>#REF!</v>
      </c>
      <c r="BA47" s="22" t="e">
        <f aca="false">AND(#REF!,"AAAAAHw/vjQ=")</f>
        <v>#VALUE!</v>
      </c>
      <c r="BB47" s="22" t="e">
        <f aca="false">AND(#REF!,"AAAAAHw/vjU=")</f>
        <v>#VALUE!</v>
      </c>
      <c r="BC47" s="22" t="e">
        <f aca="false">AND(#REF!,"AAAAAHw/vjY=")</f>
        <v>#VALUE!</v>
      </c>
      <c r="BD47" s="22" t="e">
        <f aca="false">AND(#REF!,"AAAAAHw/vjc=")</f>
        <v>#VALUE!</v>
      </c>
      <c r="BE47" s="22" t="e">
        <f aca="false">AND(#REF!,"AAAAAHw/vjg=")</f>
        <v>#VALUE!</v>
      </c>
      <c r="BF47" s="22" t="e">
        <f aca="false">AND(#REF!,"AAAAAHw/vjk=")</f>
        <v>#VALUE!</v>
      </c>
      <c r="BG47" s="22" t="e">
        <f aca="false">IF(#REF!,"AAAAAHw/vjo=",0)</f>
        <v>#REF!</v>
      </c>
      <c r="BH47" s="22" t="e">
        <f aca="false">AND(#REF!,"AAAAAHw/vjs=")</f>
        <v>#VALUE!</v>
      </c>
      <c r="BI47" s="22" t="e">
        <f aca="false">AND(#REF!,"AAAAAHw/vjw=")</f>
        <v>#VALUE!</v>
      </c>
      <c r="BJ47" s="22" t="e">
        <f aca="false">AND(#REF!,"AAAAAHw/vj0=")</f>
        <v>#VALUE!</v>
      </c>
      <c r="BK47" s="22" t="e">
        <f aca="false">AND(#REF!,"AAAAAHw/vj4=")</f>
        <v>#VALUE!</v>
      </c>
      <c r="BL47" s="22" t="e">
        <f aca="false">AND(#REF!,"AAAAAHw/vj8=")</f>
        <v>#VALUE!</v>
      </c>
      <c r="BM47" s="22" t="e">
        <f aca="false">AND(#REF!,"AAAAAHw/vkA=")</f>
        <v>#VALUE!</v>
      </c>
      <c r="BN47" s="22" t="e">
        <f aca="false">IF(#REF!,"AAAAAHw/vkE=",0)</f>
        <v>#REF!</v>
      </c>
      <c r="BO47" s="22" t="e">
        <f aca="false">AND(#REF!,"AAAAAHw/vkI=")</f>
        <v>#VALUE!</v>
      </c>
      <c r="BP47" s="22" t="e">
        <f aca="false">AND(#REF!,"AAAAAHw/vkM=")</f>
        <v>#VALUE!</v>
      </c>
      <c r="BQ47" s="22" t="e">
        <f aca="false">AND(#REF!,"AAAAAHw/vkQ=")</f>
        <v>#VALUE!</v>
      </c>
      <c r="BR47" s="22" t="e">
        <f aca="false">AND(#REF!,"AAAAAHw/vkU=")</f>
        <v>#VALUE!</v>
      </c>
      <c r="BS47" s="22" t="e">
        <f aca="false">AND(#REF!,"AAAAAHw/vkY=")</f>
        <v>#VALUE!</v>
      </c>
      <c r="BT47" s="22" t="e">
        <f aca="false">AND(#REF!,"AAAAAHw/vkc=")</f>
        <v>#VALUE!</v>
      </c>
      <c r="BU47" s="22" t="e">
        <f aca="false">IF(#REF!,"AAAAAHw/vkg=",0)</f>
        <v>#REF!</v>
      </c>
      <c r="BV47" s="22" t="e">
        <f aca="false">AND(#REF!,"AAAAAHw/vkk=")</f>
        <v>#VALUE!</v>
      </c>
      <c r="BW47" s="22" t="e">
        <f aca="false">AND(#REF!,"AAAAAHw/vko=")</f>
        <v>#VALUE!</v>
      </c>
      <c r="BX47" s="22" t="e">
        <f aca="false">AND(#REF!,"AAAAAHw/vks=")</f>
        <v>#VALUE!</v>
      </c>
      <c r="BY47" s="22" t="e">
        <f aca="false">AND(#REF!,"AAAAAHw/vkw=")</f>
        <v>#VALUE!</v>
      </c>
      <c r="BZ47" s="22" t="e">
        <f aca="false">AND(#REF!,"AAAAAHw/vk0=")</f>
        <v>#VALUE!</v>
      </c>
      <c r="CA47" s="22" t="e">
        <f aca="false">AND(#REF!,"AAAAAHw/vk4=")</f>
        <v>#VALUE!</v>
      </c>
      <c r="CB47" s="22" t="e">
        <f aca="false">IF(#REF!,"AAAAAHw/vk8=",0)</f>
        <v>#REF!</v>
      </c>
      <c r="CC47" s="22" t="e">
        <f aca="false">AND(#REF!,"AAAAAHw/vlA=")</f>
        <v>#VALUE!</v>
      </c>
      <c r="CD47" s="22" t="e">
        <f aca="false">AND(#REF!,"AAAAAHw/vlE=")</f>
        <v>#VALUE!</v>
      </c>
      <c r="CE47" s="22" t="e">
        <f aca="false">AND(#REF!,"AAAAAHw/vlI=")</f>
        <v>#VALUE!</v>
      </c>
      <c r="CF47" s="22" t="e">
        <f aca="false">AND(#REF!,"AAAAAHw/vlM=")</f>
        <v>#VALUE!</v>
      </c>
      <c r="CG47" s="22" t="e">
        <f aca="false">AND(#REF!,"AAAAAHw/vlQ=")</f>
        <v>#VALUE!</v>
      </c>
      <c r="CH47" s="22" t="e">
        <f aca="false">AND(#REF!,"AAAAAHw/vlU=")</f>
        <v>#VALUE!</v>
      </c>
      <c r="CI47" s="22" t="e">
        <f aca="false">IF(#REF!,"AAAAAHw/vlY=",0)</f>
        <v>#REF!</v>
      </c>
      <c r="CJ47" s="22" t="e">
        <f aca="false">AND(#REF!,"AAAAAHw/vlc=")</f>
        <v>#VALUE!</v>
      </c>
      <c r="CK47" s="22" t="e">
        <f aca="false">AND(#REF!,"AAAAAHw/vlg=")</f>
        <v>#VALUE!</v>
      </c>
      <c r="CL47" s="22" t="e">
        <f aca="false">AND(#REF!,"AAAAAHw/vlk=")</f>
        <v>#VALUE!</v>
      </c>
      <c r="CM47" s="22" t="e">
        <f aca="false">AND(#REF!,"AAAAAHw/vlo=")</f>
        <v>#VALUE!</v>
      </c>
      <c r="CN47" s="22" t="e">
        <f aca="false">AND(#REF!,"AAAAAHw/vls=")</f>
        <v>#VALUE!</v>
      </c>
      <c r="CO47" s="22" t="e">
        <f aca="false">AND(#REF!,"AAAAAHw/vlw=")</f>
        <v>#VALUE!</v>
      </c>
      <c r="CP47" s="22" t="e">
        <f aca="false">IF(#REF!,"AAAAAHw/vl0=",0)</f>
        <v>#REF!</v>
      </c>
      <c r="CQ47" s="22" t="e">
        <f aca="false">AND(#REF!,"AAAAAHw/vl4=")</f>
        <v>#VALUE!</v>
      </c>
      <c r="CR47" s="22" t="e">
        <f aca="false">AND(#REF!,"AAAAAHw/vl8=")</f>
        <v>#VALUE!</v>
      </c>
      <c r="CS47" s="22" t="e">
        <f aca="false">AND(#REF!,"AAAAAHw/vmA=")</f>
        <v>#VALUE!</v>
      </c>
      <c r="CT47" s="22" t="e">
        <f aca="false">AND(#REF!,"AAAAAHw/vmE=")</f>
        <v>#VALUE!</v>
      </c>
      <c r="CU47" s="22" t="e">
        <f aca="false">AND(#REF!,"AAAAAHw/vmI=")</f>
        <v>#VALUE!</v>
      </c>
      <c r="CV47" s="22" t="e">
        <f aca="false">AND(#REF!,"AAAAAHw/vmM=")</f>
        <v>#VALUE!</v>
      </c>
      <c r="CW47" s="22" t="e">
        <f aca="false">IF(#REF!,"AAAAAHw/vmQ=",0)</f>
        <v>#REF!</v>
      </c>
      <c r="CX47" s="22" t="e">
        <f aca="false">AND(#REF!,"AAAAAHw/vmU=")</f>
        <v>#VALUE!</v>
      </c>
      <c r="CY47" s="22" t="e">
        <f aca="false">AND(#REF!,"AAAAAHw/vmY=")</f>
        <v>#VALUE!</v>
      </c>
      <c r="CZ47" s="22" t="e">
        <f aca="false">AND(#REF!,"AAAAAHw/vmc=")</f>
        <v>#VALUE!</v>
      </c>
      <c r="DA47" s="22" t="e">
        <f aca="false">AND(#REF!,"AAAAAHw/vmg=")</f>
        <v>#VALUE!</v>
      </c>
      <c r="DB47" s="22" t="e">
        <f aca="false">AND(#REF!,"AAAAAHw/vmk=")</f>
        <v>#VALUE!</v>
      </c>
      <c r="DC47" s="22" t="e">
        <f aca="false">AND(#REF!,"AAAAAHw/vmo=")</f>
        <v>#VALUE!</v>
      </c>
      <c r="DD47" s="22" t="e">
        <f aca="false">IF(#REF!,"AAAAAHw/vms=",0)</f>
        <v>#REF!</v>
      </c>
      <c r="DE47" s="22" t="e">
        <f aca="false">AND(#REF!,"AAAAAHw/vmw=")</f>
        <v>#VALUE!</v>
      </c>
      <c r="DF47" s="22" t="e">
        <f aca="false">AND(#REF!,"AAAAAHw/vm0=")</f>
        <v>#VALUE!</v>
      </c>
      <c r="DG47" s="22" t="e">
        <f aca="false">AND(#REF!,"AAAAAHw/vm4=")</f>
        <v>#VALUE!</v>
      </c>
      <c r="DH47" s="22" t="e">
        <f aca="false">AND(#REF!,"AAAAAHw/vm8=")</f>
        <v>#VALUE!</v>
      </c>
      <c r="DI47" s="22" t="e">
        <f aca="false">AND(#REF!,"AAAAAHw/vnA=")</f>
        <v>#VALUE!</v>
      </c>
      <c r="DJ47" s="22" t="e">
        <f aca="false">AND(#REF!,"AAAAAHw/vnE=")</f>
        <v>#VALUE!</v>
      </c>
      <c r="DK47" s="22" t="e">
        <f aca="false">IF(#REF!,"AAAAAHw/vnI=",0)</f>
        <v>#REF!</v>
      </c>
      <c r="DL47" s="22" t="e">
        <f aca="false">AND(#REF!,"AAAAAHw/vnM=")</f>
        <v>#VALUE!</v>
      </c>
      <c r="DM47" s="22" t="e">
        <f aca="false">AND(#REF!,"AAAAAHw/vnQ=")</f>
        <v>#VALUE!</v>
      </c>
      <c r="DN47" s="22" t="e">
        <f aca="false">AND(#REF!,"AAAAAHw/vnU=")</f>
        <v>#VALUE!</v>
      </c>
      <c r="DO47" s="22" t="e">
        <f aca="false">AND(#REF!,"AAAAAHw/vnY=")</f>
        <v>#VALUE!</v>
      </c>
      <c r="DP47" s="22" t="e">
        <f aca="false">AND(#REF!,"AAAAAHw/vnc=")</f>
        <v>#VALUE!</v>
      </c>
      <c r="DQ47" s="22" t="e">
        <f aca="false">AND(#REF!,"AAAAAHw/vng=")</f>
        <v>#VALUE!</v>
      </c>
      <c r="DR47" s="22" t="e">
        <f aca="false">IF(#REF!,"AAAAAHw/vnk=",0)</f>
        <v>#REF!</v>
      </c>
      <c r="DS47" s="22" t="e">
        <f aca="false">AND(#REF!,"AAAAAHw/vno=")</f>
        <v>#VALUE!</v>
      </c>
      <c r="DT47" s="22" t="e">
        <f aca="false">AND(#REF!,"AAAAAHw/vns=")</f>
        <v>#VALUE!</v>
      </c>
      <c r="DU47" s="22" t="e">
        <f aca="false">AND(#REF!,"AAAAAHw/vnw=")</f>
        <v>#VALUE!</v>
      </c>
      <c r="DV47" s="22" t="e">
        <f aca="false">AND(#REF!,"AAAAAHw/vn0=")</f>
        <v>#VALUE!</v>
      </c>
      <c r="DW47" s="22" t="e">
        <f aca="false">AND(#REF!,"AAAAAHw/vn4=")</f>
        <v>#VALUE!</v>
      </c>
      <c r="DX47" s="22" t="e">
        <f aca="false">AND(#REF!,"AAAAAHw/vn8=")</f>
        <v>#VALUE!</v>
      </c>
      <c r="DY47" s="22" t="e">
        <f aca="false">IF(#REF!,"AAAAAHw/voA=",0)</f>
        <v>#REF!</v>
      </c>
      <c r="DZ47" s="22" t="e">
        <f aca="false">AND(#REF!,"AAAAAHw/voE=")</f>
        <v>#VALUE!</v>
      </c>
      <c r="EA47" s="22" t="e">
        <f aca="false">AND(#REF!,"AAAAAHw/voI=")</f>
        <v>#VALUE!</v>
      </c>
      <c r="EB47" s="22" t="e">
        <f aca="false">AND(#REF!,"AAAAAHw/voM=")</f>
        <v>#VALUE!</v>
      </c>
      <c r="EC47" s="22" t="e">
        <f aca="false">AND(#REF!,"AAAAAHw/voQ=")</f>
        <v>#VALUE!</v>
      </c>
      <c r="ED47" s="22" t="e">
        <f aca="false">AND(#REF!,"AAAAAHw/voU=")</f>
        <v>#VALUE!</v>
      </c>
      <c r="EE47" s="22" t="e">
        <f aca="false">AND(#REF!,"AAAAAHw/voY=")</f>
        <v>#VALUE!</v>
      </c>
      <c r="EF47" s="22" t="e">
        <f aca="false">IF(#REF!,"AAAAAHw/voc=",0)</f>
        <v>#REF!</v>
      </c>
      <c r="EG47" s="22" t="e">
        <f aca="false">AND(#REF!,"AAAAAHw/vog=")</f>
        <v>#VALUE!</v>
      </c>
      <c r="EH47" s="22" t="e">
        <f aca="false">AND(#REF!,"AAAAAHw/vok=")</f>
        <v>#VALUE!</v>
      </c>
      <c r="EI47" s="22" t="e">
        <f aca="false">AND(#REF!,"AAAAAHw/voo=")</f>
        <v>#VALUE!</v>
      </c>
      <c r="EJ47" s="22" t="e">
        <f aca="false">AND(#REF!,"AAAAAHw/vos=")</f>
        <v>#VALUE!</v>
      </c>
      <c r="EK47" s="22" t="e">
        <f aca="false">AND(#REF!,"AAAAAHw/vow=")</f>
        <v>#VALUE!</v>
      </c>
      <c r="EL47" s="22" t="e">
        <f aca="false">AND(#REF!,"AAAAAHw/vo0=")</f>
        <v>#VALUE!</v>
      </c>
      <c r="EM47" s="22" t="e">
        <f aca="false">IF(#REF!,"AAAAAHw/vo4=",0)</f>
        <v>#REF!</v>
      </c>
      <c r="EN47" s="22" t="e">
        <f aca="false">AND(#REF!,"AAAAAHw/vo8=")</f>
        <v>#VALUE!</v>
      </c>
      <c r="EO47" s="22" t="e">
        <f aca="false">AND(#REF!,"AAAAAHw/vpA=")</f>
        <v>#VALUE!</v>
      </c>
      <c r="EP47" s="22" t="e">
        <f aca="false">AND(#REF!,"AAAAAHw/vpE=")</f>
        <v>#VALUE!</v>
      </c>
      <c r="EQ47" s="22" t="e">
        <f aca="false">AND(#REF!,"AAAAAHw/vpI=")</f>
        <v>#VALUE!</v>
      </c>
      <c r="ER47" s="22" t="e">
        <f aca="false">AND(#REF!,"AAAAAHw/vpM=")</f>
        <v>#VALUE!</v>
      </c>
      <c r="ES47" s="22" t="e">
        <f aca="false">AND(#REF!,"AAAAAHw/vpQ=")</f>
        <v>#VALUE!</v>
      </c>
      <c r="ET47" s="22" t="e">
        <f aca="false">IF(#REF!,"AAAAAHw/vpU=",0)</f>
        <v>#REF!</v>
      </c>
      <c r="EU47" s="22" t="e">
        <f aca="false">AND(#REF!,"AAAAAHw/vpY=")</f>
        <v>#VALUE!</v>
      </c>
      <c r="EV47" s="22" t="e">
        <f aca="false">AND(#REF!,"AAAAAHw/vpc=")</f>
        <v>#VALUE!</v>
      </c>
      <c r="EW47" s="22" t="e">
        <f aca="false">AND(#REF!,"AAAAAHw/vpg=")</f>
        <v>#VALUE!</v>
      </c>
      <c r="EX47" s="22" t="e">
        <f aca="false">AND(#REF!,"AAAAAHw/vpk=")</f>
        <v>#VALUE!</v>
      </c>
      <c r="EY47" s="22" t="e">
        <f aca="false">AND(#REF!,"AAAAAHw/vpo=")</f>
        <v>#VALUE!</v>
      </c>
      <c r="EZ47" s="22" t="e">
        <f aca="false">AND(#REF!,"AAAAAHw/vps=")</f>
        <v>#VALUE!</v>
      </c>
      <c r="FA47" s="22" t="e">
        <f aca="false">IF(#REF!,"AAAAAHw/vpw=",0)</f>
        <v>#REF!</v>
      </c>
      <c r="FB47" s="22" t="e">
        <f aca="false">AND(#REF!,"AAAAAHw/vp0=")</f>
        <v>#VALUE!</v>
      </c>
      <c r="FC47" s="22" t="e">
        <f aca="false">AND(#REF!,"AAAAAHw/vp4=")</f>
        <v>#VALUE!</v>
      </c>
      <c r="FD47" s="22" t="e">
        <f aca="false">AND(#REF!,"AAAAAHw/vp8=")</f>
        <v>#VALUE!</v>
      </c>
      <c r="FE47" s="22" t="e">
        <f aca="false">AND(#REF!,"AAAAAHw/vqA=")</f>
        <v>#VALUE!</v>
      </c>
      <c r="FF47" s="22" t="e">
        <f aca="false">AND(#REF!,"AAAAAHw/vqE=")</f>
        <v>#VALUE!</v>
      </c>
      <c r="FG47" s="22" t="e">
        <f aca="false">AND(#REF!,"AAAAAHw/vqI=")</f>
        <v>#VALUE!</v>
      </c>
      <c r="FH47" s="22" t="e">
        <f aca="false">IF(#REF!,"AAAAAHw/vqM=",0)</f>
        <v>#REF!</v>
      </c>
      <c r="FI47" s="22" t="e">
        <f aca="false">AND(#REF!,"AAAAAHw/vqQ=")</f>
        <v>#VALUE!</v>
      </c>
      <c r="FJ47" s="22" t="e">
        <f aca="false">AND(#REF!,"AAAAAHw/vqU=")</f>
        <v>#VALUE!</v>
      </c>
      <c r="FK47" s="22" t="e">
        <f aca="false">AND(#REF!,"AAAAAHw/vqY=")</f>
        <v>#VALUE!</v>
      </c>
      <c r="FL47" s="22" t="e">
        <f aca="false">AND(#REF!,"AAAAAHw/vqc=")</f>
        <v>#VALUE!</v>
      </c>
      <c r="FM47" s="22" t="e">
        <f aca="false">AND(#REF!,"AAAAAHw/vqg=")</f>
        <v>#VALUE!</v>
      </c>
      <c r="FN47" s="22" t="e">
        <f aca="false">AND(#REF!,"AAAAAHw/vqk=")</f>
        <v>#VALUE!</v>
      </c>
      <c r="FO47" s="22" t="e">
        <f aca="false">IF(#REF!,"AAAAAHw/vqo=",0)</f>
        <v>#REF!</v>
      </c>
      <c r="FP47" s="22" t="e">
        <f aca="false">AND(#REF!,"AAAAAHw/vqs=")</f>
        <v>#VALUE!</v>
      </c>
      <c r="FQ47" s="22" t="e">
        <f aca="false">AND(#REF!,"AAAAAHw/vqw=")</f>
        <v>#VALUE!</v>
      </c>
      <c r="FR47" s="22" t="e">
        <f aca="false">AND(#REF!,"AAAAAHw/vq0=")</f>
        <v>#VALUE!</v>
      </c>
      <c r="FS47" s="22" t="e">
        <f aca="false">AND(#REF!,"AAAAAHw/vq4=")</f>
        <v>#VALUE!</v>
      </c>
      <c r="FT47" s="22" t="e">
        <f aca="false">AND(#REF!,"AAAAAHw/vq8=")</f>
        <v>#VALUE!</v>
      </c>
      <c r="FU47" s="22" t="e">
        <f aca="false">AND(#REF!,"AAAAAHw/vrA=")</f>
        <v>#VALUE!</v>
      </c>
      <c r="FV47" s="22" t="e">
        <f aca="false">IF(#REF!,"AAAAAHw/vrE=",0)</f>
        <v>#REF!</v>
      </c>
      <c r="FW47" s="22" t="e">
        <f aca="false">AND(#REF!,"AAAAAHw/vrI=")</f>
        <v>#VALUE!</v>
      </c>
      <c r="FX47" s="22" t="e">
        <f aca="false">AND(#REF!,"AAAAAHw/vrM=")</f>
        <v>#VALUE!</v>
      </c>
      <c r="FY47" s="22" t="e">
        <f aca="false">AND(#REF!,"AAAAAHw/vrQ=")</f>
        <v>#VALUE!</v>
      </c>
      <c r="FZ47" s="22" t="e">
        <f aca="false">AND(#REF!,"AAAAAHw/vrU=")</f>
        <v>#VALUE!</v>
      </c>
      <c r="GA47" s="22" t="e">
        <f aca="false">AND(#REF!,"AAAAAHw/vrY=")</f>
        <v>#VALUE!</v>
      </c>
      <c r="GB47" s="22" t="e">
        <f aca="false">AND(#REF!,"AAAAAHw/vrc=")</f>
        <v>#VALUE!</v>
      </c>
      <c r="GC47" s="22" t="e">
        <f aca="false">IF(#REF!,"AAAAAHw/vrg=",0)</f>
        <v>#REF!</v>
      </c>
      <c r="GD47" s="22" t="e">
        <f aca="false">AND(#REF!,"AAAAAHw/vrk=")</f>
        <v>#VALUE!</v>
      </c>
      <c r="GE47" s="22" t="e">
        <f aca="false">AND(#REF!,"AAAAAHw/vro=")</f>
        <v>#VALUE!</v>
      </c>
      <c r="GF47" s="22" t="e">
        <f aca="false">AND(#REF!,"AAAAAHw/vrs=")</f>
        <v>#VALUE!</v>
      </c>
      <c r="GG47" s="22" t="e">
        <f aca="false">AND(#REF!,"AAAAAHw/vrw=")</f>
        <v>#VALUE!</v>
      </c>
      <c r="GH47" s="22" t="e">
        <f aca="false">AND(#REF!,"AAAAAHw/vr0=")</f>
        <v>#VALUE!</v>
      </c>
      <c r="GI47" s="22" t="e">
        <f aca="false">AND(#REF!,"AAAAAHw/vr4=")</f>
        <v>#VALUE!</v>
      </c>
      <c r="GJ47" s="22" t="e">
        <f aca="false">IF(#REF!,"AAAAAHw/vr8=",0)</f>
        <v>#REF!</v>
      </c>
      <c r="GK47" s="22" t="e">
        <f aca="false">AND(#REF!,"AAAAAHw/vsA=")</f>
        <v>#VALUE!</v>
      </c>
      <c r="GL47" s="22" t="e">
        <f aca="false">AND(#REF!,"AAAAAHw/vsE=")</f>
        <v>#VALUE!</v>
      </c>
      <c r="GM47" s="22" t="e">
        <f aca="false">AND(#REF!,"AAAAAHw/vsI=")</f>
        <v>#VALUE!</v>
      </c>
      <c r="GN47" s="22" t="e">
        <f aca="false">AND(#REF!,"AAAAAHw/vsM=")</f>
        <v>#VALUE!</v>
      </c>
      <c r="GO47" s="22" t="e">
        <f aca="false">AND(#REF!,"AAAAAHw/vsQ=")</f>
        <v>#VALUE!</v>
      </c>
      <c r="GP47" s="22" t="e">
        <f aca="false">AND(#REF!,"AAAAAHw/vsU=")</f>
        <v>#VALUE!</v>
      </c>
      <c r="GQ47" s="22" t="e">
        <f aca="false">IF(#REF!,"AAAAAHw/vsY=",0)</f>
        <v>#REF!</v>
      </c>
      <c r="GR47" s="22" t="e">
        <f aca="false">AND(#REF!,"AAAAAHw/vsc=")</f>
        <v>#VALUE!</v>
      </c>
      <c r="GS47" s="22" t="e">
        <f aca="false">AND(#REF!,"AAAAAHw/vsg=")</f>
        <v>#VALUE!</v>
      </c>
      <c r="GT47" s="22" t="e">
        <f aca="false">AND(#REF!,"AAAAAHw/vsk=")</f>
        <v>#VALUE!</v>
      </c>
      <c r="GU47" s="22" t="e">
        <f aca="false">AND(#REF!,"AAAAAHw/vso=")</f>
        <v>#VALUE!</v>
      </c>
      <c r="GV47" s="22" t="e">
        <f aca="false">AND(#REF!,"AAAAAHw/vss=")</f>
        <v>#VALUE!</v>
      </c>
      <c r="GW47" s="22" t="e">
        <f aca="false">AND(#REF!,"AAAAAHw/vsw=")</f>
        <v>#VALUE!</v>
      </c>
      <c r="GX47" s="22" t="e">
        <f aca="false">IF(#REF!,"AAAAAHw/vs0=",0)</f>
        <v>#REF!</v>
      </c>
      <c r="GY47" s="22" t="e">
        <f aca="false">AND(#REF!,"AAAAAHw/vs4=")</f>
        <v>#VALUE!</v>
      </c>
      <c r="GZ47" s="22" t="e">
        <f aca="false">AND(#REF!,"AAAAAHw/vs8=")</f>
        <v>#VALUE!</v>
      </c>
      <c r="HA47" s="22" t="e">
        <f aca="false">AND(#REF!,"AAAAAHw/vtA=")</f>
        <v>#VALUE!</v>
      </c>
      <c r="HB47" s="22" t="e">
        <f aca="false">AND(#REF!,"AAAAAHw/vtE=")</f>
        <v>#VALUE!</v>
      </c>
      <c r="HC47" s="22" t="e">
        <f aca="false">AND(#REF!,"AAAAAHw/vtI=")</f>
        <v>#VALUE!</v>
      </c>
      <c r="HD47" s="22" t="e">
        <f aca="false">AND(#REF!,"AAAAAHw/vtM=")</f>
        <v>#VALUE!</v>
      </c>
      <c r="HE47" s="22" t="e">
        <f aca="false">IF(#REF!,"AAAAAHw/vtQ=",0)</f>
        <v>#REF!</v>
      </c>
      <c r="HF47" s="22" t="e">
        <f aca="false">AND(#REF!,"AAAAAHw/vtU=")</f>
        <v>#VALUE!</v>
      </c>
      <c r="HG47" s="22" t="e">
        <f aca="false">AND(#REF!,"AAAAAHw/vtY=")</f>
        <v>#VALUE!</v>
      </c>
      <c r="HH47" s="22" t="e">
        <f aca="false">AND(#REF!,"AAAAAHw/vtc=")</f>
        <v>#VALUE!</v>
      </c>
      <c r="HI47" s="22" t="e">
        <f aca="false">AND(#REF!,"AAAAAHw/vtg=")</f>
        <v>#VALUE!</v>
      </c>
      <c r="HJ47" s="22" t="e">
        <f aca="false">AND(#REF!,"AAAAAHw/vtk=")</f>
        <v>#VALUE!</v>
      </c>
      <c r="HK47" s="22" t="e">
        <f aca="false">AND(#REF!,"AAAAAHw/vto=")</f>
        <v>#VALUE!</v>
      </c>
      <c r="HL47" s="22" t="e">
        <f aca="false">IF(#REF!,"AAAAAHw/vts=",0)</f>
        <v>#REF!</v>
      </c>
      <c r="HM47" s="22" t="e">
        <f aca="false">AND(#REF!,"AAAAAHw/vtw=")</f>
        <v>#VALUE!</v>
      </c>
      <c r="HN47" s="22" t="e">
        <f aca="false">AND(#REF!,"AAAAAHw/vt0=")</f>
        <v>#VALUE!</v>
      </c>
      <c r="HO47" s="22" t="e">
        <f aca="false">AND(#REF!,"AAAAAHw/vt4=")</f>
        <v>#VALUE!</v>
      </c>
      <c r="HP47" s="22" t="e">
        <f aca="false">AND(#REF!,"AAAAAHw/vt8=")</f>
        <v>#VALUE!</v>
      </c>
      <c r="HQ47" s="22" t="e">
        <f aca="false">AND(#REF!,"AAAAAHw/vuA=")</f>
        <v>#VALUE!</v>
      </c>
      <c r="HR47" s="22" t="e">
        <f aca="false">AND(#REF!,"AAAAAHw/vuE=")</f>
        <v>#VALUE!</v>
      </c>
      <c r="HS47" s="22" t="e">
        <f aca="false">IF(#REF!,"AAAAAHw/vuI=",0)</f>
        <v>#REF!</v>
      </c>
      <c r="HT47" s="22" t="e">
        <f aca="false">AND(#REF!,"AAAAAHw/vuM=")</f>
        <v>#VALUE!</v>
      </c>
      <c r="HU47" s="22" t="e">
        <f aca="false">AND(#REF!,"AAAAAHw/vuQ=")</f>
        <v>#VALUE!</v>
      </c>
      <c r="HV47" s="22" t="e">
        <f aca="false">AND(#REF!,"AAAAAHw/vuU=")</f>
        <v>#VALUE!</v>
      </c>
      <c r="HW47" s="22" t="e">
        <f aca="false">AND(#REF!,"AAAAAHw/vuY=")</f>
        <v>#VALUE!</v>
      </c>
      <c r="HX47" s="22" t="e">
        <f aca="false">AND(#REF!,"AAAAAHw/vuc=")</f>
        <v>#VALUE!</v>
      </c>
      <c r="HY47" s="22" t="e">
        <f aca="false">AND(#REF!,"AAAAAHw/vug=")</f>
        <v>#VALUE!</v>
      </c>
      <c r="HZ47" s="22" t="e">
        <f aca="false">IF(#REF!,"AAAAAHw/vuk=",0)</f>
        <v>#REF!</v>
      </c>
      <c r="IA47" s="22" t="e">
        <f aca="false">AND(#REF!,"AAAAAHw/vuo=")</f>
        <v>#VALUE!</v>
      </c>
      <c r="IB47" s="22" t="e">
        <f aca="false">AND(#REF!,"AAAAAHw/vus=")</f>
        <v>#VALUE!</v>
      </c>
      <c r="IC47" s="22" t="e">
        <f aca="false">AND(#REF!,"AAAAAHw/vuw=")</f>
        <v>#VALUE!</v>
      </c>
      <c r="ID47" s="22" t="e">
        <f aca="false">AND(#REF!,"AAAAAHw/vu0=")</f>
        <v>#VALUE!</v>
      </c>
      <c r="IE47" s="22" t="e">
        <f aca="false">AND(#REF!,"AAAAAHw/vu4=")</f>
        <v>#VALUE!</v>
      </c>
      <c r="IF47" s="22" t="e">
        <f aca="false">AND(#REF!,"AAAAAHw/vu8=")</f>
        <v>#VALUE!</v>
      </c>
      <c r="IG47" s="22" t="e">
        <f aca="false">IF(#REF!,"AAAAAHw/vvA=",0)</f>
        <v>#REF!</v>
      </c>
      <c r="IH47" s="22" t="e">
        <f aca="false">AND(#REF!,"AAAAAHw/vvE=")</f>
        <v>#VALUE!</v>
      </c>
      <c r="II47" s="22" t="e">
        <f aca="false">AND(#REF!,"AAAAAHw/vvI=")</f>
        <v>#VALUE!</v>
      </c>
      <c r="IJ47" s="22" t="e">
        <f aca="false">AND(#REF!,"AAAAAHw/vvM=")</f>
        <v>#VALUE!</v>
      </c>
      <c r="IK47" s="22" t="e">
        <f aca="false">AND(#REF!,"AAAAAHw/vvQ=")</f>
        <v>#VALUE!</v>
      </c>
      <c r="IL47" s="22" t="e">
        <f aca="false">AND(#REF!,"AAAAAHw/vvU=")</f>
        <v>#VALUE!</v>
      </c>
      <c r="IM47" s="22" t="e">
        <f aca="false">AND(#REF!,"AAAAAHw/vvY=")</f>
        <v>#VALUE!</v>
      </c>
      <c r="IN47" s="22" t="e">
        <f aca="false">IF(#REF!,"AAAAAHw/vvc=",0)</f>
        <v>#REF!</v>
      </c>
      <c r="IO47" s="22" t="e">
        <f aca="false">AND(#REF!,"AAAAAHw/vvg=")</f>
        <v>#VALUE!</v>
      </c>
      <c r="IP47" s="22" t="e">
        <f aca="false">AND(#REF!,"AAAAAHw/vvk=")</f>
        <v>#VALUE!</v>
      </c>
      <c r="IQ47" s="22" t="e">
        <f aca="false">AND(#REF!,"AAAAAHw/vvo=")</f>
        <v>#VALUE!</v>
      </c>
      <c r="IR47" s="22" t="e">
        <f aca="false">AND(#REF!,"AAAAAHw/vvs=")</f>
        <v>#VALUE!</v>
      </c>
      <c r="IS47" s="22" t="e">
        <f aca="false">AND(#REF!,"AAAAAHw/vvw=")</f>
        <v>#VALUE!</v>
      </c>
      <c r="IT47" s="22" t="e">
        <f aca="false">AND(#REF!,"AAAAAHw/vv0=")</f>
        <v>#VALUE!</v>
      </c>
      <c r="IU47" s="22" t="e">
        <f aca="false">IF(#REF!,"AAAAAHw/vv4=",0)</f>
        <v>#REF!</v>
      </c>
      <c r="IV47" s="22" t="e">
        <f aca="false">AND(#REF!,"AAAAAHw/vv8=")</f>
        <v>#VALUE!</v>
      </c>
    </row>
    <row r="48" customFormat="false" ht="12.75" hidden="false" customHeight="false" outlineLevel="0" collapsed="false">
      <c r="A48" s="22" t="e">
        <f aca="false">AND(#REF!,"AAAAAH3n7wA=")</f>
        <v>#VALUE!</v>
      </c>
      <c r="B48" s="22" t="e">
        <f aca="false">AND(#REF!,"AAAAAH3n7wE=")</f>
        <v>#VALUE!</v>
      </c>
      <c r="C48" s="22" t="e">
        <f aca="false">AND(#REF!,"AAAAAH3n7wI=")</f>
        <v>#VALUE!</v>
      </c>
      <c r="D48" s="22" t="e">
        <f aca="false">AND(#REF!,"AAAAAH3n7wM=")</f>
        <v>#VALUE!</v>
      </c>
      <c r="E48" s="22" t="e">
        <f aca="false">AND(#REF!,"AAAAAH3n7wQ=")</f>
        <v>#VALUE!</v>
      </c>
      <c r="F48" s="22" t="e">
        <f aca="false">IF(#REF!,"AAAAAH3n7wU=",0)</f>
        <v>#REF!</v>
      </c>
      <c r="G48" s="22" t="e">
        <f aca="false">AND(#REF!,"AAAAAH3n7wY=")</f>
        <v>#VALUE!</v>
      </c>
      <c r="H48" s="22" t="e">
        <f aca="false">AND(#REF!,"AAAAAH3n7wc=")</f>
        <v>#VALUE!</v>
      </c>
      <c r="I48" s="22" t="e">
        <f aca="false">AND(#REF!,"AAAAAH3n7wg=")</f>
        <v>#VALUE!</v>
      </c>
      <c r="J48" s="22" t="e">
        <f aca="false">AND(#REF!,"AAAAAH3n7wk=")</f>
        <v>#VALUE!</v>
      </c>
      <c r="K48" s="22" t="e">
        <f aca="false">AND(#REF!,"AAAAAH3n7wo=")</f>
        <v>#VALUE!</v>
      </c>
      <c r="L48" s="22" t="e">
        <f aca="false">AND(#REF!,"AAAAAH3n7ws=")</f>
        <v>#VALUE!</v>
      </c>
      <c r="M48" s="22" t="e">
        <f aca="false">IF(#REF!,"AAAAAH3n7ww=",0)</f>
        <v>#REF!</v>
      </c>
      <c r="N48" s="22" t="e">
        <f aca="false">AND(#REF!,"AAAAAH3n7w0=")</f>
        <v>#VALUE!</v>
      </c>
      <c r="O48" s="22" t="e">
        <f aca="false">AND(#REF!,"AAAAAH3n7w4=")</f>
        <v>#VALUE!</v>
      </c>
      <c r="P48" s="22" t="e">
        <f aca="false">AND(#REF!,"AAAAAH3n7w8=")</f>
        <v>#VALUE!</v>
      </c>
      <c r="Q48" s="22" t="e">
        <f aca="false">AND(#REF!,"AAAAAH3n7xA=")</f>
        <v>#VALUE!</v>
      </c>
      <c r="R48" s="22" t="e">
        <f aca="false">AND(#REF!,"AAAAAH3n7xE=")</f>
        <v>#VALUE!</v>
      </c>
      <c r="S48" s="22" t="e">
        <f aca="false">AND(#REF!,"AAAAAH3n7xI=")</f>
        <v>#VALUE!</v>
      </c>
      <c r="T48" s="22" t="e">
        <f aca="false">IF(#REF!,"AAAAAH3n7xM=",0)</f>
        <v>#REF!</v>
      </c>
      <c r="U48" s="22" t="e">
        <f aca="false">AND(#REF!,"AAAAAH3n7xQ=")</f>
        <v>#VALUE!</v>
      </c>
      <c r="V48" s="22" t="e">
        <f aca="false">AND(#REF!,"AAAAAH3n7xU=")</f>
        <v>#VALUE!</v>
      </c>
      <c r="W48" s="22" t="e">
        <f aca="false">AND(#REF!,"AAAAAH3n7xY=")</f>
        <v>#VALUE!</v>
      </c>
      <c r="X48" s="22" t="e">
        <f aca="false">AND(#REF!,"AAAAAH3n7xc=")</f>
        <v>#VALUE!</v>
      </c>
      <c r="Y48" s="22" t="e">
        <f aca="false">AND(#REF!,"AAAAAH3n7xg=")</f>
        <v>#VALUE!</v>
      </c>
      <c r="Z48" s="22" t="e">
        <f aca="false">AND(#REF!,"AAAAAH3n7xk=")</f>
        <v>#VALUE!</v>
      </c>
      <c r="AA48" s="22" t="e">
        <f aca="false">IF(#REF!,"AAAAAH3n7xo=",0)</f>
        <v>#REF!</v>
      </c>
      <c r="AB48" s="22" t="e">
        <f aca="false">AND(#REF!,"AAAAAH3n7xs=")</f>
        <v>#VALUE!</v>
      </c>
      <c r="AC48" s="22" t="e">
        <f aca="false">AND(#REF!,"AAAAAH3n7xw=")</f>
        <v>#VALUE!</v>
      </c>
      <c r="AD48" s="22" t="e">
        <f aca="false">AND(#REF!,"AAAAAH3n7x0=")</f>
        <v>#VALUE!</v>
      </c>
      <c r="AE48" s="22" t="e">
        <f aca="false">AND(#REF!,"AAAAAH3n7x4=")</f>
        <v>#VALUE!</v>
      </c>
      <c r="AF48" s="22" t="e">
        <f aca="false">AND(#REF!,"AAAAAH3n7x8=")</f>
        <v>#VALUE!</v>
      </c>
      <c r="AG48" s="22" t="e">
        <f aca="false">AND(#REF!,"AAAAAH3n7yA=")</f>
        <v>#VALUE!</v>
      </c>
      <c r="AH48" s="22" t="e">
        <f aca="false">IF(#REF!,"AAAAAH3n7yE=",0)</f>
        <v>#REF!</v>
      </c>
      <c r="AI48" s="22" t="e">
        <f aca="false">AND(#REF!,"AAAAAH3n7yI=")</f>
        <v>#VALUE!</v>
      </c>
      <c r="AJ48" s="22" t="e">
        <f aca="false">AND(#REF!,"AAAAAH3n7yM=")</f>
        <v>#VALUE!</v>
      </c>
      <c r="AK48" s="22" t="e">
        <f aca="false">AND(#REF!,"AAAAAH3n7yQ=")</f>
        <v>#VALUE!</v>
      </c>
      <c r="AL48" s="22" t="e">
        <f aca="false">AND(#REF!,"AAAAAH3n7yU=")</f>
        <v>#VALUE!</v>
      </c>
      <c r="AM48" s="22" t="e">
        <f aca="false">AND(#REF!,"AAAAAH3n7yY=")</f>
        <v>#VALUE!</v>
      </c>
      <c r="AN48" s="22" t="e">
        <f aca="false">AND(#REF!,"AAAAAH3n7yc=")</f>
        <v>#VALUE!</v>
      </c>
      <c r="AO48" s="22" t="e">
        <f aca="false">IF(#REF!,"AAAAAH3n7yg=",0)</f>
        <v>#REF!</v>
      </c>
      <c r="AP48" s="22" t="e">
        <f aca="false">AND(#REF!,"AAAAAH3n7yk=")</f>
        <v>#VALUE!</v>
      </c>
      <c r="AQ48" s="22" t="e">
        <f aca="false">AND(#REF!,"AAAAAH3n7yo=")</f>
        <v>#VALUE!</v>
      </c>
      <c r="AR48" s="22" t="e">
        <f aca="false">AND(#REF!,"AAAAAH3n7ys=")</f>
        <v>#VALUE!</v>
      </c>
      <c r="AS48" s="22" t="e">
        <f aca="false">AND(#REF!,"AAAAAH3n7yw=")</f>
        <v>#VALUE!</v>
      </c>
      <c r="AT48" s="22" t="e">
        <f aca="false">AND(#REF!,"AAAAAH3n7y0=")</f>
        <v>#VALUE!</v>
      </c>
      <c r="AU48" s="22" t="e">
        <f aca="false">AND(#REF!,"AAAAAH3n7y4=")</f>
        <v>#VALUE!</v>
      </c>
      <c r="AV48" s="22" t="e">
        <f aca="false">IF(#REF!,"AAAAAH3n7y8=",0)</f>
        <v>#REF!</v>
      </c>
      <c r="AW48" s="22" t="e">
        <f aca="false">AND(#REF!,"AAAAAH3n7zA=")</f>
        <v>#VALUE!</v>
      </c>
      <c r="AX48" s="22" t="e">
        <f aca="false">AND(#REF!,"AAAAAH3n7zE=")</f>
        <v>#VALUE!</v>
      </c>
      <c r="AY48" s="22" t="e">
        <f aca="false">AND(#REF!,"AAAAAH3n7zI=")</f>
        <v>#VALUE!</v>
      </c>
      <c r="AZ48" s="22" t="e">
        <f aca="false">AND(#REF!,"AAAAAH3n7zM=")</f>
        <v>#VALUE!</v>
      </c>
      <c r="BA48" s="22" t="e">
        <f aca="false">AND(#REF!,"AAAAAH3n7zQ=")</f>
        <v>#VALUE!</v>
      </c>
      <c r="BB48" s="22" t="e">
        <f aca="false">AND(#REF!,"AAAAAH3n7zU=")</f>
        <v>#VALUE!</v>
      </c>
      <c r="BC48" s="22" t="e">
        <f aca="false">IF(#REF!,"AAAAAH3n7zY=",0)</f>
        <v>#REF!</v>
      </c>
      <c r="BD48" s="22" t="e">
        <f aca="false">AND(#REF!,"AAAAAH3n7zc=")</f>
        <v>#VALUE!</v>
      </c>
      <c r="BE48" s="22" t="e">
        <f aca="false">AND(#REF!,"AAAAAH3n7zg=")</f>
        <v>#VALUE!</v>
      </c>
      <c r="BF48" s="22" t="e">
        <f aca="false">AND(#REF!,"AAAAAH3n7zk=")</f>
        <v>#VALUE!</v>
      </c>
      <c r="BG48" s="22" t="e">
        <f aca="false">AND(#REF!,"AAAAAH3n7zo=")</f>
        <v>#VALUE!</v>
      </c>
      <c r="BH48" s="22" t="e">
        <f aca="false">AND(#REF!,"AAAAAH3n7zs=")</f>
        <v>#VALUE!</v>
      </c>
      <c r="BI48" s="22" t="e">
        <f aca="false">AND(#REF!,"AAAAAH3n7zw=")</f>
        <v>#VALUE!</v>
      </c>
      <c r="BJ48" s="22" t="e">
        <f aca="false">IF(#REF!,"AAAAAH3n7z0=",0)</f>
        <v>#REF!</v>
      </c>
      <c r="BK48" s="22" t="e">
        <f aca="false">AND(#REF!,"AAAAAH3n7z4=")</f>
        <v>#VALUE!</v>
      </c>
      <c r="BL48" s="22" t="e">
        <f aca="false">AND(#REF!,"AAAAAH3n7z8=")</f>
        <v>#VALUE!</v>
      </c>
      <c r="BM48" s="22" t="e">
        <f aca="false">AND(#REF!,"AAAAAH3n70A=")</f>
        <v>#VALUE!</v>
      </c>
      <c r="BN48" s="22" t="e">
        <f aca="false">AND(#REF!,"AAAAAH3n70E=")</f>
        <v>#VALUE!</v>
      </c>
      <c r="BO48" s="22" t="e">
        <f aca="false">AND(#REF!,"AAAAAH3n70I=")</f>
        <v>#VALUE!</v>
      </c>
      <c r="BP48" s="22" t="e">
        <f aca="false">AND(#REF!,"AAAAAH3n70M=")</f>
        <v>#VALUE!</v>
      </c>
      <c r="BQ48" s="22" t="e">
        <f aca="false">IF(#REF!,"AAAAAH3n70Q=",0)</f>
        <v>#REF!</v>
      </c>
      <c r="BR48" s="22" t="e">
        <f aca="false">AND(#REF!,"AAAAAH3n70U=")</f>
        <v>#VALUE!</v>
      </c>
      <c r="BS48" s="22" t="e">
        <f aca="false">AND(#REF!,"AAAAAH3n70Y=")</f>
        <v>#VALUE!</v>
      </c>
      <c r="BT48" s="22" t="e">
        <f aca="false">AND(#REF!,"AAAAAH3n70c=")</f>
        <v>#VALUE!</v>
      </c>
      <c r="BU48" s="22" t="e">
        <f aca="false">AND(#REF!,"AAAAAH3n70g=")</f>
        <v>#VALUE!</v>
      </c>
      <c r="BV48" s="22" t="e">
        <f aca="false">AND(#REF!,"AAAAAH3n70k=")</f>
        <v>#VALUE!</v>
      </c>
      <c r="BW48" s="22" t="e">
        <f aca="false">AND(#REF!,"AAAAAH3n70o=")</f>
        <v>#VALUE!</v>
      </c>
      <c r="BX48" s="22" t="e">
        <f aca="false">IF(#REF!,"AAAAAH3n70s=",0)</f>
        <v>#REF!</v>
      </c>
      <c r="BY48" s="22" t="e">
        <f aca="false">AND(#REF!,"AAAAAH3n70w=")</f>
        <v>#VALUE!</v>
      </c>
      <c r="BZ48" s="22" t="e">
        <f aca="false">AND(#REF!,"AAAAAH3n700=")</f>
        <v>#VALUE!</v>
      </c>
      <c r="CA48" s="22" t="e">
        <f aca="false">AND(#REF!,"AAAAAH3n704=")</f>
        <v>#VALUE!</v>
      </c>
      <c r="CB48" s="22" t="e">
        <f aca="false">AND(#REF!,"AAAAAH3n708=")</f>
        <v>#VALUE!</v>
      </c>
      <c r="CC48" s="22" t="e">
        <f aca="false">AND(#REF!,"AAAAAH3n71A=")</f>
        <v>#VALUE!</v>
      </c>
      <c r="CD48" s="22" t="e">
        <f aca="false">AND(#REF!,"AAAAAH3n71E=")</f>
        <v>#VALUE!</v>
      </c>
      <c r="CE48" s="22" t="e">
        <f aca="false">IF(#REF!,"AAAAAH3n71I=",0)</f>
        <v>#REF!</v>
      </c>
      <c r="CF48" s="22" t="e">
        <f aca="false">AND(#REF!,"AAAAAH3n71M=")</f>
        <v>#VALUE!</v>
      </c>
      <c r="CG48" s="22" t="e">
        <f aca="false">AND(#REF!,"AAAAAH3n71Q=")</f>
        <v>#VALUE!</v>
      </c>
      <c r="CH48" s="22" t="e">
        <f aca="false">AND(#REF!,"AAAAAH3n71U=")</f>
        <v>#VALUE!</v>
      </c>
      <c r="CI48" s="22" t="e">
        <f aca="false">AND(#REF!,"AAAAAH3n71Y=")</f>
        <v>#VALUE!</v>
      </c>
      <c r="CJ48" s="22" t="e">
        <f aca="false">AND(#REF!,"AAAAAH3n71c=")</f>
        <v>#VALUE!</v>
      </c>
      <c r="CK48" s="22" t="e">
        <f aca="false">AND(#REF!,"AAAAAH3n71g=")</f>
        <v>#VALUE!</v>
      </c>
      <c r="CL48" s="22" t="e">
        <f aca="false">IF(#REF!,"AAAAAH3n71k=",0)</f>
        <v>#REF!</v>
      </c>
      <c r="CM48" s="22" t="e">
        <f aca="false">AND(#REF!,"AAAAAH3n71o=")</f>
        <v>#VALUE!</v>
      </c>
      <c r="CN48" s="22" t="e">
        <f aca="false">AND(#REF!,"AAAAAH3n71s=")</f>
        <v>#VALUE!</v>
      </c>
      <c r="CO48" s="22" t="e">
        <f aca="false">AND(#REF!,"AAAAAH3n71w=")</f>
        <v>#VALUE!</v>
      </c>
      <c r="CP48" s="22" t="e">
        <f aca="false">AND(#REF!,"AAAAAH3n710=")</f>
        <v>#VALUE!</v>
      </c>
      <c r="CQ48" s="22" t="e">
        <f aca="false">AND(#REF!,"AAAAAH3n714=")</f>
        <v>#VALUE!</v>
      </c>
      <c r="CR48" s="22" t="e">
        <f aca="false">AND(#REF!,"AAAAAH3n718=")</f>
        <v>#VALUE!</v>
      </c>
      <c r="CS48" s="22" t="e">
        <f aca="false">IF(#REF!,"AAAAAH3n72A=",0)</f>
        <v>#REF!</v>
      </c>
      <c r="CT48" s="22" t="e">
        <f aca="false">AND(#REF!,"AAAAAH3n72E=")</f>
        <v>#VALUE!</v>
      </c>
      <c r="CU48" s="22" t="e">
        <f aca="false">AND(#REF!,"AAAAAH3n72I=")</f>
        <v>#VALUE!</v>
      </c>
      <c r="CV48" s="22" t="e">
        <f aca="false">AND(#REF!,"AAAAAH3n72M=")</f>
        <v>#VALUE!</v>
      </c>
      <c r="CW48" s="22" t="e">
        <f aca="false">AND(#REF!,"AAAAAH3n72Q=")</f>
        <v>#VALUE!</v>
      </c>
      <c r="CX48" s="22" t="e">
        <f aca="false">AND(#REF!,"AAAAAH3n72U=")</f>
        <v>#VALUE!</v>
      </c>
      <c r="CY48" s="22" t="e">
        <f aca="false">AND(#REF!,"AAAAAH3n72Y=")</f>
        <v>#VALUE!</v>
      </c>
      <c r="CZ48" s="22" t="e">
        <f aca="false">IF(#REF!,"AAAAAH3n72c=",0)</f>
        <v>#REF!</v>
      </c>
      <c r="DA48" s="22" t="e">
        <f aca="false">AND(#REF!,"AAAAAH3n72g=")</f>
        <v>#VALUE!</v>
      </c>
      <c r="DB48" s="22" t="e">
        <f aca="false">AND(#REF!,"AAAAAH3n72k=")</f>
        <v>#VALUE!</v>
      </c>
      <c r="DC48" s="22" t="e">
        <f aca="false">AND(#REF!,"AAAAAH3n72o=")</f>
        <v>#VALUE!</v>
      </c>
      <c r="DD48" s="22" t="e">
        <f aca="false">AND(#REF!,"AAAAAH3n72s=")</f>
        <v>#VALUE!</v>
      </c>
      <c r="DE48" s="22" t="e">
        <f aca="false">AND(#REF!,"AAAAAH3n72w=")</f>
        <v>#VALUE!</v>
      </c>
      <c r="DF48" s="22" t="e">
        <f aca="false">AND(#REF!,"AAAAAH3n720=")</f>
        <v>#VALUE!</v>
      </c>
      <c r="DG48" s="22" t="e">
        <f aca="false">IF(#REF!,"AAAAAH3n724=",0)</f>
        <v>#REF!</v>
      </c>
      <c r="DH48" s="22" t="e">
        <f aca="false">AND(#REF!,"AAAAAH3n728=")</f>
        <v>#VALUE!</v>
      </c>
      <c r="DI48" s="22" t="e">
        <f aca="false">AND(#REF!,"AAAAAH3n73A=")</f>
        <v>#VALUE!</v>
      </c>
      <c r="DJ48" s="22" t="e">
        <f aca="false">AND(#REF!,"AAAAAH3n73E=")</f>
        <v>#VALUE!</v>
      </c>
      <c r="DK48" s="22" t="e">
        <f aca="false">AND(#REF!,"AAAAAH3n73I=")</f>
        <v>#VALUE!</v>
      </c>
      <c r="DL48" s="22" t="e">
        <f aca="false">AND(#REF!,"AAAAAH3n73M=")</f>
        <v>#VALUE!</v>
      </c>
      <c r="DM48" s="22" t="e">
        <f aca="false">AND(#REF!,"AAAAAH3n73Q=")</f>
        <v>#VALUE!</v>
      </c>
      <c r="DN48" s="22" t="e">
        <f aca="false">IF(#REF!,"AAAAAH3n73U=",0)</f>
        <v>#REF!</v>
      </c>
      <c r="DO48" s="22" t="e">
        <f aca="false">AND(#REF!,"AAAAAH3n73Y=")</f>
        <v>#VALUE!</v>
      </c>
      <c r="DP48" s="22" t="e">
        <f aca="false">AND(#REF!,"AAAAAH3n73c=")</f>
        <v>#VALUE!</v>
      </c>
      <c r="DQ48" s="22" t="e">
        <f aca="false">AND(#REF!,"AAAAAH3n73g=")</f>
        <v>#VALUE!</v>
      </c>
      <c r="DR48" s="22" t="e">
        <f aca="false">AND(#REF!,"AAAAAH3n73k=")</f>
        <v>#VALUE!</v>
      </c>
      <c r="DS48" s="22" t="e">
        <f aca="false">AND(#REF!,"AAAAAH3n73o=")</f>
        <v>#VALUE!</v>
      </c>
      <c r="DT48" s="22" t="e">
        <f aca="false">AND(#REF!,"AAAAAH3n73s=")</f>
        <v>#VALUE!</v>
      </c>
      <c r="DU48" s="22" t="e">
        <f aca="false">IF(#REF!,"AAAAAH3n73w=",0)</f>
        <v>#REF!</v>
      </c>
      <c r="DV48" s="22" t="e">
        <f aca="false">AND(#REF!,"AAAAAH3n730=")</f>
        <v>#VALUE!</v>
      </c>
      <c r="DW48" s="22" t="e">
        <f aca="false">AND(#REF!,"AAAAAH3n734=")</f>
        <v>#VALUE!</v>
      </c>
      <c r="DX48" s="22" t="e">
        <f aca="false">AND(#REF!,"AAAAAH3n738=")</f>
        <v>#VALUE!</v>
      </c>
      <c r="DY48" s="22" t="e">
        <f aca="false">AND(#REF!,"AAAAAH3n74A=")</f>
        <v>#VALUE!</v>
      </c>
      <c r="DZ48" s="22" t="e">
        <f aca="false">AND(#REF!,"AAAAAH3n74E=")</f>
        <v>#VALUE!</v>
      </c>
      <c r="EA48" s="22" t="e">
        <f aca="false">AND(#REF!,"AAAAAH3n74I=")</f>
        <v>#VALUE!</v>
      </c>
      <c r="EB48" s="22" t="e">
        <f aca="false">IF(#REF!,"AAAAAH3n74M=",0)</f>
        <v>#REF!</v>
      </c>
      <c r="EC48" s="22" t="e">
        <f aca="false">AND(#REF!,"AAAAAH3n74Q=")</f>
        <v>#VALUE!</v>
      </c>
      <c r="ED48" s="22" t="e">
        <f aca="false">AND(#REF!,"AAAAAH3n74U=")</f>
        <v>#VALUE!</v>
      </c>
      <c r="EE48" s="22" t="e">
        <f aca="false">AND(#REF!,"AAAAAH3n74Y=")</f>
        <v>#VALUE!</v>
      </c>
      <c r="EF48" s="22" t="e">
        <f aca="false">AND(#REF!,"AAAAAH3n74c=")</f>
        <v>#VALUE!</v>
      </c>
      <c r="EG48" s="22" t="e">
        <f aca="false">AND(#REF!,"AAAAAH3n74g=")</f>
        <v>#VALUE!</v>
      </c>
      <c r="EH48" s="22" t="e">
        <f aca="false">AND(#REF!,"AAAAAH3n74k=")</f>
        <v>#VALUE!</v>
      </c>
      <c r="EI48" s="22" t="e">
        <f aca="false">IF(#REF!,"AAAAAH3n74o=",0)</f>
        <v>#REF!</v>
      </c>
      <c r="EJ48" s="22" t="e">
        <f aca="false">AND(#REF!,"AAAAAH3n74s=")</f>
        <v>#VALUE!</v>
      </c>
      <c r="EK48" s="22" t="e">
        <f aca="false">AND(#REF!,"AAAAAH3n74w=")</f>
        <v>#VALUE!</v>
      </c>
      <c r="EL48" s="22" t="e">
        <f aca="false">AND(#REF!,"AAAAAH3n740=")</f>
        <v>#VALUE!</v>
      </c>
      <c r="EM48" s="22" t="e">
        <f aca="false">AND(#REF!,"AAAAAH3n744=")</f>
        <v>#VALUE!</v>
      </c>
      <c r="EN48" s="22" t="e">
        <f aca="false">AND(#REF!,"AAAAAH3n748=")</f>
        <v>#VALUE!</v>
      </c>
      <c r="EO48" s="22" t="e">
        <f aca="false">AND(#REF!,"AAAAAH3n75A=")</f>
        <v>#VALUE!</v>
      </c>
      <c r="EP48" s="22" t="e">
        <f aca="false">IF(#REF!,"AAAAAH3n75E=",0)</f>
        <v>#REF!</v>
      </c>
      <c r="EQ48" s="22" t="e">
        <f aca="false">AND(#REF!,"AAAAAH3n75I=")</f>
        <v>#VALUE!</v>
      </c>
      <c r="ER48" s="22" t="e">
        <f aca="false">AND(#REF!,"AAAAAH3n75M=")</f>
        <v>#VALUE!</v>
      </c>
      <c r="ES48" s="22" t="e">
        <f aca="false">AND(#REF!,"AAAAAH3n75Q=")</f>
        <v>#VALUE!</v>
      </c>
      <c r="ET48" s="22" t="e">
        <f aca="false">AND(#REF!,"AAAAAH3n75U=")</f>
        <v>#VALUE!</v>
      </c>
      <c r="EU48" s="22" t="e">
        <f aca="false">AND(#REF!,"AAAAAH3n75Y=")</f>
        <v>#VALUE!</v>
      </c>
      <c r="EV48" s="22" t="e">
        <f aca="false">AND(#REF!,"AAAAAH3n75c=")</f>
        <v>#VALUE!</v>
      </c>
      <c r="EW48" s="22" t="e">
        <f aca="false">IF(#REF!,"AAAAAH3n75g=",0)</f>
        <v>#REF!</v>
      </c>
      <c r="EX48" s="22" t="e">
        <f aca="false">AND(#REF!,"AAAAAH3n75k=")</f>
        <v>#VALUE!</v>
      </c>
      <c r="EY48" s="22" t="e">
        <f aca="false">AND(#REF!,"AAAAAH3n75o=")</f>
        <v>#VALUE!</v>
      </c>
      <c r="EZ48" s="22" t="e">
        <f aca="false">AND(#REF!,"AAAAAH3n75s=")</f>
        <v>#VALUE!</v>
      </c>
      <c r="FA48" s="22" t="e">
        <f aca="false">AND(#REF!,"AAAAAH3n75w=")</f>
        <v>#VALUE!</v>
      </c>
      <c r="FB48" s="22" t="e">
        <f aca="false">AND(#REF!,"AAAAAH3n750=")</f>
        <v>#VALUE!</v>
      </c>
      <c r="FC48" s="22" t="e">
        <f aca="false">AND(#REF!,"AAAAAH3n754=")</f>
        <v>#VALUE!</v>
      </c>
      <c r="FD48" s="22" t="e">
        <f aca="false">IF(#REF!,"AAAAAH3n758=",0)</f>
        <v>#REF!</v>
      </c>
      <c r="FE48" s="22" t="e">
        <f aca="false">AND(#REF!,"AAAAAH3n76A=")</f>
        <v>#VALUE!</v>
      </c>
      <c r="FF48" s="22" t="e">
        <f aca="false">AND(#REF!,"AAAAAH3n76E=")</f>
        <v>#VALUE!</v>
      </c>
      <c r="FG48" s="22" t="e">
        <f aca="false">AND(#REF!,"AAAAAH3n76I=")</f>
        <v>#VALUE!</v>
      </c>
      <c r="FH48" s="22" t="e">
        <f aca="false">AND(#REF!,"AAAAAH3n76M=")</f>
        <v>#VALUE!</v>
      </c>
      <c r="FI48" s="22" t="e">
        <f aca="false">AND(#REF!,"AAAAAH3n76Q=")</f>
        <v>#VALUE!</v>
      </c>
      <c r="FJ48" s="22" t="e">
        <f aca="false">AND(#REF!,"AAAAAH3n76U=")</f>
        <v>#VALUE!</v>
      </c>
      <c r="FK48" s="22" t="e">
        <f aca="false">IF(#REF!,"AAAAAH3n76Y=",0)</f>
        <v>#REF!</v>
      </c>
      <c r="FL48" s="22" t="e">
        <f aca="false">AND(#REF!,"AAAAAH3n76c=")</f>
        <v>#VALUE!</v>
      </c>
      <c r="FM48" s="22" t="e">
        <f aca="false">AND(#REF!,"AAAAAH3n76g=")</f>
        <v>#VALUE!</v>
      </c>
      <c r="FN48" s="22" t="e">
        <f aca="false">AND(#REF!,"AAAAAH3n76k=")</f>
        <v>#VALUE!</v>
      </c>
      <c r="FO48" s="22" t="e">
        <f aca="false">AND(#REF!,"AAAAAH3n76o=")</f>
        <v>#VALUE!</v>
      </c>
      <c r="FP48" s="22" t="e">
        <f aca="false">AND(#REF!,"AAAAAH3n76s=")</f>
        <v>#VALUE!</v>
      </c>
      <c r="FQ48" s="22" t="e">
        <f aca="false">AND(#REF!,"AAAAAH3n76w=")</f>
        <v>#VALUE!</v>
      </c>
      <c r="FR48" s="22" t="e">
        <f aca="false">IF(#REF!,"AAAAAH3n760=",0)</f>
        <v>#REF!</v>
      </c>
      <c r="FS48" s="22" t="e">
        <f aca="false">AND(#REF!,"AAAAAH3n764=")</f>
        <v>#VALUE!</v>
      </c>
      <c r="FT48" s="22" t="e">
        <f aca="false">AND(#REF!,"AAAAAH3n768=")</f>
        <v>#VALUE!</v>
      </c>
      <c r="FU48" s="22" t="e">
        <f aca="false">AND(#REF!,"AAAAAH3n77A=")</f>
        <v>#VALUE!</v>
      </c>
      <c r="FV48" s="22" t="e">
        <f aca="false">AND(#REF!,"AAAAAH3n77E=")</f>
        <v>#VALUE!</v>
      </c>
      <c r="FW48" s="22" t="e">
        <f aca="false">AND(#REF!,"AAAAAH3n77I=")</f>
        <v>#VALUE!</v>
      </c>
      <c r="FX48" s="22" t="e">
        <f aca="false">AND(#REF!,"AAAAAH3n77M=")</f>
        <v>#VALUE!</v>
      </c>
      <c r="FY48" s="22" t="e">
        <f aca="false">IF(#REF!,"AAAAAH3n77Q=",0)</f>
        <v>#REF!</v>
      </c>
      <c r="FZ48" s="22" t="e">
        <f aca="false">AND(#REF!,"AAAAAH3n77U=")</f>
        <v>#VALUE!</v>
      </c>
      <c r="GA48" s="22" t="e">
        <f aca="false">AND(#REF!,"AAAAAH3n77Y=")</f>
        <v>#VALUE!</v>
      </c>
      <c r="GB48" s="22" t="e">
        <f aca="false">AND(#REF!,"AAAAAH3n77c=")</f>
        <v>#VALUE!</v>
      </c>
      <c r="GC48" s="22" t="e">
        <f aca="false">AND(#REF!,"AAAAAH3n77g=")</f>
        <v>#VALUE!</v>
      </c>
      <c r="GD48" s="22" t="e">
        <f aca="false">AND(#REF!,"AAAAAH3n77k=")</f>
        <v>#VALUE!</v>
      </c>
      <c r="GE48" s="22" t="e">
        <f aca="false">AND(#REF!,"AAAAAH3n77o=")</f>
        <v>#VALUE!</v>
      </c>
      <c r="GF48" s="22" t="e">
        <f aca="false">IF(#REF!,"AAAAAH3n77s=",0)</f>
        <v>#REF!</v>
      </c>
      <c r="GG48" s="22" t="e">
        <f aca="false">AND(#REF!,"AAAAAH3n77w=")</f>
        <v>#VALUE!</v>
      </c>
      <c r="GH48" s="22" t="e">
        <f aca="false">AND(#REF!,"AAAAAH3n770=")</f>
        <v>#VALUE!</v>
      </c>
      <c r="GI48" s="22" t="e">
        <f aca="false">AND(#REF!,"AAAAAH3n774=")</f>
        <v>#VALUE!</v>
      </c>
      <c r="GJ48" s="22" t="e">
        <f aca="false">AND(#REF!,"AAAAAH3n778=")</f>
        <v>#VALUE!</v>
      </c>
      <c r="GK48" s="22" t="e">
        <f aca="false">AND(#REF!,"AAAAAH3n78A=")</f>
        <v>#VALUE!</v>
      </c>
      <c r="GL48" s="22" t="e">
        <f aca="false">AND(#REF!,"AAAAAH3n78E=")</f>
        <v>#VALUE!</v>
      </c>
      <c r="GM48" s="22" t="e">
        <f aca="false">IF(#REF!,"AAAAAH3n78I=",0)</f>
        <v>#REF!</v>
      </c>
      <c r="GN48" s="22" t="e">
        <f aca="false">AND(#REF!,"AAAAAH3n78M=")</f>
        <v>#VALUE!</v>
      </c>
      <c r="GO48" s="22" t="e">
        <f aca="false">AND(#REF!,"AAAAAH3n78Q=")</f>
        <v>#VALUE!</v>
      </c>
      <c r="GP48" s="22" t="e">
        <f aca="false">AND(#REF!,"AAAAAH3n78U=")</f>
        <v>#VALUE!</v>
      </c>
      <c r="GQ48" s="22" t="e">
        <f aca="false">AND(#REF!,"AAAAAH3n78Y=")</f>
        <v>#VALUE!</v>
      </c>
      <c r="GR48" s="22" t="e">
        <f aca="false">AND(#REF!,"AAAAAH3n78c=")</f>
        <v>#VALUE!</v>
      </c>
      <c r="GS48" s="22" t="e">
        <f aca="false">AND(#REF!,"AAAAAH3n78g=")</f>
        <v>#VALUE!</v>
      </c>
      <c r="GT48" s="22" t="e">
        <f aca="false">IF(#REF!,"AAAAAH3n78k=",0)</f>
        <v>#REF!</v>
      </c>
      <c r="GU48" s="22" t="e">
        <f aca="false">AND(#REF!,"AAAAAH3n78o=")</f>
        <v>#VALUE!</v>
      </c>
      <c r="GV48" s="22" t="e">
        <f aca="false">AND(#REF!,"AAAAAH3n78s=")</f>
        <v>#VALUE!</v>
      </c>
      <c r="GW48" s="22" t="e">
        <f aca="false">AND(#REF!,"AAAAAH3n78w=")</f>
        <v>#VALUE!</v>
      </c>
      <c r="GX48" s="22" t="e">
        <f aca="false">AND(#REF!,"AAAAAH3n780=")</f>
        <v>#VALUE!</v>
      </c>
      <c r="GY48" s="22" t="e">
        <f aca="false">AND(#REF!,"AAAAAH3n784=")</f>
        <v>#VALUE!</v>
      </c>
      <c r="GZ48" s="22" t="e">
        <f aca="false">AND(#REF!,"AAAAAH3n788=")</f>
        <v>#VALUE!</v>
      </c>
      <c r="HA48" s="22" t="e">
        <f aca="false">IF(#REF!,"AAAAAH3n79A=",0)</f>
        <v>#REF!</v>
      </c>
      <c r="HB48" s="22" t="e">
        <f aca="false">AND(#REF!,"AAAAAH3n79E=")</f>
        <v>#VALUE!</v>
      </c>
      <c r="HC48" s="22" t="e">
        <f aca="false">AND(#REF!,"AAAAAH3n79I=")</f>
        <v>#VALUE!</v>
      </c>
      <c r="HD48" s="22" t="e">
        <f aca="false">AND(#REF!,"AAAAAH3n79M=")</f>
        <v>#VALUE!</v>
      </c>
      <c r="HE48" s="22" t="e">
        <f aca="false">AND(#REF!,"AAAAAH3n79Q=")</f>
        <v>#VALUE!</v>
      </c>
      <c r="HF48" s="22" t="e">
        <f aca="false">AND(#REF!,"AAAAAH3n79U=")</f>
        <v>#VALUE!</v>
      </c>
      <c r="HG48" s="22" t="e">
        <f aca="false">AND(#REF!,"AAAAAH3n79Y=")</f>
        <v>#VALUE!</v>
      </c>
      <c r="HH48" s="22" t="e">
        <f aca="false">IF(#REF!,"AAAAAH3n79c=",0)</f>
        <v>#REF!</v>
      </c>
      <c r="HI48" s="22" t="e">
        <f aca="false">AND(#REF!,"AAAAAH3n79g=")</f>
        <v>#VALUE!</v>
      </c>
      <c r="HJ48" s="22" t="e">
        <f aca="false">AND(#REF!,"AAAAAH3n79k=")</f>
        <v>#VALUE!</v>
      </c>
      <c r="HK48" s="22" t="e">
        <f aca="false">AND(#REF!,"AAAAAH3n79o=")</f>
        <v>#VALUE!</v>
      </c>
      <c r="HL48" s="22" t="e">
        <f aca="false">AND(#REF!,"AAAAAH3n79s=")</f>
        <v>#VALUE!</v>
      </c>
      <c r="HM48" s="22" t="e">
        <f aca="false">AND(#REF!,"AAAAAH3n79w=")</f>
        <v>#VALUE!</v>
      </c>
      <c r="HN48" s="22" t="e">
        <f aca="false">AND(#REF!,"AAAAAH3n790=")</f>
        <v>#VALUE!</v>
      </c>
      <c r="HO48" s="22" t="e">
        <f aca="false">IF(#REF!,"AAAAAH3n794=",0)</f>
        <v>#REF!</v>
      </c>
      <c r="HP48" s="22" t="e">
        <f aca="false">AND(#REF!,"AAAAAH3n798=")</f>
        <v>#VALUE!</v>
      </c>
      <c r="HQ48" s="22" t="e">
        <f aca="false">AND(#REF!,"AAAAAH3n7+A=")</f>
        <v>#VALUE!</v>
      </c>
      <c r="HR48" s="22" t="e">
        <f aca="false">AND(#REF!,"AAAAAH3n7+E=")</f>
        <v>#VALUE!</v>
      </c>
      <c r="HS48" s="22" t="e">
        <f aca="false">AND(#REF!,"AAAAAH3n7+I=")</f>
        <v>#VALUE!</v>
      </c>
      <c r="HT48" s="22" t="e">
        <f aca="false">AND(#REF!,"AAAAAH3n7+M=")</f>
        <v>#VALUE!</v>
      </c>
      <c r="HU48" s="22" t="e">
        <f aca="false">AND(#REF!,"AAAAAH3n7+Q=")</f>
        <v>#VALUE!</v>
      </c>
      <c r="HV48" s="22" t="e">
        <f aca="false">IF(#REF!,"AAAAAH3n7+U=",0)</f>
        <v>#REF!</v>
      </c>
      <c r="HW48" s="22" t="e">
        <f aca="false">AND(#REF!,"AAAAAH3n7+Y=")</f>
        <v>#VALUE!</v>
      </c>
      <c r="HX48" s="22" t="e">
        <f aca="false">AND(#REF!,"AAAAAH3n7+c=")</f>
        <v>#VALUE!</v>
      </c>
      <c r="HY48" s="22" t="e">
        <f aca="false">AND(#REF!,"AAAAAH3n7+g=")</f>
        <v>#VALUE!</v>
      </c>
      <c r="HZ48" s="22" t="e">
        <f aca="false">AND(#REF!,"AAAAAH3n7+k=")</f>
        <v>#VALUE!</v>
      </c>
      <c r="IA48" s="22" t="e">
        <f aca="false">AND(#REF!,"AAAAAH3n7+o=")</f>
        <v>#VALUE!</v>
      </c>
      <c r="IB48" s="22" t="e">
        <f aca="false">AND(#REF!,"AAAAAH3n7+s=")</f>
        <v>#VALUE!</v>
      </c>
      <c r="IC48" s="22" t="e">
        <f aca="false">IF(#REF!,"AAAAAH3n7+w=",0)</f>
        <v>#REF!</v>
      </c>
      <c r="ID48" s="22" t="e">
        <f aca="false">AND(#REF!,"AAAAAH3n7+0=")</f>
        <v>#VALUE!</v>
      </c>
      <c r="IE48" s="22" t="e">
        <f aca="false">AND(#REF!,"AAAAAH3n7+4=")</f>
        <v>#VALUE!</v>
      </c>
      <c r="IF48" s="22" t="e">
        <f aca="false">AND(#REF!,"AAAAAH3n7+8=")</f>
        <v>#VALUE!</v>
      </c>
      <c r="IG48" s="22" t="e">
        <f aca="false">AND(#REF!,"AAAAAH3n7/A=")</f>
        <v>#VALUE!</v>
      </c>
      <c r="IH48" s="22" t="e">
        <f aca="false">AND(#REF!,"AAAAAH3n7/E=")</f>
        <v>#VALUE!</v>
      </c>
      <c r="II48" s="22" t="e">
        <f aca="false">AND(#REF!,"AAAAAH3n7/I=")</f>
        <v>#VALUE!</v>
      </c>
      <c r="IJ48" s="22" t="e">
        <f aca="false">IF(#REF!,"AAAAAH3n7/M=",0)</f>
        <v>#REF!</v>
      </c>
      <c r="IK48" s="22" t="e">
        <f aca="false">AND(#REF!,"AAAAAH3n7/Q=")</f>
        <v>#VALUE!</v>
      </c>
      <c r="IL48" s="22" t="e">
        <f aca="false">AND(#REF!,"AAAAAH3n7/U=")</f>
        <v>#VALUE!</v>
      </c>
      <c r="IM48" s="22" t="e">
        <f aca="false">AND(#REF!,"AAAAAH3n7/Y=")</f>
        <v>#VALUE!</v>
      </c>
      <c r="IN48" s="22" t="e">
        <f aca="false">AND(#REF!,"AAAAAH3n7/c=")</f>
        <v>#VALUE!</v>
      </c>
      <c r="IO48" s="22" t="e">
        <f aca="false">AND(#REF!,"AAAAAH3n7/g=")</f>
        <v>#VALUE!</v>
      </c>
      <c r="IP48" s="22" t="e">
        <f aca="false">AND(#REF!,"AAAAAH3n7/k=")</f>
        <v>#VALUE!</v>
      </c>
      <c r="IQ48" s="22" t="e">
        <f aca="false">IF(#REF!,"AAAAAH3n7/o=",0)</f>
        <v>#REF!</v>
      </c>
      <c r="IR48" s="22" t="e">
        <f aca="false">AND(#REF!,"AAAAAH3n7/s=")</f>
        <v>#VALUE!</v>
      </c>
      <c r="IS48" s="22" t="e">
        <f aca="false">AND(#REF!,"AAAAAH3n7/w=")</f>
        <v>#VALUE!</v>
      </c>
      <c r="IT48" s="22" t="e">
        <f aca="false">AND(#REF!,"AAAAAH3n7/0=")</f>
        <v>#VALUE!</v>
      </c>
      <c r="IU48" s="22" t="e">
        <f aca="false">AND(#REF!,"AAAAAH3n7/4=")</f>
        <v>#VALUE!</v>
      </c>
      <c r="IV48" s="22" t="e">
        <f aca="false">AND(#REF!,"AAAAAH3n7/8=")</f>
        <v>#VALUE!</v>
      </c>
    </row>
    <row r="49" customFormat="false" ht="12.75" hidden="false" customHeight="false" outlineLevel="0" collapsed="false">
      <c r="A49" s="22" t="e">
        <f aca="false">AND(#REF!,"AAAAAH1/3wA=")</f>
        <v>#VALUE!</v>
      </c>
      <c r="B49" s="22" t="e">
        <f aca="false">IF(#REF!,"AAAAAH1/3wE=",0)</f>
        <v>#REF!</v>
      </c>
      <c r="C49" s="22" t="e">
        <f aca="false">AND(#REF!,"AAAAAH1/3wI=")</f>
        <v>#VALUE!</v>
      </c>
      <c r="D49" s="22" t="e">
        <f aca="false">AND(#REF!,"AAAAAH1/3wM=")</f>
        <v>#VALUE!</v>
      </c>
      <c r="E49" s="22" t="e">
        <f aca="false">AND(#REF!,"AAAAAH1/3wQ=")</f>
        <v>#VALUE!</v>
      </c>
      <c r="F49" s="22" t="e">
        <f aca="false">AND(#REF!,"AAAAAH1/3wU=")</f>
        <v>#VALUE!</v>
      </c>
      <c r="G49" s="22" t="e">
        <f aca="false">AND(#REF!,"AAAAAH1/3wY=")</f>
        <v>#VALUE!</v>
      </c>
      <c r="H49" s="22" t="e">
        <f aca="false">AND(#REF!,"AAAAAH1/3wc=")</f>
        <v>#VALUE!</v>
      </c>
      <c r="I49" s="22" t="e">
        <f aca="false">IF(#REF!,"AAAAAH1/3wg=",0)</f>
        <v>#REF!</v>
      </c>
      <c r="J49" s="22" t="e">
        <f aca="false">AND(#REF!,"AAAAAH1/3wk=")</f>
        <v>#VALUE!</v>
      </c>
      <c r="K49" s="22" t="e">
        <f aca="false">AND(#REF!,"AAAAAH1/3wo=")</f>
        <v>#VALUE!</v>
      </c>
      <c r="L49" s="22" t="e">
        <f aca="false">AND(#REF!,"AAAAAH1/3ws=")</f>
        <v>#VALUE!</v>
      </c>
      <c r="M49" s="22" t="e">
        <f aca="false">AND(#REF!,"AAAAAH1/3ww=")</f>
        <v>#VALUE!</v>
      </c>
      <c r="N49" s="22" t="e">
        <f aca="false">AND(#REF!,"AAAAAH1/3w0=")</f>
        <v>#VALUE!</v>
      </c>
      <c r="O49" s="22" t="e">
        <f aca="false">AND(#REF!,"AAAAAH1/3w4=")</f>
        <v>#VALUE!</v>
      </c>
      <c r="P49" s="22" t="e">
        <f aca="false">IF(#REF!,"AAAAAH1/3w8=",0)</f>
        <v>#REF!</v>
      </c>
      <c r="Q49" s="22" t="e">
        <f aca="false">AND(#REF!,"AAAAAH1/3xA=")</f>
        <v>#VALUE!</v>
      </c>
      <c r="R49" s="22" t="e">
        <f aca="false">AND(#REF!,"AAAAAH1/3xE=")</f>
        <v>#VALUE!</v>
      </c>
      <c r="S49" s="22" t="e">
        <f aca="false">AND(#REF!,"AAAAAH1/3xI=")</f>
        <v>#VALUE!</v>
      </c>
      <c r="T49" s="22" t="e">
        <f aca="false">AND(#REF!,"AAAAAH1/3xM=")</f>
        <v>#VALUE!</v>
      </c>
      <c r="U49" s="22" t="e">
        <f aca="false">AND(#REF!,"AAAAAH1/3xQ=")</f>
        <v>#VALUE!</v>
      </c>
      <c r="V49" s="22" t="e">
        <f aca="false">AND(#REF!,"AAAAAH1/3xU=")</f>
        <v>#VALUE!</v>
      </c>
      <c r="W49" s="22" t="e">
        <f aca="false">IF(#REF!,"AAAAAH1/3xY=",0)</f>
        <v>#REF!</v>
      </c>
      <c r="X49" s="22" t="e">
        <f aca="false">AND(#REF!,"AAAAAH1/3xc=")</f>
        <v>#VALUE!</v>
      </c>
      <c r="Y49" s="22" t="e">
        <f aca="false">AND(#REF!,"AAAAAH1/3xg=")</f>
        <v>#VALUE!</v>
      </c>
      <c r="Z49" s="22" t="e">
        <f aca="false">AND(#REF!,"AAAAAH1/3xk=")</f>
        <v>#VALUE!</v>
      </c>
      <c r="AA49" s="22" t="e">
        <f aca="false">AND(#REF!,"AAAAAH1/3xo=")</f>
        <v>#VALUE!</v>
      </c>
      <c r="AB49" s="22" t="e">
        <f aca="false">AND(#REF!,"AAAAAH1/3xs=")</f>
        <v>#VALUE!</v>
      </c>
      <c r="AC49" s="22" t="e">
        <f aca="false">AND(#REF!,"AAAAAH1/3xw=")</f>
        <v>#VALUE!</v>
      </c>
      <c r="AD49" s="22" t="e">
        <f aca="false">IF(#REF!,"AAAAAH1/3x0=",0)</f>
        <v>#REF!</v>
      </c>
      <c r="AE49" s="22" t="e">
        <f aca="false">AND(#REF!,"AAAAAH1/3x4=")</f>
        <v>#VALUE!</v>
      </c>
      <c r="AF49" s="22" t="e">
        <f aca="false">AND(#REF!,"AAAAAH1/3x8=")</f>
        <v>#VALUE!</v>
      </c>
      <c r="AG49" s="22" t="e">
        <f aca="false">AND(#REF!,"AAAAAH1/3yA=")</f>
        <v>#VALUE!</v>
      </c>
      <c r="AH49" s="22" t="e">
        <f aca="false">AND(#REF!,"AAAAAH1/3yE=")</f>
        <v>#VALUE!</v>
      </c>
      <c r="AI49" s="22" t="e">
        <f aca="false">AND(#REF!,"AAAAAH1/3yI=")</f>
        <v>#VALUE!</v>
      </c>
      <c r="AJ49" s="22" t="e">
        <f aca="false">AND(#REF!,"AAAAAH1/3yM=")</f>
        <v>#VALUE!</v>
      </c>
      <c r="AK49" s="22" t="e">
        <f aca="false">IF(#REF!,"AAAAAH1/3yQ=",0)</f>
        <v>#REF!</v>
      </c>
      <c r="AL49" s="22" t="e">
        <f aca="false">AND(#REF!,"AAAAAH1/3yU=")</f>
        <v>#VALUE!</v>
      </c>
      <c r="AM49" s="22" t="e">
        <f aca="false">AND(#REF!,"AAAAAH1/3yY=")</f>
        <v>#VALUE!</v>
      </c>
      <c r="AN49" s="22" t="e">
        <f aca="false">AND(#REF!,"AAAAAH1/3yc=")</f>
        <v>#VALUE!</v>
      </c>
      <c r="AO49" s="22" t="e">
        <f aca="false">AND(#REF!,"AAAAAH1/3yg=")</f>
        <v>#VALUE!</v>
      </c>
      <c r="AP49" s="22" t="e">
        <f aca="false">AND(#REF!,"AAAAAH1/3yk=")</f>
        <v>#VALUE!</v>
      </c>
      <c r="AQ49" s="22" t="e">
        <f aca="false">AND(#REF!,"AAAAAH1/3yo=")</f>
        <v>#VALUE!</v>
      </c>
      <c r="AR49" s="22" t="e">
        <f aca="false">IF(#REF!,"AAAAAH1/3ys=",0)</f>
        <v>#REF!</v>
      </c>
      <c r="AS49" s="22" t="e">
        <f aca="false">AND(#REF!,"AAAAAH1/3yw=")</f>
        <v>#VALUE!</v>
      </c>
      <c r="AT49" s="22" t="e">
        <f aca="false">AND(#REF!,"AAAAAH1/3y0=")</f>
        <v>#VALUE!</v>
      </c>
      <c r="AU49" s="22" t="e">
        <f aca="false">AND(#REF!,"AAAAAH1/3y4=")</f>
        <v>#VALUE!</v>
      </c>
      <c r="AV49" s="22" t="e">
        <f aca="false">AND(#REF!,"AAAAAH1/3y8=")</f>
        <v>#VALUE!</v>
      </c>
      <c r="AW49" s="22" t="e">
        <f aca="false">AND(#REF!,"AAAAAH1/3zA=")</f>
        <v>#VALUE!</v>
      </c>
      <c r="AX49" s="22" t="e">
        <f aca="false">AND(#REF!,"AAAAAH1/3zE=")</f>
        <v>#VALUE!</v>
      </c>
      <c r="AY49" s="22" t="e">
        <f aca="false">IF(#REF!,"AAAAAH1/3zI=",0)</f>
        <v>#REF!</v>
      </c>
      <c r="AZ49" s="22" t="e">
        <f aca="false">AND(#REF!,"AAAAAH1/3zM=")</f>
        <v>#VALUE!</v>
      </c>
      <c r="BA49" s="22" t="e">
        <f aca="false">AND(#REF!,"AAAAAH1/3zQ=")</f>
        <v>#VALUE!</v>
      </c>
      <c r="BB49" s="22" t="e">
        <f aca="false">AND(#REF!,"AAAAAH1/3zU=")</f>
        <v>#VALUE!</v>
      </c>
      <c r="BC49" s="22" t="e">
        <f aca="false">AND(#REF!,"AAAAAH1/3zY=")</f>
        <v>#VALUE!</v>
      </c>
      <c r="BD49" s="22" t="e">
        <f aca="false">AND(#REF!,"AAAAAH1/3zc=")</f>
        <v>#VALUE!</v>
      </c>
      <c r="BE49" s="22" t="e">
        <f aca="false">AND(#REF!,"AAAAAH1/3zg=")</f>
        <v>#VALUE!</v>
      </c>
      <c r="BF49" s="22" t="e">
        <f aca="false">IF(#REF!,"AAAAAH1/3zk=",0)</f>
        <v>#REF!</v>
      </c>
      <c r="BG49" s="22" t="e">
        <f aca="false">AND(#REF!,"AAAAAH1/3zo=")</f>
        <v>#VALUE!</v>
      </c>
      <c r="BH49" s="22" t="e">
        <f aca="false">AND(#REF!,"AAAAAH1/3zs=")</f>
        <v>#VALUE!</v>
      </c>
      <c r="BI49" s="22" t="e">
        <f aca="false">AND(#REF!,"AAAAAH1/3zw=")</f>
        <v>#VALUE!</v>
      </c>
      <c r="BJ49" s="22" t="e">
        <f aca="false">AND(#REF!,"AAAAAH1/3z0=")</f>
        <v>#VALUE!</v>
      </c>
      <c r="BK49" s="22" t="e">
        <f aca="false">AND(#REF!,"AAAAAH1/3z4=")</f>
        <v>#VALUE!</v>
      </c>
      <c r="BL49" s="22" t="e">
        <f aca="false">AND(#REF!,"AAAAAH1/3z8=")</f>
        <v>#VALUE!</v>
      </c>
      <c r="BM49" s="22" t="e">
        <f aca="false">IF(#REF!,"AAAAAH1/30A=",0)</f>
        <v>#REF!</v>
      </c>
      <c r="BN49" s="22" t="e">
        <f aca="false">AND(#REF!,"AAAAAH1/30E=")</f>
        <v>#VALUE!</v>
      </c>
      <c r="BO49" s="22" t="e">
        <f aca="false">AND(#REF!,"AAAAAH1/30I=")</f>
        <v>#VALUE!</v>
      </c>
      <c r="BP49" s="22" t="e">
        <f aca="false">AND(#REF!,"AAAAAH1/30M=")</f>
        <v>#VALUE!</v>
      </c>
      <c r="BQ49" s="22" t="e">
        <f aca="false">AND(#REF!,"AAAAAH1/30Q=")</f>
        <v>#VALUE!</v>
      </c>
      <c r="BR49" s="22" t="e">
        <f aca="false">AND(#REF!,"AAAAAH1/30U=")</f>
        <v>#VALUE!</v>
      </c>
      <c r="BS49" s="22" t="e">
        <f aca="false">AND(#REF!,"AAAAAH1/30Y=")</f>
        <v>#VALUE!</v>
      </c>
      <c r="BT49" s="22" t="e">
        <f aca="false">IF(#REF!,"AAAAAH1/30c=",0)</f>
        <v>#REF!</v>
      </c>
      <c r="BU49" s="22" t="e">
        <f aca="false">AND(#REF!,"AAAAAH1/30g=")</f>
        <v>#VALUE!</v>
      </c>
      <c r="BV49" s="22" t="e">
        <f aca="false">AND(#REF!,"AAAAAH1/30k=")</f>
        <v>#VALUE!</v>
      </c>
      <c r="BW49" s="22" t="e">
        <f aca="false">AND(#REF!,"AAAAAH1/30o=")</f>
        <v>#VALUE!</v>
      </c>
      <c r="BX49" s="22" t="e">
        <f aca="false">AND(#REF!,"AAAAAH1/30s=")</f>
        <v>#VALUE!</v>
      </c>
      <c r="BY49" s="22" t="e">
        <f aca="false">AND(#REF!,"AAAAAH1/30w=")</f>
        <v>#VALUE!</v>
      </c>
      <c r="BZ49" s="22" t="e">
        <f aca="false">AND(#REF!,"AAAAAH1/300=")</f>
        <v>#VALUE!</v>
      </c>
      <c r="CA49" s="22" t="e">
        <f aca="false">IF(#REF!,"AAAAAH1/304=",0)</f>
        <v>#REF!</v>
      </c>
      <c r="CB49" s="22" t="e">
        <f aca="false">AND(#REF!,"AAAAAH1/308=")</f>
        <v>#VALUE!</v>
      </c>
      <c r="CC49" s="22" t="e">
        <f aca="false">AND(#REF!,"AAAAAH1/31A=")</f>
        <v>#VALUE!</v>
      </c>
      <c r="CD49" s="22" t="e">
        <f aca="false">AND(#REF!,"AAAAAH1/31E=")</f>
        <v>#VALUE!</v>
      </c>
      <c r="CE49" s="22" t="e">
        <f aca="false">AND(#REF!,"AAAAAH1/31I=")</f>
        <v>#VALUE!</v>
      </c>
      <c r="CF49" s="22" t="e">
        <f aca="false">AND(#REF!,"AAAAAH1/31M=")</f>
        <v>#VALUE!</v>
      </c>
      <c r="CG49" s="22" t="e">
        <f aca="false">AND(#REF!,"AAAAAH1/31Q=")</f>
        <v>#VALUE!</v>
      </c>
      <c r="CH49" s="22" t="e">
        <f aca="false">IF(#REF!,"AAAAAH1/31U=",0)</f>
        <v>#REF!</v>
      </c>
      <c r="CI49" s="22" t="e">
        <f aca="false">AND(#REF!,"AAAAAH1/31Y=")</f>
        <v>#VALUE!</v>
      </c>
      <c r="CJ49" s="22" t="e">
        <f aca="false">AND(#REF!,"AAAAAH1/31c=")</f>
        <v>#VALUE!</v>
      </c>
      <c r="CK49" s="22" t="e">
        <f aca="false">AND(#REF!,"AAAAAH1/31g=")</f>
        <v>#VALUE!</v>
      </c>
      <c r="CL49" s="22" t="e">
        <f aca="false">AND(#REF!,"AAAAAH1/31k=")</f>
        <v>#VALUE!</v>
      </c>
      <c r="CM49" s="22" t="e">
        <f aca="false">AND(#REF!,"AAAAAH1/31o=")</f>
        <v>#VALUE!</v>
      </c>
      <c r="CN49" s="22" t="e">
        <f aca="false">AND(#REF!,"AAAAAH1/31s=")</f>
        <v>#VALUE!</v>
      </c>
      <c r="CO49" s="22" t="e">
        <f aca="false">IF(#REF!,"AAAAAH1/31w=",0)</f>
        <v>#REF!</v>
      </c>
      <c r="CP49" s="22" t="e">
        <f aca="false">AND(#REF!,"AAAAAH1/310=")</f>
        <v>#VALUE!</v>
      </c>
      <c r="CQ49" s="22" t="e">
        <f aca="false">AND(#REF!,"AAAAAH1/314=")</f>
        <v>#VALUE!</v>
      </c>
      <c r="CR49" s="22" t="e">
        <f aca="false">AND(#REF!,"AAAAAH1/318=")</f>
        <v>#VALUE!</v>
      </c>
      <c r="CS49" s="22" t="e">
        <f aca="false">AND(#REF!,"AAAAAH1/32A=")</f>
        <v>#VALUE!</v>
      </c>
      <c r="CT49" s="22" t="e">
        <f aca="false">AND(#REF!,"AAAAAH1/32E=")</f>
        <v>#VALUE!</v>
      </c>
      <c r="CU49" s="22" t="e">
        <f aca="false">AND(#REF!,"AAAAAH1/32I=")</f>
        <v>#VALUE!</v>
      </c>
      <c r="CV49" s="22" t="e">
        <f aca="false">IF(#REF!,"AAAAAH1/32M=",0)</f>
        <v>#REF!</v>
      </c>
      <c r="CW49" s="22" t="e">
        <f aca="false">AND(#REF!,"AAAAAH1/32Q=")</f>
        <v>#VALUE!</v>
      </c>
      <c r="CX49" s="22" t="e">
        <f aca="false">AND(#REF!,"AAAAAH1/32U=")</f>
        <v>#VALUE!</v>
      </c>
      <c r="CY49" s="22" t="e">
        <f aca="false">AND(#REF!,"AAAAAH1/32Y=")</f>
        <v>#VALUE!</v>
      </c>
      <c r="CZ49" s="22" t="e">
        <f aca="false">AND(#REF!,"AAAAAH1/32c=")</f>
        <v>#VALUE!</v>
      </c>
      <c r="DA49" s="22" t="e">
        <f aca="false">AND(#REF!,"AAAAAH1/32g=")</f>
        <v>#VALUE!</v>
      </c>
      <c r="DB49" s="22" t="e">
        <f aca="false">AND(#REF!,"AAAAAH1/32k=")</f>
        <v>#VALUE!</v>
      </c>
      <c r="DC49" s="22" t="e">
        <f aca="false">IF(#REF!,"AAAAAH1/32o=",0)</f>
        <v>#REF!</v>
      </c>
      <c r="DD49" s="22" t="e">
        <f aca="false">AND(#REF!,"AAAAAH1/32s=")</f>
        <v>#VALUE!</v>
      </c>
      <c r="DE49" s="22" t="e">
        <f aca="false">AND(#REF!,"AAAAAH1/32w=")</f>
        <v>#VALUE!</v>
      </c>
      <c r="DF49" s="22" t="e">
        <f aca="false">AND(#REF!,"AAAAAH1/320=")</f>
        <v>#VALUE!</v>
      </c>
      <c r="DG49" s="22" t="e">
        <f aca="false">AND(#REF!,"AAAAAH1/324=")</f>
        <v>#VALUE!</v>
      </c>
      <c r="DH49" s="22" t="e">
        <f aca="false">AND(#REF!,"AAAAAH1/328=")</f>
        <v>#VALUE!</v>
      </c>
      <c r="DI49" s="22" t="e">
        <f aca="false">AND(#REF!,"AAAAAH1/33A=")</f>
        <v>#VALUE!</v>
      </c>
      <c r="DJ49" s="22" t="e">
        <f aca="false">IF(#REF!,"AAAAAH1/33E=",0)</f>
        <v>#REF!</v>
      </c>
      <c r="DK49" s="22" t="e">
        <f aca="false">AND(#REF!,"AAAAAH1/33I=")</f>
        <v>#VALUE!</v>
      </c>
      <c r="DL49" s="22" t="e">
        <f aca="false">AND(#REF!,"AAAAAH1/33M=")</f>
        <v>#VALUE!</v>
      </c>
      <c r="DM49" s="22" t="e">
        <f aca="false">AND(#REF!,"AAAAAH1/33Q=")</f>
        <v>#VALUE!</v>
      </c>
      <c r="DN49" s="22" t="e">
        <f aca="false">AND(#REF!,"AAAAAH1/33U=")</f>
        <v>#VALUE!</v>
      </c>
      <c r="DO49" s="22" t="e">
        <f aca="false">AND(#REF!,"AAAAAH1/33Y=")</f>
        <v>#VALUE!</v>
      </c>
      <c r="DP49" s="22" t="e">
        <f aca="false">AND(#REF!,"AAAAAH1/33c=")</f>
        <v>#VALUE!</v>
      </c>
      <c r="DQ49" s="22" t="e">
        <f aca="false">IF(#REF!,"AAAAAH1/33g=",0)</f>
        <v>#REF!</v>
      </c>
      <c r="DR49" s="22" t="e">
        <f aca="false">AND(#REF!,"AAAAAH1/33k=")</f>
        <v>#VALUE!</v>
      </c>
      <c r="DS49" s="22" t="e">
        <f aca="false">AND(#REF!,"AAAAAH1/33o=")</f>
        <v>#VALUE!</v>
      </c>
      <c r="DT49" s="22" t="e">
        <f aca="false">AND(#REF!,"AAAAAH1/33s=")</f>
        <v>#VALUE!</v>
      </c>
      <c r="DU49" s="22" t="e">
        <f aca="false">AND(#REF!,"AAAAAH1/33w=")</f>
        <v>#VALUE!</v>
      </c>
      <c r="DV49" s="22" t="e">
        <f aca="false">AND(#REF!,"AAAAAH1/330=")</f>
        <v>#VALUE!</v>
      </c>
      <c r="DW49" s="22" t="e">
        <f aca="false">AND(#REF!,"AAAAAH1/334=")</f>
        <v>#VALUE!</v>
      </c>
      <c r="DX49" s="22" t="e">
        <f aca="false">IF(#REF!,"AAAAAH1/338=",0)</f>
        <v>#REF!</v>
      </c>
      <c r="DY49" s="22" t="e">
        <f aca="false">AND(#REF!,"AAAAAH1/34A=")</f>
        <v>#VALUE!</v>
      </c>
      <c r="DZ49" s="22" t="e">
        <f aca="false">AND(#REF!,"AAAAAH1/34E=")</f>
        <v>#VALUE!</v>
      </c>
      <c r="EA49" s="22" t="e">
        <f aca="false">AND(#REF!,"AAAAAH1/34I=")</f>
        <v>#VALUE!</v>
      </c>
      <c r="EB49" s="22" t="e">
        <f aca="false">AND(#REF!,"AAAAAH1/34M=")</f>
        <v>#VALUE!</v>
      </c>
      <c r="EC49" s="22" t="e">
        <f aca="false">AND(#REF!,"AAAAAH1/34Q=")</f>
        <v>#VALUE!</v>
      </c>
      <c r="ED49" s="22" t="e">
        <f aca="false">AND(#REF!,"AAAAAH1/34U=")</f>
        <v>#VALUE!</v>
      </c>
      <c r="EE49" s="22" t="e">
        <f aca="false">IF(#REF!,"AAAAAH1/34Y=",0)</f>
        <v>#REF!</v>
      </c>
      <c r="EF49" s="22" t="e">
        <f aca="false">AND(#REF!,"AAAAAH1/34c=")</f>
        <v>#VALUE!</v>
      </c>
      <c r="EG49" s="22" t="e">
        <f aca="false">AND(#REF!,"AAAAAH1/34g=")</f>
        <v>#VALUE!</v>
      </c>
      <c r="EH49" s="22" t="e">
        <f aca="false">AND(#REF!,"AAAAAH1/34k=")</f>
        <v>#VALUE!</v>
      </c>
      <c r="EI49" s="22" t="e">
        <f aca="false">AND(#REF!,"AAAAAH1/34o=")</f>
        <v>#VALUE!</v>
      </c>
      <c r="EJ49" s="22" t="e">
        <f aca="false">AND(#REF!,"AAAAAH1/34s=")</f>
        <v>#VALUE!</v>
      </c>
      <c r="EK49" s="22" t="e">
        <f aca="false">AND(#REF!,"AAAAAH1/34w=")</f>
        <v>#VALUE!</v>
      </c>
      <c r="EL49" s="22" t="e">
        <f aca="false">IF(#REF!,"AAAAAH1/340=",0)</f>
        <v>#REF!</v>
      </c>
      <c r="EM49" s="22" t="e">
        <f aca="false">AND(#REF!,"AAAAAH1/344=")</f>
        <v>#VALUE!</v>
      </c>
      <c r="EN49" s="22" t="e">
        <f aca="false">AND(#REF!,"AAAAAH1/348=")</f>
        <v>#VALUE!</v>
      </c>
      <c r="EO49" s="22" t="e">
        <f aca="false">AND(#REF!,"AAAAAH1/35A=")</f>
        <v>#VALUE!</v>
      </c>
      <c r="EP49" s="22" t="e">
        <f aca="false">AND(#REF!,"AAAAAH1/35E=")</f>
        <v>#VALUE!</v>
      </c>
      <c r="EQ49" s="22" t="e">
        <f aca="false">AND(#REF!,"AAAAAH1/35I=")</f>
        <v>#VALUE!</v>
      </c>
      <c r="ER49" s="22" t="e">
        <f aca="false">AND(#REF!,"AAAAAH1/35M=")</f>
        <v>#VALUE!</v>
      </c>
      <c r="ES49" s="22" t="e">
        <f aca="false">IF(#REF!,"AAAAAH1/35Q=",0)</f>
        <v>#REF!</v>
      </c>
      <c r="ET49" s="22" t="e">
        <f aca="false">AND(#REF!,"AAAAAH1/35U=")</f>
        <v>#VALUE!</v>
      </c>
      <c r="EU49" s="22" t="e">
        <f aca="false">AND(#REF!,"AAAAAH1/35Y=")</f>
        <v>#VALUE!</v>
      </c>
      <c r="EV49" s="22" t="e">
        <f aca="false">AND(#REF!,"AAAAAH1/35c=")</f>
        <v>#VALUE!</v>
      </c>
      <c r="EW49" s="22" t="e">
        <f aca="false">AND(#REF!,"AAAAAH1/35g=")</f>
        <v>#VALUE!</v>
      </c>
      <c r="EX49" s="22" t="e">
        <f aca="false">AND(#REF!,"AAAAAH1/35k=")</f>
        <v>#VALUE!</v>
      </c>
      <c r="EY49" s="22" t="e">
        <f aca="false">AND(#REF!,"AAAAAH1/35o=")</f>
        <v>#VALUE!</v>
      </c>
      <c r="EZ49" s="22" t="e">
        <f aca="false">IF(#REF!,"AAAAAH1/35s=",0)</f>
        <v>#REF!</v>
      </c>
      <c r="FA49" s="22" t="e">
        <f aca="false">AND(#REF!,"AAAAAH1/35w=")</f>
        <v>#VALUE!</v>
      </c>
      <c r="FB49" s="22" t="e">
        <f aca="false">AND(#REF!,"AAAAAH1/350=")</f>
        <v>#VALUE!</v>
      </c>
      <c r="FC49" s="22" t="e">
        <f aca="false">AND(#REF!,"AAAAAH1/354=")</f>
        <v>#VALUE!</v>
      </c>
      <c r="FD49" s="22" t="e">
        <f aca="false">AND(#REF!,"AAAAAH1/358=")</f>
        <v>#VALUE!</v>
      </c>
      <c r="FE49" s="22" t="e">
        <f aca="false">AND(#REF!,"AAAAAH1/36A=")</f>
        <v>#VALUE!</v>
      </c>
      <c r="FF49" s="22" t="e">
        <f aca="false">AND(#REF!,"AAAAAH1/36E=")</f>
        <v>#VALUE!</v>
      </c>
      <c r="FG49" s="22" t="e">
        <f aca="false">IF(#REF!,"AAAAAH1/36I=",0)</f>
        <v>#REF!</v>
      </c>
      <c r="FH49" s="22" t="e">
        <f aca="false">AND(#REF!,"AAAAAH1/36M=")</f>
        <v>#VALUE!</v>
      </c>
      <c r="FI49" s="22" t="e">
        <f aca="false">AND(#REF!,"AAAAAH1/36Q=")</f>
        <v>#VALUE!</v>
      </c>
      <c r="FJ49" s="22" t="e">
        <f aca="false">AND(#REF!,"AAAAAH1/36U=")</f>
        <v>#VALUE!</v>
      </c>
      <c r="FK49" s="22" t="e">
        <f aca="false">AND(#REF!,"AAAAAH1/36Y=")</f>
        <v>#VALUE!</v>
      </c>
      <c r="FL49" s="22" t="e">
        <f aca="false">AND(#REF!,"AAAAAH1/36c=")</f>
        <v>#VALUE!</v>
      </c>
      <c r="FM49" s="22" t="e">
        <f aca="false">AND(#REF!,"AAAAAH1/36g=")</f>
        <v>#VALUE!</v>
      </c>
      <c r="FN49" s="22" t="e">
        <f aca="false">IF(#REF!,"AAAAAH1/36k=",0)</f>
        <v>#REF!</v>
      </c>
      <c r="FO49" s="22" t="e">
        <f aca="false">AND(#REF!,"AAAAAH1/36o=")</f>
        <v>#VALUE!</v>
      </c>
      <c r="FP49" s="22" t="e">
        <f aca="false">AND(#REF!,"AAAAAH1/36s=")</f>
        <v>#VALUE!</v>
      </c>
      <c r="FQ49" s="22" t="e">
        <f aca="false">AND(#REF!,"AAAAAH1/36w=")</f>
        <v>#VALUE!</v>
      </c>
      <c r="FR49" s="22" t="e">
        <f aca="false">AND(#REF!,"AAAAAH1/360=")</f>
        <v>#VALUE!</v>
      </c>
      <c r="FS49" s="22" t="e">
        <f aca="false">AND(#REF!,"AAAAAH1/364=")</f>
        <v>#VALUE!</v>
      </c>
      <c r="FT49" s="22" t="e">
        <f aca="false">AND(#REF!,"AAAAAH1/368=")</f>
        <v>#VALUE!</v>
      </c>
      <c r="FU49" s="22" t="e">
        <f aca="false">IF(#REF!,"AAAAAH1/37A=",0)</f>
        <v>#REF!</v>
      </c>
      <c r="FV49" s="22" t="e">
        <f aca="false">AND(#REF!,"AAAAAH1/37E=")</f>
        <v>#VALUE!</v>
      </c>
      <c r="FW49" s="22" t="e">
        <f aca="false">AND(#REF!,"AAAAAH1/37I=")</f>
        <v>#VALUE!</v>
      </c>
      <c r="FX49" s="22" t="e">
        <f aca="false">AND(#REF!,"AAAAAH1/37M=")</f>
        <v>#VALUE!</v>
      </c>
      <c r="FY49" s="22" t="e">
        <f aca="false">AND(#REF!,"AAAAAH1/37Q=")</f>
        <v>#VALUE!</v>
      </c>
      <c r="FZ49" s="22" t="e">
        <f aca="false">AND(#REF!,"AAAAAH1/37U=")</f>
        <v>#VALUE!</v>
      </c>
      <c r="GA49" s="22" t="e">
        <f aca="false">AND(#REF!,"AAAAAH1/37Y=")</f>
        <v>#VALUE!</v>
      </c>
      <c r="GB49" s="22" t="e">
        <f aca="false">IF(#REF!,"AAAAAH1/37c=",0)</f>
        <v>#REF!</v>
      </c>
      <c r="GC49" s="22" t="e">
        <f aca="false">AND(#REF!,"AAAAAH1/37g=")</f>
        <v>#VALUE!</v>
      </c>
      <c r="GD49" s="22" t="e">
        <f aca="false">AND(#REF!,"AAAAAH1/37k=")</f>
        <v>#VALUE!</v>
      </c>
      <c r="GE49" s="22" t="e">
        <f aca="false">AND(#REF!,"AAAAAH1/37o=")</f>
        <v>#VALUE!</v>
      </c>
      <c r="GF49" s="22" t="e">
        <f aca="false">AND(#REF!,"AAAAAH1/37s=")</f>
        <v>#VALUE!</v>
      </c>
      <c r="GG49" s="22" t="e">
        <f aca="false">AND(#REF!,"AAAAAH1/37w=")</f>
        <v>#VALUE!</v>
      </c>
      <c r="GH49" s="22" t="e">
        <f aca="false">AND(#REF!,"AAAAAH1/370=")</f>
        <v>#VALUE!</v>
      </c>
      <c r="GI49" s="22" t="e">
        <f aca="false">IF(#REF!,"AAAAAH1/374=",0)</f>
        <v>#REF!</v>
      </c>
      <c r="GJ49" s="22" t="e">
        <f aca="false">AND(#REF!,"AAAAAH1/378=")</f>
        <v>#VALUE!</v>
      </c>
      <c r="GK49" s="22" t="e">
        <f aca="false">AND(#REF!,"AAAAAH1/38A=")</f>
        <v>#VALUE!</v>
      </c>
      <c r="GL49" s="22" t="e">
        <f aca="false">AND(#REF!,"AAAAAH1/38E=")</f>
        <v>#VALUE!</v>
      </c>
      <c r="GM49" s="22" t="e">
        <f aca="false">AND(#REF!,"AAAAAH1/38I=")</f>
        <v>#VALUE!</v>
      </c>
      <c r="GN49" s="22" t="e">
        <f aca="false">AND(#REF!,"AAAAAH1/38M=")</f>
        <v>#VALUE!</v>
      </c>
      <c r="GO49" s="22" t="e">
        <f aca="false">AND(#REF!,"AAAAAH1/38Q=")</f>
        <v>#VALUE!</v>
      </c>
      <c r="GP49" s="22" t="e">
        <f aca="false">IF(#REF!,"AAAAAH1/38U=",0)</f>
        <v>#REF!</v>
      </c>
      <c r="GQ49" s="22" t="e">
        <f aca="false">AND(#REF!,"AAAAAH1/38Y=")</f>
        <v>#VALUE!</v>
      </c>
      <c r="GR49" s="22" t="e">
        <f aca="false">AND(#REF!,"AAAAAH1/38c=")</f>
        <v>#VALUE!</v>
      </c>
      <c r="GS49" s="22" t="e">
        <f aca="false">AND(#REF!,"AAAAAH1/38g=")</f>
        <v>#VALUE!</v>
      </c>
      <c r="GT49" s="22" t="e">
        <f aca="false">AND(#REF!,"AAAAAH1/38k=")</f>
        <v>#VALUE!</v>
      </c>
      <c r="GU49" s="22" t="e">
        <f aca="false">AND(#REF!,"AAAAAH1/38o=")</f>
        <v>#VALUE!</v>
      </c>
      <c r="GV49" s="22" t="e">
        <f aca="false">AND(#REF!,"AAAAAH1/38s=")</f>
        <v>#VALUE!</v>
      </c>
      <c r="GW49" s="22" t="e">
        <f aca="false">IF(#REF!,"AAAAAH1/38w=",0)</f>
        <v>#REF!</v>
      </c>
      <c r="GX49" s="22" t="e">
        <f aca="false">AND(#REF!,"AAAAAH1/380=")</f>
        <v>#VALUE!</v>
      </c>
      <c r="GY49" s="22" t="e">
        <f aca="false">AND(#REF!,"AAAAAH1/384=")</f>
        <v>#VALUE!</v>
      </c>
      <c r="GZ49" s="22" t="e">
        <f aca="false">AND(#REF!,"AAAAAH1/388=")</f>
        <v>#VALUE!</v>
      </c>
      <c r="HA49" s="22" t="e">
        <f aca="false">AND(#REF!,"AAAAAH1/39A=")</f>
        <v>#VALUE!</v>
      </c>
      <c r="HB49" s="22" t="e">
        <f aca="false">AND(#REF!,"AAAAAH1/39E=")</f>
        <v>#VALUE!</v>
      </c>
      <c r="HC49" s="22" t="e">
        <f aca="false">AND(#REF!,"AAAAAH1/39I=")</f>
        <v>#VALUE!</v>
      </c>
      <c r="HD49" s="22" t="e">
        <f aca="false">IF(#REF!,"AAAAAH1/39M=",0)</f>
        <v>#REF!</v>
      </c>
      <c r="HE49" s="22" t="e">
        <f aca="false">AND(#REF!,"AAAAAH1/39Q=")</f>
        <v>#VALUE!</v>
      </c>
      <c r="HF49" s="22" t="e">
        <f aca="false">AND(#REF!,"AAAAAH1/39U=")</f>
        <v>#VALUE!</v>
      </c>
      <c r="HG49" s="22" t="e">
        <f aca="false">AND(#REF!,"AAAAAH1/39Y=")</f>
        <v>#VALUE!</v>
      </c>
      <c r="HH49" s="22" t="e">
        <f aca="false">AND(#REF!,"AAAAAH1/39c=")</f>
        <v>#VALUE!</v>
      </c>
      <c r="HI49" s="22" t="e">
        <f aca="false">AND(#REF!,"AAAAAH1/39g=")</f>
        <v>#VALUE!</v>
      </c>
      <c r="HJ49" s="22" t="e">
        <f aca="false">AND(#REF!,"AAAAAH1/39k=")</f>
        <v>#VALUE!</v>
      </c>
      <c r="HK49" s="22" t="e">
        <f aca="false">IF(#REF!,"AAAAAH1/39o=",0)</f>
        <v>#REF!</v>
      </c>
      <c r="HL49" s="22" t="e">
        <f aca="false">AND(#REF!,"AAAAAH1/39s=")</f>
        <v>#VALUE!</v>
      </c>
      <c r="HM49" s="22" t="e">
        <f aca="false">AND(#REF!,"AAAAAH1/39w=")</f>
        <v>#VALUE!</v>
      </c>
      <c r="HN49" s="22" t="e">
        <f aca="false">AND(#REF!,"AAAAAH1/390=")</f>
        <v>#VALUE!</v>
      </c>
      <c r="HO49" s="22" t="e">
        <f aca="false">AND(#REF!,"AAAAAH1/394=")</f>
        <v>#VALUE!</v>
      </c>
      <c r="HP49" s="22" t="e">
        <f aca="false">AND(#REF!,"AAAAAH1/398=")</f>
        <v>#VALUE!</v>
      </c>
      <c r="HQ49" s="22" t="e">
        <f aca="false">AND(#REF!,"AAAAAH1/3+A=")</f>
        <v>#VALUE!</v>
      </c>
      <c r="HR49" s="22" t="e">
        <f aca="false">IF(#REF!,"AAAAAH1/3+E=",0)</f>
        <v>#REF!</v>
      </c>
      <c r="HS49" s="22" t="e">
        <f aca="false">AND(#REF!,"AAAAAH1/3+I=")</f>
        <v>#VALUE!</v>
      </c>
      <c r="HT49" s="22" t="e">
        <f aca="false">AND(#REF!,"AAAAAH1/3+M=")</f>
        <v>#VALUE!</v>
      </c>
      <c r="HU49" s="22" t="e">
        <f aca="false">AND(#REF!,"AAAAAH1/3+Q=")</f>
        <v>#VALUE!</v>
      </c>
      <c r="HV49" s="22" t="e">
        <f aca="false">AND(#REF!,"AAAAAH1/3+U=")</f>
        <v>#VALUE!</v>
      </c>
      <c r="HW49" s="22" t="e">
        <f aca="false">AND(#REF!,"AAAAAH1/3+Y=")</f>
        <v>#VALUE!</v>
      </c>
      <c r="HX49" s="22" t="e">
        <f aca="false">AND(#REF!,"AAAAAH1/3+c=")</f>
        <v>#VALUE!</v>
      </c>
      <c r="HY49" s="22" t="e">
        <f aca="false">IF(#REF!,"AAAAAH1/3+g=",0)</f>
        <v>#REF!</v>
      </c>
      <c r="HZ49" s="22" t="e">
        <f aca="false">AND(#REF!,"AAAAAH1/3+k=")</f>
        <v>#VALUE!</v>
      </c>
      <c r="IA49" s="22" t="e">
        <f aca="false">AND(#REF!,"AAAAAH1/3+o=")</f>
        <v>#VALUE!</v>
      </c>
      <c r="IB49" s="22" t="e">
        <f aca="false">AND(#REF!,"AAAAAH1/3+s=")</f>
        <v>#VALUE!</v>
      </c>
      <c r="IC49" s="22" t="e">
        <f aca="false">AND(#REF!,"AAAAAH1/3+w=")</f>
        <v>#VALUE!</v>
      </c>
      <c r="ID49" s="22" t="e">
        <f aca="false">AND(#REF!,"AAAAAH1/3+0=")</f>
        <v>#VALUE!</v>
      </c>
      <c r="IE49" s="22" t="e">
        <f aca="false">AND(#REF!,"AAAAAH1/3+4=")</f>
        <v>#VALUE!</v>
      </c>
      <c r="IF49" s="22" t="e">
        <f aca="false">IF(#REF!,"AAAAAH1/3+8=",0)</f>
        <v>#REF!</v>
      </c>
      <c r="IG49" s="22" t="e">
        <f aca="false">AND(#REF!,"AAAAAH1/3/A=")</f>
        <v>#VALUE!</v>
      </c>
      <c r="IH49" s="22" t="e">
        <f aca="false">AND(#REF!,"AAAAAH1/3/E=")</f>
        <v>#VALUE!</v>
      </c>
      <c r="II49" s="22" t="e">
        <f aca="false">AND(#REF!,"AAAAAH1/3/I=")</f>
        <v>#VALUE!</v>
      </c>
      <c r="IJ49" s="22" t="e">
        <f aca="false">AND(#REF!,"AAAAAH1/3/M=")</f>
        <v>#VALUE!</v>
      </c>
      <c r="IK49" s="22" t="e">
        <f aca="false">AND(#REF!,"AAAAAH1/3/Q=")</f>
        <v>#VALUE!</v>
      </c>
      <c r="IL49" s="22" t="e">
        <f aca="false">AND(#REF!,"AAAAAH1/3/U=")</f>
        <v>#VALUE!</v>
      </c>
      <c r="IM49" s="22" t="e">
        <f aca="false">IF(#REF!,"AAAAAH1/3/Y=",0)</f>
        <v>#REF!</v>
      </c>
      <c r="IN49" s="22" t="e">
        <f aca="false">AND(#REF!,"AAAAAH1/3/c=")</f>
        <v>#VALUE!</v>
      </c>
      <c r="IO49" s="22" t="e">
        <f aca="false">AND(#REF!,"AAAAAH1/3/g=")</f>
        <v>#VALUE!</v>
      </c>
      <c r="IP49" s="22" t="e">
        <f aca="false">AND(#REF!,"AAAAAH1/3/k=")</f>
        <v>#VALUE!</v>
      </c>
      <c r="IQ49" s="22" t="e">
        <f aca="false">AND(#REF!,"AAAAAH1/3/o=")</f>
        <v>#VALUE!</v>
      </c>
      <c r="IR49" s="22" t="e">
        <f aca="false">AND(#REF!,"AAAAAH1/3/s=")</f>
        <v>#VALUE!</v>
      </c>
      <c r="IS49" s="22" t="e">
        <f aca="false">AND(#REF!,"AAAAAH1/3/w=")</f>
        <v>#VALUE!</v>
      </c>
      <c r="IT49" s="22" t="e">
        <f aca="false">IF(#REF!,"AAAAAH1/3/0=",0)</f>
        <v>#REF!</v>
      </c>
      <c r="IU49" s="22" t="e">
        <f aca="false">AND(#REF!,"AAAAAH1/3/4=")</f>
        <v>#VALUE!</v>
      </c>
      <c r="IV49" s="22" t="e">
        <f aca="false">AND(#REF!,"AAAAAH1/3/8=")</f>
        <v>#VALUE!</v>
      </c>
    </row>
    <row r="50" customFormat="false" ht="12.75" hidden="false" customHeight="false" outlineLevel="0" collapsed="false">
      <c r="A50" s="22" t="e">
        <f aca="false">AND(#REF!,"AAAAACvf+QA=")</f>
        <v>#VALUE!</v>
      </c>
      <c r="B50" s="22" t="e">
        <f aca="false">AND(#REF!,"AAAAACvf+QE=")</f>
        <v>#VALUE!</v>
      </c>
      <c r="C50" s="22" t="e">
        <f aca="false">AND(#REF!,"AAAAACvf+QI=")</f>
        <v>#VALUE!</v>
      </c>
      <c r="D50" s="22" t="e">
        <f aca="false">AND(#REF!,"AAAAACvf+QM=")</f>
        <v>#VALUE!</v>
      </c>
      <c r="E50" s="22" t="e">
        <f aca="false">IF(#REF!,"AAAAACvf+QQ=",0)</f>
        <v>#REF!</v>
      </c>
      <c r="F50" s="22" t="e">
        <f aca="false">AND(#REF!,"AAAAACvf+QU=")</f>
        <v>#VALUE!</v>
      </c>
      <c r="G50" s="22" t="e">
        <f aca="false">AND(#REF!,"AAAAACvf+QY=")</f>
        <v>#VALUE!</v>
      </c>
      <c r="H50" s="22" t="e">
        <f aca="false">AND(#REF!,"AAAAACvf+Qc=")</f>
        <v>#VALUE!</v>
      </c>
      <c r="I50" s="22" t="e">
        <f aca="false">AND(#REF!,"AAAAACvf+Qg=")</f>
        <v>#VALUE!</v>
      </c>
      <c r="J50" s="22" t="e">
        <f aca="false">AND(#REF!,"AAAAACvf+Qk=")</f>
        <v>#VALUE!</v>
      </c>
      <c r="K50" s="22" t="e">
        <f aca="false">AND(#REF!,"AAAAACvf+Qo=")</f>
        <v>#VALUE!</v>
      </c>
      <c r="L50" s="22" t="e">
        <f aca="false">IF(#REF!,"AAAAACvf+Qs=",0)</f>
        <v>#REF!</v>
      </c>
      <c r="M50" s="22" t="e">
        <f aca="false">AND(#REF!,"AAAAACvf+Qw=")</f>
        <v>#VALUE!</v>
      </c>
      <c r="N50" s="22" t="e">
        <f aca="false">AND(#REF!,"AAAAACvf+Q0=")</f>
        <v>#VALUE!</v>
      </c>
      <c r="O50" s="22" t="e">
        <f aca="false">AND(#REF!,"AAAAACvf+Q4=")</f>
        <v>#VALUE!</v>
      </c>
      <c r="P50" s="22" t="e">
        <f aca="false">AND(#REF!,"AAAAACvf+Q8=")</f>
        <v>#VALUE!</v>
      </c>
      <c r="Q50" s="22" t="e">
        <f aca="false">AND(#REF!,"AAAAACvf+RA=")</f>
        <v>#VALUE!</v>
      </c>
      <c r="R50" s="22" t="e">
        <f aca="false">AND(#REF!,"AAAAACvf+RE=")</f>
        <v>#VALUE!</v>
      </c>
      <c r="S50" s="22" t="e">
        <f aca="false">IF(#REF!,"AAAAACvf+RI=",0)</f>
        <v>#REF!</v>
      </c>
      <c r="T50" s="22" t="e">
        <f aca="false">AND(#REF!,"AAAAACvf+RM=")</f>
        <v>#VALUE!</v>
      </c>
      <c r="U50" s="22" t="e">
        <f aca="false">AND(#REF!,"AAAAACvf+RQ=")</f>
        <v>#VALUE!</v>
      </c>
      <c r="V50" s="22" t="e">
        <f aca="false">AND(#REF!,"AAAAACvf+RU=")</f>
        <v>#VALUE!</v>
      </c>
      <c r="W50" s="22" t="e">
        <f aca="false">AND(#REF!,"AAAAACvf+RY=")</f>
        <v>#VALUE!</v>
      </c>
      <c r="X50" s="22" t="e">
        <f aca="false">AND(#REF!,"AAAAACvf+Rc=")</f>
        <v>#VALUE!</v>
      </c>
      <c r="Y50" s="22" t="e">
        <f aca="false">AND(#REF!,"AAAAACvf+Rg=")</f>
        <v>#VALUE!</v>
      </c>
      <c r="Z50" s="22" t="e">
        <f aca="false">IF(#REF!,"AAAAACvf+Rk=",0)</f>
        <v>#REF!</v>
      </c>
      <c r="AA50" s="22" t="e">
        <f aca="false">AND(#REF!,"AAAAACvf+Ro=")</f>
        <v>#VALUE!</v>
      </c>
      <c r="AB50" s="22" t="e">
        <f aca="false">AND(#REF!,"AAAAACvf+Rs=")</f>
        <v>#VALUE!</v>
      </c>
      <c r="AC50" s="22" t="e">
        <f aca="false">AND(#REF!,"AAAAACvf+Rw=")</f>
        <v>#VALUE!</v>
      </c>
      <c r="AD50" s="22" t="e">
        <f aca="false">AND(#REF!,"AAAAACvf+R0=")</f>
        <v>#VALUE!</v>
      </c>
      <c r="AE50" s="22" t="e">
        <f aca="false">AND(#REF!,"AAAAACvf+R4=")</f>
        <v>#VALUE!</v>
      </c>
      <c r="AF50" s="22" t="e">
        <f aca="false">AND(#REF!,"AAAAACvf+R8=")</f>
        <v>#VALUE!</v>
      </c>
      <c r="AG50" s="22" t="e">
        <f aca="false">IF(#REF!,"AAAAACvf+SA=",0)</f>
        <v>#REF!</v>
      </c>
      <c r="AH50" s="22" t="e">
        <f aca="false">AND(#REF!,"AAAAACvf+SE=")</f>
        <v>#VALUE!</v>
      </c>
      <c r="AI50" s="22" t="e">
        <f aca="false">AND(#REF!,"AAAAACvf+SI=")</f>
        <v>#VALUE!</v>
      </c>
      <c r="AJ50" s="22" t="e">
        <f aca="false">AND(#REF!,"AAAAACvf+SM=")</f>
        <v>#VALUE!</v>
      </c>
      <c r="AK50" s="22" t="e">
        <f aca="false">AND(#REF!,"AAAAACvf+SQ=")</f>
        <v>#VALUE!</v>
      </c>
      <c r="AL50" s="22" t="e">
        <f aca="false">AND(#REF!,"AAAAACvf+SU=")</f>
        <v>#VALUE!</v>
      </c>
      <c r="AM50" s="22" t="e">
        <f aca="false">AND(#REF!,"AAAAACvf+SY=")</f>
        <v>#VALUE!</v>
      </c>
      <c r="AN50" s="22" t="e">
        <f aca="false">IF(#REF!,"AAAAACvf+Sc=",0)</f>
        <v>#REF!</v>
      </c>
      <c r="AO50" s="22" t="e">
        <f aca="false">AND(#REF!,"AAAAACvf+Sg=")</f>
        <v>#VALUE!</v>
      </c>
      <c r="AP50" s="22" t="e">
        <f aca="false">AND(#REF!,"AAAAACvf+Sk=")</f>
        <v>#VALUE!</v>
      </c>
      <c r="AQ50" s="22" t="e">
        <f aca="false">AND(#REF!,"AAAAACvf+So=")</f>
        <v>#VALUE!</v>
      </c>
      <c r="AR50" s="22" t="e">
        <f aca="false">AND(#REF!,"AAAAACvf+Ss=")</f>
        <v>#VALUE!</v>
      </c>
      <c r="AS50" s="22" t="e">
        <f aca="false">AND(#REF!,"AAAAACvf+Sw=")</f>
        <v>#VALUE!</v>
      </c>
      <c r="AT50" s="22" t="e">
        <f aca="false">AND(#REF!,"AAAAACvf+S0=")</f>
        <v>#VALUE!</v>
      </c>
      <c r="AU50" s="22" t="e">
        <f aca="false">IF(#REF!,"AAAAACvf+S4=",0)</f>
        <v>#REF!</v>
      </c>
      <c r="AV50" s="22" t="e">
        <f aca="false">AND(#REF!,"AAAAACvf+S8=")</f>
        <v>#VALUE!</v>
      </c>
      <c r="AW50" s="22" t="e">
        <f aca="false">AND(#REF!,"AAAAACvf+TA=")</f>
        <v>#VALUE!</v>
      </c>
      <c r="AX50" s="22" t="e">
        <f aca="false">AND(#REF!,"AAAAACvf+TE=")</f>
        <v>#VALUE!</v>
      </c>
      <c r="AY50" s="22" t="e">
        <f aca="false">AND(#REF!,"AAAAACvf+TI=")</f>
        <v>#VALUE!</v>
      </c>
      <c r="AZ50" s="22" t="e">
        <f aca="false">AND(#REF!,"AAAAACvf+TM=")</f>
        <v>#VALUE!</v>
      </c>
      <c r="BA50" s="22" t="e">
        <f aca="false">AND(#REF!,"AAAAACvf+TQ=")</f>
        <v>#VALUE!</v>
      </c>
      <c r="BB50" s="22" t="e">
        <f aca="false">IF(#REF!,"AAAAACvf+TU=",0)</f>
        <v>#REF!</v>
      </c>
      <c r="BC50" s="22" t="e">
        <f aca="false">AND(#REF!,"AAAAACvf+TY=")</f>
        <v>#VALUE!</v>
      </c>
      <c r="BD50" s="22" t="e">
        <f aca="false">AND(#REF!,"AAAAACvf+Tc=")</f>
        <v>#VALUE!</v>
      </c>
      <c r="BE50" s="22" t="e">
        <f aca="false">AND(#REF!,"AAAAACvf+Tg=")</f>
        <v>#VALUE!</v>
      </c>
      <c r="BF50" s="22" t="e">
        <f aca="false">AND(#REF!,"AAAAACvf+Tk=")</f>
        <v>#VALUE!</v>
      </c>
      <c r="BG50" s="22" t="e">
        <f aca="false">AND(#REF!,"AAAAACvf+To=")</f>
        <v>#VALUE!</v>
      </c>
      <c r="BH50" s="22" t="e">
        <f aca="false">AND(#REF!,"AAAAACvf+Ts=")</f>
        <v>#VALUE!</v>
      </c>
      <c r="BI50" s="22" t="e">
        <f aca="false">IF(#REF!,"AAAAACvf+Tw=",0)</f>
        <v>#REF!</v>
      </c>
      <c r="BJ50" s="22" t="e">
        <f aca="false">AND(#REF!,"AAAAACvf+T0=")</f>
        <v>#VALUE!</v>
      </c>
      <c r="BK50" s="22" t="e">
        <f aca="false">AND(#REF!,"AAAAACvf+T4=")</f>
        <v>#VALUE!</v>
      </c>
      <c r="BL50" s="22" t="e">
        <f aca="false">AND(#REF!,"AAAAACvf+T8=")</f>
        <v>#VALUE!</v>
      </c>
      <c r="BM50" s="22" t="e">
        <f aca="false">AND(#REF!,"AAAAACvf+UA=")</f>
        <v>#VALUE!</v>
      </c>
      <c r="BN50" s="22" t="e">
        <f aca="false">AND(#REF!,"AAAAACvf+UE=")</f>
        <v>#VALUE!</v>
      </c>
      <c r="BO50" s="22" t="e">
        <f aca="false">AND(#REF!,"AAAAACvf+UI=")</f>
        <v>#VALUE!</v>
      </c>
      <c r="BP50" s="22" t="e">
        <f aca="false">IF(#REF!,"AAAAACvf+UM=",0)</f>
        <v>#REF!</v>
      </c>
      <c r="BQ50" s="22" t="e">
        <f aca="false">AND(#REF!,"AAAAACvf+UQ=")</f>
        <v>#VALUE!</v>
      </c>
      <c r="BR50" s="22" t="e">
        <f aca="false">AND(#REF!,"AAAAACvf+UU=")</f>
        <v>#VALUE!</v>
      </c>
      <c r="BS50" s="22" t="e">
        <f aca="false">AND(#REF!,"AAAAACvf+UY=")</f>
        <v>#VALUE!</v>
      </c>
      <c r="BT50" s="22" t="e">
        <f aca="false">AND(#REF!,"AAAAACvf+Uc=")</f>
        <v>#VALUE!</v>
      </c>
      <c r="BU50" s="22" t="e">
        <f aca="false">AND(#REF!,"AAAAACvf+Ug=")</f>
        <v>#VALUE!</v>
      </c>
      <c r="BV50" s="22" t="e">
        <f aca="false">AND(#REF!,"AAAAACvf+Uk=")</f>
        <v>#VALUE!</v>
      </c>
      <c r="BW50" s="22" t="e">
        <f aca="false">IF(#REF!,"AAAAACvf+Uo=",0)</f>
        <v>#REF!</v>
      </c>
      <c r="BX50" s="22" t="e">
        <f aca="false">AND(#REF!,"AAAAACvf+Us=")</f>
        <v>#VALUE!</v>
      </c>
      <c r="BY50" s="22" t="e">
        <f aca="false">AND(#REF!,"AAAAACvf+Uw=")</f>
        <v>#VALUE!</v>
      </c>
      <c r="BZ50" s="22" t="e">
        <f aca="false">AND(#REF!,"AAAAACvf+U0=")</f>
        <v>#VALUE!</v>
      </c>
      <c r="CA50" s="22" t="e">
        <f aca="false">AND(#REF!,"AAAAACvf+U4=")</f>
        <v>#VALUE!</v>
      </c>
      <c r="CB50" s="22" t="e">
        <f aca="false">AND(#REF!,"AAAAACvf+U8=")</f>
        <v>#VALUE!</v>
      </c>
      <c r="CC50" s="22" t="e">
        <f aca="false">AND(#REF!,"AAAAACvf+VA=")</f>
        <v>#VALUE!</v>
      </c>
      <c r="CD50" s="22" t="e">
        <f aca="false">IF(#REF!,"AAAAACvf+VE=",0)</f>
        <v>#REF!</v>
      </c>
      <c r="CE50" s="22" t="e">
        <f aca="false">AND(#REF!,"AAAAACvf+VI=")</f>
        <v>#VALUE!</v>
      </c>
      <c r="CF50" s="22" t="e">
        <f aca="false">AND(#REF!,"AAAAACvf+VM=")</f>
        <v>#VALUE!</v>
      </c>
      <c r="CG50" s="22" t="e">
        <f aca="false">AND(#REF!,"AAAAACvf+VQ=")</f>
        <v>#VALUE!</v>
      </c>
      <c r="CH50" s="22" t="e">
        <f aca="false">AND(#REF!,"AAAAACvf+VU=")</f>
        <v>#VALUE!</v>
      </c>
      <c r="CI50" s="22" t="e">
        <f aca="false">AND(#REF!,"AAAAACvf+VY=")</f>
        <v>#VALUE!</v>
      </c>
      <c r="CJ50" s="22" t="e">
        <f aca="false">AND(#REF!,"AAAAACvf+Vc=")</f>
        <v>#VALUE!</v>
      </c>
      <c r="CK50" s="22" t="e">
        <f aca="false">IF(#REF!,"AAAAACvf+Vg=",0)</f>
        <v>#REF!</v>
      </c>
      <c r="CL50" s="22" t="e">
        <f aca="false">AND(#REF!,"AAAAACvf+Vk=")</f>
        <v>#VALUE!</v>
      </c>
      <c r="CM50" s="22" t="e">
        <f aca="false">AND(#REF!,"AAAAACvf+Vo=")</f>
        <v>#VALUE!</v>
      </c>
      <c r="CN50" s="22" t="e">
        <f aca="false">AND(#REF!,"AAAAACvf+Vs=")</f>
        <v>#VALUE!</v>
      </c>
      <c r="CO50" s="22" t="e">
        <f aca="false">AND(#REF!,"AAAAACvf+Vw=")</f>
        <v>#VALUE!</v>
      </c>
      <c r="CP50" s="22" t="e">
        <f aca="false">AND(#REF!,"AAAAACvf+V0=")</f>
        <v>#VALUE!</v>
      </c>
      <c r="CQ50" s="22" t="e">
        <f aca="false">AND(#REF!,"AAAAACvf+V4=")</f>
        <v>#VALUE!</v>
      </c>
      <c r="CR50" s="22" t="e">
        <f aca="false">IF(#REF!,"AAAAACvf+V8=",0)</f>
        <v>#REF!</v>
      </c>
      <c r="CS50" s="22" t="e">
        <f aca="false">AND(#REF!,"AAAAACvf+WA=")</f>
        <v>#VALUE!</v>
      </c>
      <c r="CT50" s="22" t="e">
        <f aca="false">AND(#REF!,"AAAAACvf+WE=")</f>
        <v>#VALUE!</v>
      </c>
      <c r="CU50" s="22" t="e">
        <f aca="false">AND(#REF!,"AAAAACvf+WI=")</f>
        <v>#VALUE!</v>
      </c>
      <c r="CV50" s="22" t="e">
        <f aca="false">AND(#REF!,"AAAAACvf+WM=")</f>
        <v>#VALUE!</v>
      </c>
      <c r="CW50" s="22" t="e">
        <f aca="false">AND(#REF!,"AAAAACvf+WQ=")</f>
        <v>#VALUE!</v>
      </c>
      <c r="CX50" s="22" t="e">
        <f aca="false">AND(#REF!,"AAAAACvf+WU=")</f>
        <v>#VALUE!</v>
      </c>
      <c r="CY50" s="22" t="e">
        <f aca="false">IF(#REF!,"AAAAACvf+WY=",0)</f>
        <v>#REF!</v>
      </c>
      <c r="CZ50" s="22" t="e">
        <f aca="false">AND(#REF!,"AAAAACvf+Wc=")</f>
        <v>#VALUE!</v>
      </c>
      <c r="DA50" s="22" t="e">
        <f aca="false">AND(#REF!,"AAAAACvf+Wg=")</f>
        <v>#VALUE!</v>
      </c>
      <c r="DB50" s="22" t="e">
        <f aca="false">AND(#REF!,"AAAAACvf+Wk=")</f>
        <v>#VALUE!</v>
      </c>
      <c r="DC50" s="22" t="e">
        <f aca="false">AND(#REF!,"AAAAACvf+Wo=")</f>
        <v>#VALUE!</v>
      </c>
      <c r="DD50" s="22" t="e">
        <f aca="false">AND(#REF!,"AAAAACvf+Ws=")</f>
        <v>#VALUE!</v>
      </c>
      <c r="DE50" s="22" t="e">
        <f aca="false">AND(#REF!,"AAAAACvf+Ww=")</f>
        <v>#VALUE!</v>
      </c>
      <c r="DF50" s="22" t="e">
        <f aca="false">IF(#REF!,"AAAAACvf+W0=",0)</f>
        <v>#REF!</v>
      </c>
      <c r="DG50" s="22" t="e">
        <f aca="false">AND(#REF!,"AAAAACvf+W4=")</f>
        <v>#VALUE!</v>
      </c>
      <c r="DH50" s="22" t="e">
        <f aca="false">AND(#REF!,"AAAAACvf+W8=")</f>
        <v>#VALUE!</v>
      </c>
      <c r="DI50" s="22" t="e">
        <f aca="false">AND(#REF!,"AAAAACvf+XA=")</f>
        <v>#VALUE!</v>
      </c>
      <c r="DJ50" s="22" t="e">
        <f aca="false">AND(#REF!,"AAAAACvf+XE=")</f>
        <v>#VALUE!</v>
      </c>
      <c r="DK50" s="22" t="e">
        <f aca="false">AND(#REF!,"AAAAACvf+XI=")</f>
        <v>#VALUE!</v>
      </c>
      <c r="DL50" s="22" t="e">
        <f aca="false">AND(#REF!,"AAAAACvf+XM=")</f>
        <v>#VALUE!</v>
      </c>
      <c r="DM50" s="22" t="e">
        <f aca="false">IF(#REF!,"AAAAACvf+XQ=",0)</f>
        <v>#REF!</v>
      </c>
      <c r="DN50" s="22" t="e">
        <f aca="false">AND(#REF!,"AAAAACvf+XU=")</f>
        <v>#VALUE!</v>
      </c>
      <c r="DO50" s="22" t="e">
        <f aca="false">AND(#REF!,"AAAAACvf+XY=")</f>
        <v>#VALUE!</v>
      </c>
      <c r="DP50" s="22" t="e">
        <f aca="false">AND(#REF!,"AAAAACvf+Xc=")</f>
        <v>#VALUE!</v>
      </c>
      <c r="DQ50" s="22" t="e">
        <f aca="false">AND(#REF!,"AAAAACvf+Xg=")</f>
        <v>#VALUE!</v>
      </c>
      <c r="DR50" s="22" t="e">
        <f aca="false">AND(#REF!,"AAAAACvf+Xk=")</f>
        <v>#VALUE!</v>
      </c>
      <c r="DS50" s="22" t="e">
        <f aca="false">AND(#REF!,"AAAAACvf+Xo=")</f>
        <v>#VALUE!</v>
      </c>
      <c r="DT50" s="22" t="e">
        <f aca="false">IF(#REF!,"AAAAACvf+Xs=",0)</f>
        <v>#REF!</v>
      </c>
      <c r="DU50" s="22" t="e">
        <f aca="false">AND(#REF!,"AAAAACvf+Xw=")</f>
        <v>#VALUE!</v>
      </c>
      <c r="DV50" s="22" t="e">
        <f aca="false">AND(#REF!,"AAAAACvf+X0=")</f>
        <v>#VALUE!</v>
      </c>
      <c r="DW50" s="22" t="e">
        <f aca="false">AND(#REF!,"AAAAACvf+X4=")</f>
        <v>#VALUE!</v>
      </c>
      <c r="DX50" s="22" t="e">
        <f aca="false">AND(#REF!,"AAAAACvf+X8=")</f>
        <v>#VALUE!</v>
      </c>
      <c r="DY50" s="22" t="e">
        <f aca="false">AND(#REF!,"AAAAACvf+YA=")</f>
        <v>#VALUE!</v>
      </c>
      <c r="DZ50" s="22" t="e">
        <f aca="false">AND(#REF!,"AAAAACvf+YE=")</f>
        <v>#VALUE!</v>
      </c>
      <c r="EA50" s="22" t="e">
        <f aca="false">IF(#REF!,"AAAAACvf+YI=",0)</f>
        <v>#REF!</v>
      </c>
      <c r="EB50" s="22" t="e">
        <f aca="false">AND(#REF!,"AAAAACvf+YM=")</f>
        <v>#VALUE!</v>
      </c>
      <c r="EC50" s="22" t="e">
        <f aca="false">AND(#REF!,"AAAAACvf+YQ=")</f>
        <v>#VALUE!</v>
      </c>
      <c r="ED50" s="22" t="e">
        <f aca="false">AND(#REF!,"AAAAACvf+YU=")</f>
        <v>#VALUE!</v>
      </c>
      <c r="EE50" s="22" t="e">
        <f aca="false">AND(#REF!,"AAAAACvf+YY=")</f>
        <v>#VALUE!</v>
      </c>
      <c r="EF50" s="22" t="e">
        <f aca="false">AND(#REF!,"AAAAACvf+Yc=")</f>
        <v>#VALUE!</v>
      </c>
      <c r="EG50" s="22" t="e">
        <f aca="false">AND(#REF!,"AAAAACvf+Yg=")</f>
        <v>#VALUE!</v>
      </c>
      <c r="EH50" s="22" t="e">
        <f aca="false">IF(#REF!,"AAAAACvf+Yk=",0)</f>
        <v>#REF!</v>
      </c>
      <c r="EI50" s="22" t="e">
        <f aca="false">AND(#REF!,"AAAAACvf+Yo=")</f>
        <v>#VALUE!</v>
      </c>
      <c r="EJ50" s="22" t="e">
        <f aca="false">AND(#REF!,"AAAAACvf+Ys=")</f>
        <v>#VALUE!</v>
      </c>
      <c r="EK50" s="22" t="e">
        <f aca="false">AND(#REF!,"AAAAACvf+Yw=")</f>
        <v>#VALUE!</v>
      </c>
      <c r="EL50" s="22" t="e">
        <f aca="false">AND(#REF!,"AAAAACvf+Y0=")</f>
        <v>#VALUE!</v>
      </c>
      <c r="EM50" s="22" t="e">
        <f aca="false">AND(#REF!,"AAAAACvf+Y4=")</f>
        <v>#VALUE!</v>
      </c>
      <c r="EN50" s="22" t="e">
        <f aca="false">AND(#REF!,"AAAAACvf+Y8=")</f>
        <v>#VALUE!</v>
      </c>
      <c r="EO50" s="22" t="e">
        <f aca="false">IF(#REF!,"AAAAACvf+ZA=",0)</f>
        <v>#REF!</v>
      </c>
      <c r="EP50" s="22" t="e">
        <f aca="false">AND(#REF!,"AAAAACvf+ZE=")</f>
        <v>#VALUE!</v>
      </c>
      <c r="EQ50" s="22" t="e">
        <f aca="false">AND(#REF!,"AAAAACvf+ZI=")</f>
        <v>#VALUE!</v>
      </c>
      <c r="ER50" s="22" t="e">
        <f aca="false">AND(#REF!,"AAAAACvf+ZM=")</f>
        <v>#VALUE!</v>
      </c>
      <c r="ES50" s="22" t="e">
        <f aca="false">AND(#REF!,"AAAAACvf+ZQ=")</f>
        <v>#VALUE!</v>
      </c>
      <c r="ET50" s="22" t="e">
        <f aca="false">AND(#REF!,"AAAAACvf+ZU=")</f>
        <v>#VALUE!</v>
      </c>
      <c r="EU50" s="22" t="e">
        <f aca="false">AND(#REF!,"AAAAACvf+ZY=")</f>
        <v>#VALUE!</v>
      </c>
      <c r="EV50" s="22" t="e">
        <f aca="false">IF(#REF!,"AAAAACvf+Zc=",0)</f>
        <v>#REF!</v>
      </c>
      <c r="EW50" s="22" t="e">
        <f aca="false">AND(#REF!,"AAAAACvf+Zg=")</f>
        <v>#VALUE!</v>
      </c>
      <c r="EX50" s="22" t="e">
        <f aca="false">AND(#REF!,"AAAAACvf+Zk=")</f>
        <v>#VALUE!</v>
      </c>
      <c r="EY50" s="22" t="e">
        <f aca="false">AND(#REF!,"AAAAACvf+Zo=")</f>
        <v>#VALUE!</v>
      </c>
      <c r="EZ50" s="22" t="e">
        <f aca="false">AND(#REF!,"AAAAACvf+Zs=")</f>
        <v>#VALUE!</v>
      </c>
      <c r="FA50" s="22" t="e">
        <f aca="false">AND(#REF!,"AAAAACvf+Zw=")</f>
        <v>#VALUE!</v>
      </c>
      <c r="FB50" s="22" t="e">
        <f aca="false">AND(#REF!,"AAAAACvf+Z0=")</f>
        <v>#VALUE!</v>
      </c>
      <c r="FC50" s="22" t="e">
        <f aca="false">IF(#REF!,"AAAAACvf+Z4=",0)</f>
        <v>#REF!</v>
      </c>
      <c r="FD50" s="22" t="e">
        <f aca="false">AND(#REF!,"AAAAACvf+Z8=")</f>
        <v>#VALUE!</v>
      </c>
      <c r="FE50" s="22" t="e">
        <f aca="false">AND(#REF!,"AAAAACvf+aA=")</f>
        <v>#VALUE!</v>
      </c>
      <c r="FF50" s="22" t="e">
        <f aca="false">AND(#REF!,"AAAAACvf+aE=")</f>
        <v>#VALUE!</v>
      </c>
      <c r="FG50" s="22" t="e">
        <f aca="false">AND(#REF!,"AAAAACvf+aI=")</f>
        <v>#VALUE!</v>
      </c>
      <c r="FH50" s="22" t="e">
        <f aca="false">AND(#REF!,"AAAAACvf+aM=")</f>
        <v>#VALUE!</v>
      </c>
      <c r="FI50" s="22" t="e">
        <f aca="false">AND(#REF!,"AAAAACvf+aQ=")</f>
        <v>#VALUE!</v>
      </c>
      <c r="FJ50" s="22" t="e">
        <f aca="false">IF(#REF!,"AAAAACvf+aU=",0)</f>
        <v>#REF!</v>
      </c>
      <c r="FK50" s="22" t="e">
        <f aca="false">AND(#REF!,"AAAAACvf+aY=")</f>
        <v>#VALUE!</v>
      </c>
      <c r="FL50" s="22" t="e">
        <f aca="false">AND(#REF!,"AAAAACvf+ac=")</f>
        <v>#VALUE!</v>
      </c>
      <c r="FM50" s="22" t="e">
        <f aca="false">AND(#REF!,"AAAAACvf+ag=")</f>
        <v>#VALUE!</v>
      </c>
      <c r="FN50" s="22" t="e">
        <f aca="false">AND(#REF!,"AAAAACvf+ak=")</f>
        <v>#VALUE!</v>
      </c>
      <c r="FO50" s="22" t="e">
        <f aca="false">AND(#REF!,"AAAAACvf+ao=")</f>
        <v>#VALUE!</v>
      </c>
      <c r="FP50" s="22" t="e">
        <f aca="false">AND(#REF!,"AAAAACvf+as=")</f>
        <v>#VALUE!</v>
      </c>
      <c r="FQ50" s="22" t="e">
        <f aca="false">IF(#REF!,"AAAAACvf+aw=",0)</f>
        <v>#REF!</v>
      </c>
      <c r="FR50" s="22" t="e">
        <f aca="false">AND(#REF!,"AAAAACvf+a0=")</f>
        <v>#VALUE!</v>
      </c>
      <c r="FS50" s="22" t="e">
        <f aca="false">AND(#REF!,"AAAAACvf+a4=")</f>
        <v>#VALUE!</v>
      </c>
      <c r="FT50" s="22" t="e">
        <f aca="false">AND(#REF!,"AAAAACvf+a8=")</f>
        <v>#VALUE!</v>
      </c>
      <c r="FU50" s="22" t="e">
        <f aca="false">AND(#REF!,"AAAAACvf+bA=")</f>
        <v>#VALUE!</v>
      </c>
      <c r="FV50" s="22" t="e">
        <f aca="false">AND(#REF!,"AAAAACvf+bE=")</f>
        <v>#VALUE!</v>
      </c>
      <c r="FW50" s="22" t="e">
        <f aca="false">AND(#REF!,"AAAAACvf+bI=")</f>
        <v>#VALUE!</v>
      </c>
      <c r="FX50" s="22" t="e">
        <f aca="false">IF(#REF!,"AAAAACvf+bM=",0)</f>
        <v>#REF!</v>
      </c>
      <c r="FY50" s="22" t="e">
        <f aca="false">AND(#REF!,"AAAAACvf+bQ=")</f>
        <v>#VALUE!</v>
      </c>
      <c r="FZ50" s="22" t="e">
        <f aca="false">AND(#REF!,"AAAAACvf+bU=")</f>
        <v>#VALUE!</v>
      </c>
      <c r="GA50" s="22" t="e">
        <f aca="false">AND(#REF!,"AAAAACvf+bY=")</f>
        <v>#VALUE!</v>
      </c>
      <c r="GB50" s="22" t="e">
        <f aca="false">AND(#REF!,"AAAAACvf+bc=")</f>
        <v>#VALUE!</v>
      </c>
      <c r="GC50" s="22" t="e">
        <f aca="false">AND(#REF!,"AAAAACvf+bg=")</f>
        <v>#VALUE!</v>
      </c>
      <c r="GD50" s="22" t="e">
        <f aca="false">AND(#REF!,"AAAAACvf+bk=")</f>
        <v>#VALUE!</v>
      </c>
      <c r="GE50" s="22" t="e">
        <f aca="false">IF(#REF!,"AAAAACvf+bo=",0)</f>
        <v>#REF!</v>
      </c>
      <c r="GF50" s="22" t="e">
        <f aca="false">AND(#REF!,"AAAAACvf+bs=")</f>
        <v>#VALUE!</v>
      </c>
      <c r="GG50" s="22" t="e">
        <f aca="false">AND(#REF!,"AAAAACvf+bw=")</f>
        <v>#VALUE!</v>
      </c>
      <c r="GH50" s="22" t="e">
        <f aca="false">AND(#REF!,"AAAAACvf+b0=")</f>
        <v>#VALUE!</v>
      </c>
      <c r="GI50" s="22" t="e">
        <f aca="false">AND(#REF!,"AAAAACvf+b4=")</f>
        <v>#VALUE!</v>
      </c>
      <c r="GJ50" s="22" t="e">
        <f aca="false">AND(#REF!,"AAAAACvf+b8=")</f>
        <v>#VALUE!</v>
      </c>
      <c r="GK50" s="22" t="e">
        <f aca="false">AND(#REF!,"AAAAACvf+cA=")</f>
        <v>#VALUE!</v>
      </c>
      <c r="GL50" s="22" t="e">
        <f aca="false">IF(#REF!,"AAAAACvf+cE=",0)</f>
        <v>#REF!</v>
      </c>
      <c r="GM50" s="22" t="e">
        <f aca="false">AND(#REF!,"AAAAACvf+cI=")</f>
        <v>#VALUE!</v>
      </c>
      <c r="GN50" s="22" t="e">
        <f aca="false">AND(#REF!,"AAAAACvf+cM=")</f>
        <v>#VALUE!</v>
      </c>
      <c r="GO50" s="22" t="e">
        <f aca="false">AND(#REF!,"AAAAACvf+cQ=")</f>
        <v>#VALUE!</v>
      </c>
      <c r="GP50" s="22" t="e">
        <f aca="false">AND(#REF!,"AAAAACvf+cU=")</f>
        <v>#VALUE!</v>
      </c>
      <c r="GQ50" s="22" t="e">
        <f aca="false">AND(#REF!,"AAAAACvf+cY=")</f>
        <v>#VALUE!</v>
      </c>
      <c r="GR50" s="22" t="e">
        <f aca="false">AND(#REF!,"AAAAACvf+cc=")</f>
        <v>#VALUE!</v>
      </c>
      <c r="GS50" s="22" t="e">
        <f aca="false">IF(#REF!,"AAAAACvf+cg=",0)</f>
        <v>#REF!</v>
      </c>
      <c r="GT50" s="22" t="e">
        <f aca="false">AND(#REF!,"AAAAACvf+ck=")</f>
        <v>#VALUE!</v>
      </c>
      <c r="GU50" s="22" t="e">
        <f aca="false">AND(#REF!,"AAAAACvf+co=")</f>
        <v>#VALUE!</v>
      </c>
      <c r="GV50" s="22" t="e">
        <f aca="false">AND(#REF!,"AAAAACvf+cs=")</f>
        <v>#VALUE!</v>
      </c>
      <c r="GW50" s="22" t="e">
        <f aca="false">AND(#REF!,"AAAAACvf+cw=")</f>
        <v>#VALUE!</v>
      </c>
      <c r="GX50" s="22" t="e">
        <f aca="false">AND(#REF!,"AAAAACvf+c0=")</f>
        <v>#VALUE!</v>
      </c>
      <c r="GY50" s="22" t="e">
        <f aca="false">AND(#REF!,"AAAAACvf+c4=")</f>
        <v>#VALUE!</v>
      </c>
      <c r="GZ50" s="22" t="e">
        <f aca="false">IF(#REF!,"AAAAACvf+c8=",0)</f>
        <v>#REF!</v>
      </c>
      <c r="HA50" s="22" t="e">
        <f aca="false">AND(#REF!,"AAAAACvf+dA=")</f>
        <v>#VALUE!</v>
      </c>
      <c r="HB50" s="22" t="e">
        <f aca="false">AND(#REF!,"AAAAACvf+dE=")</f>
        <v>#VALUE!</v>
      </c>
      <c r="HC50" s="22" t="e">
        <f aca="false">AND(#REF!,"AAAAACvf+dI=")</f>
        <v>#VALUE!</v>
      </c>
      <c r="HD50" s="22" t="e">
        <f aca="false">AND(#REF!,"AAAAACvf+dM=")</f>
        <v>#VALUE!</v>
      </c>
      <c r="HE50" s="22" t="e">
        <f aca="false">AND(#REF!,"AAAAACvf+dQ=")</f>
        <v>#VALUE!</v>
      </c>
      <c r="HF50" s="22" t="e">
        <f aca="false">AND(#REF!,"AAAAACvf+dU=")</f>
        <v>#VALUE!</v>
      </c>
      <c r="HG50" s="22" t="e">
        <f aca="false">IF(#REF!,"AAAAACvf+dY=",0)</f>
        <v>#REF!</v>
      </c>
      <c r="HH50" s="22" t="e">
        <f aca="false">AND(#REF!,"AAAAACvf+dc=")</f>
        <v>#VALUE!</v>
      </c>
      <c r="HI50" s="22" t="e">
        <f aca="false">AND(#REF!,"AAAAACvf+dg=")</f>
        <v>#VALUE!</v>
      </c>
      <c r="HJ50" s="22" t="e">
        <f aca="false">AND(#REF!,"AAAAACvf+dk=")</f>
        <v>#VALUE!</v>
      </c>
      <c r="HK50" s="22" t="e">
        <f aca="false">AND(#REF!,"AAAAACvf+do=")</f>
        <v>#VALUE!</v>
      </c>
      <c r="HL50" s="22" t="e">
        <f aca="false">AND(#REF!,"AAAAACvf+ds=")</f>
        <v>#VALUE!</v>
      </c>
      <c r="HM50" s="22" t="e">
        <f aca="false">AND(#REF!,"AAAAACvf+dw=")</f>
        <v>#VALUE!</v>
      </c>
      <c r="HN50" s="22" t="e">
        <f aca="false">IF(#REF!,"AAAAACvf+d0=",0)</f>
        <v>#REF!</v>
      </c>
      <c r="HO50" s="22" t="e">
        <f aca="false">AND(#REF!,"AAAAACvf+d4=")</f>
        <v>#VALUE!</v>
      </c>
      <c r="HP50" s="22" t="e">
        <f aca="false">AND(#REF!,"AAAAACvf+d8=")</f>
        <v>#VALUE!</v>
      </c>
      <c r="HQ50" s="22" t="e">
        <f aca="false">AND(#REF!,"AAAAACvf+eA=")</f>
        <v>#VALUE!</v>
      </c>
      <c r="HR50" s="22" t="e">
        <f aca="false">AND(#REF!,"AAAAACvf+eE=")</f>
        <v>#VALUE!</v>
      </c>
      <c r="HS50" s="22" t="e">
        <f aca="false">AND(#REF!,"AAAAACvf+eI=")</f>
        <v>#VALUE!</v>
      </c>
      <c r="HT50" s="22" t="e">
        <f aca="false">AND(#REF!,"AAAAACvf+eM=")</f>
        <v>#VALUE!</v>
      </c>
      <c r="HU50" s="22" t="e">
        <f aca="false">IF(#REF!,"AAAAACvf+eQ=",0)</f>
        <v>#REF!</v>
      </c>
      <c r="HV50" s="22" t="e">
        <f aca="false">AND(#REF!,"AAAAACvf+eU=")</f>
        <v>#VALUE!</v>
      </c>
      <c r="HW50" s="22" t="e">
        <f aca="false">AND(#REF!,"AAAAACvf+eY=")</f>
        <v>#VALUE!</v>
      </c>
      <c r="HX50" s="22" t="e">
        <f aca="false">AND(#REF!,"AAAAACvf+ec=")</f>
        <v>#VALUE!</v>
      </c>
      <c r="HY50" s="22" t="e">
        <f aca="false">AND(#REF!,"AAAAACvf+eg=")</f>
        <v>#VALUE!</v>
      </c>
      <c r="HZ50" s="22" t="e">
        <f aca="false">AND(#REF!,"AAAAACvf+ek=")</f>
        <v>#VALUE!</v>
      </c>
      <c r="IA50" s="22" t="e">
        <f aca="false">AND(#REF!,"AAAAACvf+eo=")</f>
        <v>#VALUE!</v>
      </c>
      <c r="IB50" s="22" t="e">
        <f aca="false">IF(#REF!,"AAAAACvf+es=",0)</f>
        <v>#REF!</v>
      </c>
      <c r="IC50" s="22" t="e">
        <f aca="false">AND(#REF!,"AAAAACvf+ew=")</f>
        <v>#VALUE!</v>
      </c>
      <c r="ID50" s="22" t="e">
        <f aca="false">AND(#REF!,"AAAAACvf+e0=")</f>
        <v>#VALUE!</v>
      </c>
      <c r="IE50" s="22" t="e">
        <f aca="false">AND(#REF!,"AAAAACvf+e4=")</f>
        <v>#VALUE!</v>
      </c>
      <c r="IF50" s="22" t="e">
        <f aca="false">AND(#REF!,"AAAAACvf+e8=")</f>
        <v>#VALUE!</v>
      </c>
      <c r="IG50" s="22" t="e">
        <f aca="false">AND(#REF!,"AAAAACvf+fA=")</f>
        <v>#VALUE!</v>
      </c>
      <c r="IH50" s="22" t="e">
        <f aca="false">AND(#REF!,"AAAAACvf+fE=")</f>
        <v>#VALUE!</v>
      </c>
      <c r="II50" s="22" t="e">
        <f aca="false">IF(#REF!,"AAAAACvf+fI=",0)</f>
        <v>#REF!</v>
      </c>
      <c r="IJ50" s="22" t="e">
        <f aca="false">AND(#REF!,"AAAAACvf+fM=")</f>
        <v>#VALUE!</v>
      </c>
      <c r="IK50" s="22" t="e">
        <f aca="false">AND(#REF!,"AAAAACvf+fQ=")</f>
        <v>#VALUE!</v>
      </c>
      <c r="IL50" s="22" t="e">
        <f aca="false">AND(#REF!,"AAAAACvf+fU=")</f>
        <v>#VALUE!</v>
      </c>
      <c r="IM50" s="22" t="e">
        <f aca="false">AND(#REF!,"AAAAACvf+fY=")</f>
        <v>#VALUE!</v>
      </c>
      <c r="IN50" s="22" t="e">
        <f aca="false">AND(#REF!,"AAAAACvf+fc=")</f>
        <v>#VALUE!</v>
      </c>
      <c r="IO50" s="22" t="e">
        <f aca="false">AND(#REF!,"AAAAACvf+fg=")</f>
        <v>#VALUE!</v>
      </c>
      <c r="IP50" s="22" t="e">
        <f aca="false">IF(#REF!,"AAAAACvf+fk=",0)</f>
        <v>#REF!</v>
      </c>
      <c r="IQ50" s="22" t="e">
        <f aca="false">AND(#REF!,"AAAAACvf+fo=")</f>
        <v>#VALUE!</v>
      </c>
      <c r="IR50" s="22" t="e">
        <f aca="false">AND(#REF!,"AAAAACvf+fs=")</f>
        <v>#VALUE!</v>
      </c>
      <c r="IS50" s="22" t="e">
        <f aca="false">AND(#REF!,"AAAAACvf+fw=")</f>
        <v>#VALUE!</v>
      </c>
      <c r="IT50" s="22" t="e">
        <f aca="false">AND(#REF!,"AAAAACvf+f0=")</f>
        <v>#VALUE!</v>
      </c>
      <c r="IU50" s="22" t="e">
        <f aca="false">AND(#REF!,"AAAAACvf+f4=")</f>
        <v>#VALUE!</v>
      </c>
      <c r="IV50" s="22" t="e">
        <f aca="false">AND(#REF!,"AAAAACvf+f8=")</f>
        <v>#VALUE!</v>
      </c>
    </row>
    <row r="51" customFormat="false" ht="12.75" hidden="false" customHeight="false" outlineLevel="0" collapsed="false">
      <c r="A51" s="22" t="e">
        <f aca="false">IF(#REF!,"AAAAAE+vugA=",0)</f>
        <v>#REF!</v>
      </c>
      <c r="B51" s="22" t="e">
        <f aca="false">AND(#REF!,"AAAAAE+vugE=")</f>
        <v>#VALUE!</v>
      </c>
      <c r="C51" s="22" t="e">
        <f aca="false">AND(#REF!,"AAAAAE+vugI=")</f>
        <v>#VALUE!</v>
      </c>
      <c r="D51" s="22" t="e">
        <f aca="false">AND(#REF!,"AAAAAE+vugM=")</f>
        <v>#VALUE!</v>
      </c>
      <c r="E51" s="22" t="e">
        <f aca="false">AND(#REF!,"AAAAAE+vugQ=")</f>
        <v>#VALUE!</v>
      </c>
      <c r="F51" s="22" t="e">
        <f aca="false">AND(#REF!,"AAAAAE+vugU=")</f>
        <v>#VALUE!</v>
      </c>
      <c r="G51" s="22" t="e">
        <f aca="false">AND(#REF!,"AAAAAE+vugY=")</f>
        <v>#VALUE!</v>
      </c>
      <c r="H51" s="22" t="e">
        <f aca="false">IF(#REF!,"AAAAAE+vugc=",0)</f>
        <v>#REF!</v>
      </c>
      <c r="I51" s="22" t="e">
        <f aca="false">AND(#REF!,"AAAAAE+vugg=")</f>
        <v>#VALUE!</v>
      </c>
      <c r="J51" s="22" t="e">
        <f aca="false">AND(#REF!,"AAAAAE+vugk=")</f>
        <v>#VALUE!</v>
      </c>
      <c r="K51" s="22" t="e">
        <f aca="false">AND(#REF!,"AAAAAE+vugo=")</f>
        <v>#VALUE!</v>
      </c>
      <c r="L51" s="22" t="e">
        <f aca="false">AND(#REF!,"AAAAAE+vugs=")</f>
        <v>#VALUE!</v>
      </c>
      <c r="M51" s="22" t="e">
        <f aca="false">AND(#REF!,"AAAAAE+vugw=")</f>
        <v>#VALUE!</v>
      </c>
      <c r="N51" s="22" t="e">
        <f aca="false">AND(#REF!,"AAAAAE+vug0=")</f>
        <v>#VALUE!</v>
      </c>
      <c r="O51" s="22" t="e">
        <f aca="false">IF(#REF!,"AAAAAE+vug4=",0)</f>
        <v>#REF!</v>
      </c>
      <c r="P51" s="22" t="e">
        <f aca="false">AND(#REF!,"AAAAAE+vug8=")</f>
        <v>#VALUE!</v>
      </c>
      <c r="Q51" s="22" t="e">
        <f aca="false">AND(#REF!,"AAAAAE+vuhA=")</f>
        <v>#VALUE!</v>
      </c>
      <c r="R51" s="22" t="e">
        <f aca="false">AND(#REF!,"AAAAAE+vuhE=")</f>
        <v>#VALUE!</v>
      </c>
      <c r="S51" s="22" t="e">
        <f aca="false">AND(#REF!,"AAAAAE+vuhI=")</f>
        <v>#VALUE!</v>
      </c>
      <c r="T51" s="22" t="e">
        <f aca="false">AND(#REF!,"AAAAAE+vuhM=")</f>
        <v>#VALUE!</v>
      </c>
      <c r="U51" s="22" t="e">
        <f aca="false">AND(#REF!,"AAAAAE+vuhQ=")</f>
        <v>#VALUE!</v>
      </c>
      <c r="V51" s="22" t="e">
        <f aca="false">IF(#REF!,"AAAAAE+vuhU=",0)</f>
        <v>#REF!</v>
      </c>
      <c r="W51" s="22" t="e">
        <f aca="false">AND(#REF!,"AAAAAE+vuhY=")</f>
        <v>#VALUE!</v>
      </c>
      <c r="X51" s="22" t="e">
        <f aca="false">AND(#REF!,"AAAAAE+vuhc=")</f>
        <v>#VALUE!</v>
      </c>
      <c r="Y51" s="22" t="e">
        <f aca="false">AND(#REF!,"AAAAAE+vuhg=")</f>
        <v>#VALUE!</v>
      </c>
      <c r="Z51" s="22" t="e">
        <f aca="false">AND(#REF!,"AAAAAE+vuhk=")</f>
        <v>#VALUE!</v>
      </c>
      <c r="AA51" s="22" t="e">
        <f aca="false">AND(#REF!,"AAAAAE+vuho=")</f>
        <v>#VALUE!</v>
      </c>
      <c r="AB51" s="22" t="e">
        <f aca="false">AND(#REF!,"AAAAAE+vuhs=")</f>
        <v>#VALUE!</v>
      </c>
      <c r="AC51" s="22" t="e">
        <f aca="false">IF(#REF!,"AAAAAE+vuhw=",0)</f>
        <v>#REF!</v>
      </c>
      <c r="AD51" s="22" t="e">
        <f aca="false">AND(#REF!,"AAAAAE+vuh0=")</f>
        <v>#VALUE!</v>
      </c>
      <c r="AE51" s="22" t="e">
        <f aca="false">AND(#REF!,"AAAAAE+vuh4=")</f>
        <v>#VALUE!</v>
      </c>
      <c r="AF51" s="22" t="e">
        <f aca="false">AND(#REF!,"AAAAAE+vuh8=")</f>
        <v>#VALUE!</v>
      </c>
      <c r="AG51" s="22" t="e">
        <f aca="false">AND(#REF!,"AAAAAE+vuiA=")</f>
        <v>#VALUE!</v>
      </c>
      <c r="AH51" s="22" t="e">
        <f aca="false">AND(#REF!,"AAAAAE+vuiE=")</f>
        <v>#VALUE!</v>
      </c>
      <c r="AI51" s="22" t="e">
        <f aca="false">AND(#REF!,"AAAAAE+vuiI=")</f>
        <v>#VALUE!</v>
      </c>
      <c r="AJ51" s="22" t="e">
        <f aca="false">IF(#REF!,"AAAAAE+vuiM=",0)</f>
        <v>#REF!</v>
      </c>
      <c r="AK51" s="22" t="e">
        <f aca="false">AND(#REF!,"AAAAAE+vuiQ=")</f>
        <v>#VALUE!</v>
      </c>
      <c r="AL51" s="22" t="e">
        <f aca="false">AND(#REF!,"AAAAAE+vuiU=")</f>
        <v>#VALUE!</v>
      </c>
      <c r="AM51" s="22" t="e">
        <f aca="false">AND(#REF!,"AAAAAE+vuiY=")</f>
        <v>#VALUE!</v>
      </c>
      <c r="AN51" s="22" t="e">
        <f aca="false">AND(#REF!,"AAAAAE+vuic=")</f>
        <v>#VALUE!</v>
      </c>
      <c r="AO51" s="22" t="e">
        <f aca="false">AND(#REF!,"AAAAAE+vuig=")</f>
        <v>#VALUE!</v>
      </c>
      <c r="AP51" s="22" t="e">
        <f aca="false">AND(#REF!,"AAAAAE+vuik=")</f>
        <v>#VALUE!</v>
      </c>
      <c r="AQ51" s="22" t="e">
        <f aca="false">IF(#REF!,"AAAAAE+vuio=",0)</f>
        <v>#REF!</v>
      </c>
      <c r="AR51" s="22" t="e">
        <f aca="false">AND(#REF!,"AAAAAE+vuis=")</f>
        <v>#VALUE!</v>
      </c>
      <c r="AS51" s="22" t="e">
        <f aca="false">AND(#REF!,"AAAAAE+vuiw=")</f>
        <v>#VALUE!</v>
      </c>
      <c r="AT51" s="22" t="e">
        <f aca="false">AND(#REF!,"AAAAAE+vui0=")</f>
        <v>#VALUE!</v>
      </c>
      <c r="AU51" s="22" t="e">
        <f aca="false">AND(#REF!,"AAAAAE+vui4=")</f>
        <v>#VALUE!</v>
      </c>
      <c r="AV51" s="22" t="e">
        <f aca="false">AND(#REF!,"AAAAAE+vui8=")</f>
        <v>#VALUE!</v>
      </c>
      <c r="AW51" s="22" t="e">
        <f aca="false">AND(#REF!,"AAAAAE+vujA=")</f>
        <v>#VALUE!</v>
      </c>
      <c r="AX51" s="22" t="e">
        <f aca="false">IF(#REF!,"AAAAAE+vujE=",0)</f>
        <v>#REF!</v>
      </c>
      <c r="AY51" s="22" t="e">
        <f aca="false">AND(#REF!,"AAAAAE+vujI=")</f>
        <v>#VALUE!</v>
      </c>
      <c r="AZ51" s="22" t="e">
        <f aca="false">AND(#REF!,"AAAAAE+vujM=")</f>
        <v>#VALUE!</v>
      </c>
      <c r="BA51" s="22" t="e">
        <f aca="false">AND(#REF!,"AAAAAE+vujQ=")</f>
        <v>#VALUE!</v>
      </c>
      <c r="BB51" s="22" t="e">
        <f aca="false">AND(#REF!,"AAAAAE+vujU=")</f>
        <v>#VALUE!</v>
      </c>
      <c r="BC51" s="22" t="e">
        <f aca="false">AND(#REF!,"AAAAAE+vujY=")</f>
        <v>#VALUE!</v>
      </c>
      <c r="BD51" s="22" t="e">
        <f aca="false">AND(#REF!,"AAAAAE+vujc=")</f>
        <v>#VALUE!</v>
      </c>
      <c r="BE51" s="22" t="e">
        <f aca="false">IF(#REF!,"AAAAAE+vujg=",0)</f>
        <v>#REF!</v>
      </c>
      <c r="BF51" s="22" t="e">
        <f aca="false">AND(#REF!,"AAAAAE+vujk=")</f>
        <v>#VALUE!</v>
      </c>
      <c r="BG51" s="22" t="e">
        <f aca="false">AND(#REF!,"AAAAAE+vujo=")</f>
        <v>#VALUE!</v>
      </c>
      <c r="BH51" s="22" t="e">
        <f aca="false">AND(#REF!,"AAAAAE+vujs=")</f>
        <v>#VALUE!</v>
      </c>
      <c r="BI51" s="22" t="e">
        <f aca="false">AND(#REF!,"AAAAAE+vujw=")</f>
        <v>#VALUE!</v>
      </c>
      <c r="BJ51" s="22" t="e">
        <f aca="false">AND(#REF!,"AAAAAE+vuj0=")</f>
        <v>#VALUE!</v>
      </c>
      <c r="BK51" s="22" t="e">
        <f aca="false">AND(#REF!,"AAAAAE+vuj4=")</f>
        <v>#VALUE!</v>
      </c>
      <c r="BL51" s="22" t="e">
        <f aca="false">IF(#REF!,"AAAAAE+vuj8=",0)</f>
        <v>#REF!</v>
      </c>
      <c r="BM51" s="22" t="e">
        <f aca="false">AND(#REF!,"AAAAAE+vukA=")</f>
        <v>#VALUE!</v>
      </c>
      <c r="BN51" s="22" t="e">
        <f aca="false">AND(#REF!,"AAAAAE+vukE=")</f>
        <v>#VALUE!</v>
      </c>
      <c r="BO51" s="22" t="e">
        <f aca="false">AND(#REF!,"AAAAAE+vukI=")</f>
        <v>#VALUE!</v>
      </c>
      <c r="BP51" s="22" t="e">
        <f aca="false">AND(#REF!,"AAAAAE+vukM=")</f>
        <v>#VALUE!</v>
      </c>
      <c r="BQ51" s="22" t="e">
        <f aca="false">AND(#REF!,"AAAAAE+vukQ=")</f>
        <v>#VALUE!</v>
      </c>
      <c r="BR51" s="22" t="e">
        <f aca="false">AND(#REF!,"AAAAAE+vukU=")</f>
        <v>#VALUE!</v>
      </c>
      <c r="BS51" s="22" t="e">
        <f aca="false">IF(#REF!,"AAAAAE+vukY=",0)</f>
        <v>#REF!</v>
      </c>
      <c r="BT51" s="22" t="e">
        <f aca="false">AND(#REF!,"AAAAAE+vukc=")</f>
        <v>#VALUE!</v>
      </c>
      <c r="BU51" s="22" t="e">
        <f aca="false">AND(#REF!,"AAAAAE+vukg=")</f>
        <v>#VALUE!</v>
      </c>
      <c r="BV51" s="22" t="e">
        <f aca="false">AND(#REF!,"AAAAAE+vukk=")</f>
        <v>#VALUE!</v>
      </c>
      <c r="BW51" s="22" t="e">
        <f aca="false">AND(#REF!,"AAAAAE+vuko=")</f>
        <v>#VALUE!</v>
      </c>
      <c r="BX51" s="22" t="e">
        <f aca="false">AND(#REF!,"AAAAAE+vuks=")</f>
        <v>#VALUE!</v>
      </c>
      <c r="BY51" s="22" t="e">
        <f aca="false">AND(#REF!,"AAAAAE+vukw=")</f>
        <v>#VALUE!</v>
      </c>
      <c r="BZ51" s="22" t="e">
        <f aca="false">IF(#REF!,"AAAAAE+vuk0=",0)</f>
        <v>#REF!</v>
      </c>
      <c r="CA51" s="22" t="e">
        <f aca="false">AND(#REF!,"AAAAAE+vuk4=")</f>
        <v>#VALUE!</v>
      </c>
      <c r="CB51" s="22" t="e">
        <f aca="false">AND(#REF!,"AAAAAE+vuk8=")</f>
        <v>#VALUE!</v>
      </c>
      <c r="CC51" s="22" t="e">
        <f aca="false">AND(#REF!,"AAAAAE+vulA=")</f>
        <v>#VALUE!</v>
      </c>
      <c r="CD51" s="22" t="e">
        <f aca="false">AND(#REF!,"AAAAAE+vulE=")</f>
        <v>#VALUE!</v>
      </c>
      <c r="CE51" s="22" t="e">
        <f aca="false">AND(#REF!,"AAAAAE+vulI=")</f>
        <v>#VALUE!</v>
      </c>
      <c r="CF51" s="22" t="e">
        <f aca="false">AND(#REF!,"AAAAAE+vulM=")</f>
        <v>#VALUE!</v>
      </c>
      <c r="CG51" s="22" t="e">
        <f aca="false">IF(#REF!,"AAAAAE+vulQ=",0)</f>
        <v>#REF!</v>
      </c>
      <c r="CH51" s="22" t="e">
        <f aca="false">AND(#REF!,"AAAAAE+vulU=")</f>
        <v>#VALUE!</v>
      </c>
      <c r="CI51" s="22" t="e">
        <f aca="false">AND(#REF!,"AAAAAE+vulY=")</f>
        <v>#VALUE!</v>
      </c>
      <c r="CJ51" s="22" t="e">
        <f aca="false">AND(#REF!,"AAAAAE+vulc=")</f>
        <v>#VALUE!</v>
      </c>
      <c r="CK51" s="22" t="e">
        <f aca="false">AND(#REF!,"AAAAAE+vulg=")</f>
        <v>#VALUE!</v>
      </c>
      <c r="CL51" s="22" t="e">
        <f aca="false">AND(#REF!,"AAAAAE+vulk=")</f>
        <v>#VALUE!</v>
      </c>
      <c r="CM51" s="22" t="e">
        <f aca="false">AND(#REF!,"AAAAAE+vulo=")</f>
        <v>#VALUE!</v>
      </c>
      <c r="CN51" s="22" t="e">
        <f aca="false">IF(#REF!,"AAAAAE+vuls=",0)</f>
        <v>#REF!</v>
      </c>
      <c r="CO51" s="22" t="e">
        <f aca="false">AND(#REF!,"AAAAAE+vulw=")</f>
        <v>#VALUE!</v>
      </c>
      <c r="CP51" s="22" t="e">
        <f aca="false">AND(#REF!,"AAAAAE+vul0=")</f>
        <v>#VALUE!</v>
      </c>
      <c r="CQ51" s="22" t="e">
        <f aca="false">AND(#REF!,"AAAAAE+vul4=")</f>
        <v>#VALUE!</v>
      </c>
      <c r="CR51" s="22" t="e">
        <f aca="false">AND(#REF!,"AAAAAE+vul8=")</f>
        <v>#VALUE!</v>
      </c>
      <c r="CS51" s="22" t="e">
        <f aca="false">AND(#REF!,"AAAAAE+vumA=")</f>
        <v>#VALUE!</v>
      </c>
      <c r="CT51" s="22" t="e">
        <f aca="false">AND(#REF!,"AAAAAE+vumE=")</f>
        <v>#VALUE!</v>
      </c>
      <c r="CU51" s="22" t="e">
        <f aca="false">IF(#REF!,"AAAAAE+vumI=",0)</f>
        <v>#REF!</v>
      </c>
      <c r="CV51" s="22" t="e">
        <f aca="false">AND(#REF!,"AAAAAE+vumM=")</f>
        <v>#VALUE!</v>
      </c>
      <c r="CW51" s="22" t="e">
        <f aca="false">AND(#REF!,"AAAAAE+vumQ=")</f>
        <v>#VALUE!</v>
      </c>
      <c r="CX51" s="22" t="e">
        <f aca="false">AND(#REF!,"AAAAAE+vumU=")</f>
        <v>#VALUE!</v>
      </c>
      <c r="CY51" s="22" t="e">
        <f aca="false">AND(#REF!,"AAAAAE+vumY=")</f>
        <v>#VALUE!</v>
      </c>
      <c r="CZ51" s="22" t="e">
        <f aca="false">AND(#REF!,"AAAAAE+vumc=")</f>
        <v>#VALUE!</v>
      </c>
      <c r="DA51" s="22" t="e">
        <f aca="false">AND(#REF!,"AAAAAE+vumg=")</f>
        <v>#VALUE!</v>
      </c>
      <c r="DB51" s="22" t="e">
        <f aca="false">IF(#REF!,"AAAAAE+vumk=",0)</f>
        <v>#REF!</v>
      </c>
      <c r="DC51" s="22" t="e">
        <f aca="false">AND(#REF!,"AAAAAE+vumo=")</f>
        <v>#VALUE!</v>
      </c>
      <c r="DD51" s="22" t="e">
        <f aca="false">AND(#REF!,"AAAAAE+vums=")</f>
        <v>#VALUE!</v>
      </c>
      <c r="DE51" s="22" t="e">
        <f aca="false">AND(#REF!,"AAAAAE+vumw=")</f>
        <v>#VALUE!</v>
      </c>
      <c r="DF51" s="22" t="e">
        <f aca="false">AND(#REF!,"AAAAAE+vum0=")</f>
        <v>#VALUE!</v>
      </c>
      <c r="DG51" s="22" t="e">
        <f aca="false">AND(#REF!,"AAAAAE+vum4=")</f>
        <v>#VALUE!</v>
      </c>
      <c r="DH51" s="22" t="e">
        <f aca="false">AND(#REF!,"AAAAAE+vum8=")</f>
        <v>#VALUE!</v>
      </c>
      <c r="DI51" s="22" t="e">
        <f aca="false">IF(#REF!,"AAAAAE+vunA=",0)</f>
        <v>#REF!</v>
      </c>
      <c r="DJ51" s="22" t="e">
        <f aca="false">AND(#REF!,"AAAAAE+vunE=")</f>
        <v>#VALUE!</v>
      </c>
      <c r="DK51" s="22" t="e">
        <f aca="false">AND(#REF!,"AAAAAE+vunI=")</f>
        <v>#VALUE!</v>
      </c>
      <c r="DL51" s="22" t="e">
        <f aca="false">AND(#REF!,"AAAAAE+vunM=")</f>
        <v>#VALUE!</v>
      </c>
      <c r="DM51" s="22" t="e">
        <f aca="false">AND(#REF!,"AAAAAE+vunQ=")</f>
        <v>#VALUE!</v>
      </c>
      <c r="DN51" s="22" t="e">
        <f aca="false">AND(#REF!,"AAAAAE+vunU=")</f>
        <v>#VALUE!</v>
      </c>
      <c r="DO51" s="22" t="e">
        <f aca="false">AND(#REF!,"AAAAAE+vunY=")</f>
        <v>#VALUE!</v>
      </c>
      <c r="DP51" s="22" t="e">
        <f aca="false">IF(#REF!,"AAAAAE+vunc=",0)</f>
        <v>#REF!</v>
      </c>
      <c r="DQ51" s="22" t="e">
        <f aca="false">AND(#REF!,"AAAAAE+vung=")</f>
        <v>#VALUE!</v>
      </c>
      <c r="DR51" s="22" t="e">
        <f aca="false">AND(#REF!,"AAAAAE+vunk=")</f>
        <v>#VALUE!</v>
      </c>
      <c r="DS51" s="22" t="e">
        <f aca="false">AND(#REF!,"AAAAAE+vuno=")</f>
        <v>#VALUE!</v>
      </c>
      <c r="DT51" s="22" t="e">
        <f aca="false">AND(#REF!,"AAAAAE+vuns=")</f>
        <v>#VALUE!</v>
      </c>
      <c r="DU51" s="22" t="e">
        <f aca="false">AND(#REF!,"AAAAAE+vunw=")</f>
        <v>#VALUE!</v>
      </c>
      <c r="DV51" s="22" t="e">
        <f aca="false">AND(#REF!,"AAAAAE+vun0=")</f>
        <v>#VALUE!</v>
      </c>
      <c r="DW51" s="22" t="e">
        <f aca="false">IF(#REF!,"AAAAAE+vun4=",0)</f>
        <v>#REF!</v>
      </c>
      <c r="DX51" s="22" t="e">
        <f aca="false">AND(#REF!,"AAAAAE+vun8=")</f>
        <v>#VALUE!</v>
      </c>
      <c r="DY51" s="22" t="e">
        <f aca="false">AND(#REF!,"AAAAAE+vuoA=")</f>
        <v>#VALUE!</v>
      </c>
      <c r="DZ51" s="22" t="e">
        <f aca="false">AND(#REF!,"AAAAAE+vuoE=")</f>
        <v>#VALUE!</v>
      </c>
      <c r="EA51" s="22" t="e">
        <f aca="false">AND(#REF!,"AAAAAE+vuoI=")</f>
        <v>#VALUE!</v>
      </c>
      <c r="EB51" s="22" t="e">
        <f aca="false">AND(#REF!,"AAAAAE+vuoM=")</f>
        <v>#VALUE!</v>
      </c>
      <c r="EC51" s="22" t="e">
        <f aca="false">AND(#REF!,"AAAAAE+vuoQ=")</f>
        <v>#VALUE!</v>
      </c>
      <c r="ED51" s="22" t="e">
        <f aca="false">IF(#REF!,"AAAAAE+vuoU=",0)</f>
        <v>#REF!</v>
      </c>
      <c r="EE51" s="22" t="e">
        <f aca="false">AND(#REF!,"AAAAAE+vuoY=")</f>
        <v>#VALUE!</v>
      </c>
      <c r="EF51" s="22" t="e">
        <f aca="false">AND(#REF!,"AAAAAE+vuoc=")</f>
        <v>#VALUE!</v>
      </c>
      <c r="EG51" s="22" t="e">
        <f aca="false">AND(#REF!,"AAAAAE+vuog=")</f>
        <v>#VALUE!</v>
      </c>
      <c r="EH51" s="22" t="e">
        <f aca="false">AND(#REF!,"AAAAAE+vuok=")</f>
        <v>#VALUE!</v>
      </c>
      <c r="EI51" s="22" t="e">
        <f aca="false">AND(#REF!,"AAAAAE+vuoo=")</f>
        <v>#VALUE!</v>
      </c>
      <c r="EJ51" s="22" t="e">
        <f aca="false">AND(#REF!,"AAAAAE+vuos=")</f>
        <v>#VALUE!</v>
      </c>
      <c r="EK51" s="22" t="e">
        <f aca="false">IF(#REF!,"AAAAAE+vuow=",0)</f>
        <v>#REF!</v>
      </c>
      <c r="EL51" s="22" t="e">
        <f aca="false">AND(#REF!,"AAAAAE+vuo0=")</f>
        <v>#VALUE!</v>
      </c>
      <c r="EM51" s="22" t="e">
        <f aca="false">AND(#REF!,"AAAAAE+vuo4=")</f>
        <v>#VALUE!</v>
      </c>
      <c r="EN51" s="22" t="e">
        <f aca="false">AND(#REF!,"AAAAAE+vuo8=")</f>
        <v>#VALUE!</v>
      </c>
      <c r="EO51" s="22" t="e">
        <f aca="false">AND(#REF!,"AAAAAE+vupA=")</f>
        <v>#VALUE!</v>
      </c>
      <c r="EP51" s="22" t="e">
        <f aca="false">AND(#REF!,"AAAAAE+vupE=")</f>
        <v>#VALUE!</v>
      </c>
      <c r="EQ51" s="22" t="e">
        <f aca="false">AND(#REF!,"AAAAAE+vupI=")</f>
        <v>#VALUE!</v>
      </c>
      <c r="ER51" s="22" t="e">
        <f aca="false">IF(#REF!,"AAAAAE+vupM=",0)</f>
        <v>#REF!</v>
      </c>
      <c r="ES51" s="22" t="e">
        <f aca="false">AND(#REF!,"AAAAAE+vupQ=")</f>
        <v>#VALUE!</v>
      </c>
      <c r="ET51" s="22" t="e">
        <f aca="false">AND(#REF!,"AAAAAE+vupU=")</f>
        <v>#VALUE!</v>
      </c>
      <c r="EU51" s="22" t="e">
        <f aca="false">AND(#REF!,"AAAAAE+vupY=")</f>
        <v>#VALUE!</v>
      </c>
      <c r="EV51" s="22" t="e">
        <f aca="false">AND(#REF!,"AAAAAE+vupc=")</f>
        <v>#VALUE!</v>
      </c>
      <c r="EW51" s="22" t="e">
        <f aca="false">AND(#REF!,"AAAAAE+vupg=")</f>
        <v>#VALUE!</v>
      </c>
      <c r="EX51" s="22" t="e">
        <f aca="false">AND(#REF!,"AAAAAE+vupk=")</f>
        <v>#VALUE!</v>
      </c>
      <c r="EY51" s="22" t="e">
        <f aca="false">IF(#REF!,"AAAAAE+vupo=",0)</f>
        <v>#REF!</v>
      </c>
      <c r="EZ51" s="22" t="e">
        <f aca="false">AND(#REF!,"AAAAAE+vups=")</f>
        <v>#VALUE!</v>
      </c>
      <c r="FA51" s="22" t="e">
        <f aca="false">AND(#REF!,"AAAAAE+vupw=")</f>
        <v>#VALUE!</v>
      </c>
      <c r="FB51" s="22" t="e">
        <f aca="false">AND(#REF!,"AAAAAE+vup0=")</f>
        <v>#VALUE!</v>
      </c>
      <c r="FC51" s="22" t="e">
        <f aca="false">AND(#REF!,"AAAAAE+vup4=")</f>
        <v>#VALUE!</v>
      </c>
      <c r="FD51" s="22" t="e">
        <f aca="false">AND(#REF!,"AAAAAE+vup8=")</f>
        <v>#VALUE!</v>
      </c>
      <c r="FE51" s="22" t="e">
        <f aca="false">AND(#REF!,"AAAAAE+vuqA=")</f>
        <v>#VALUE!</v>
      </c>
      <c r="FF51" s="22" t="e">
        <f aca="false">IF(#REF!,"AAAAAE+vuqE=",0)</f>
        <v>#REF!</v>
      </c>
      <c r="FG51" s="22" t="e">
        <f aca="false">AND(#REF!,"AAAAAE+vuqI=")</f>
        <v>#VALUE!</v>
      </c>
      <c r="FH51" s="22" t="e">
        <f aca="false">AND(#REF!,"AAAAAE+vuqM=")</f>
        <v>#VALUE!</v>
      </c>
      <c r="FI51" s="22" t="e">
        <f aca="false">AND(#REF!,"AAAAAE+vuqQ=")</f>
        <v>#VALUE!</v>
      </c>
      <c r="FJ51" s="22" t="e">
        <f aca="false">AND(#REF!,"AAAAAE+vuqU=")</f>
        <v>#VALUE!</v>
      </c>
      <c r="FK51" s="22" t="e">
        <f aca="false">AND(#REF!,"AAAAAE+vuqY=")</f>
        <v>#VALUE!</v>
      </c>
      <c r="FL51" s="22" t="e">
        <f aca="false">AND(#REF!,"AAAAAE+vuqc=")</f>
        <v>#VALUE!</v>
      </c>
      <c r="FM51" s="22" t="e">
        <f aca="false">IF(#REF!,"AAAAAE+vuqg=",0)</f>
        <v>#REF!</v>
      </c>
      <c r="FN51" s="22" t="e">
        <f aca="false">AND(#REF!,"AAAAAE+vuqk=")</f>
        <v>#VALUE!</v>
      </c>
      <c r="FO51" s="22" t="e">
        <f aca="false">AND(#REF!,"AAAAAE+vuqo=")</f>
        <v>#VALUE!</v>
      </c>
      <c r="FP51" s="22" t="e">
        <f aca="false">AND(#REF!,"AAAAAE+vuqs=")</f>
        <v>#VALUE!</v>
      </c>
      <c r="FQ51" s="22" t="e">
        <f aca="false">AND(#REF!,"AAAAAE+vuqw=")</f>
        <v>#VALUE!</v>
      </c>
      <c r="FR51" s="22" t="e">
        <f aca="false">AND(#REF!,"AAAAAE+vuq0=")</f>
        <v>#VALUE!</v>
      </c>
      <c r="FS51" s="22" t="e">
        <f aca="false">AND(#REF!,"AAAAAE+vuq4=")</f>
        <v>#VALUE!</v>
      </c>
      <c r="FT51" s="22" t="e">
        <f aca="false">IF(#REF!,"AAAAAE+vuq8=",0)</f>
        <v>#REF!</v>
      </c>
      <c r="FU51" s="22" t="e">
        <f aca="false">AND(#REF!,"AAAAAE+vurA=")</f>
        <v>#VALUE!</v>
      </c>
      <c r="FV51" s="22" t="e">
        <f aca="false">AND(#REF!,"AAAAAE+vurE=")</f>
        <v>#VALUE!</v>
      </c>
      <c r="FW51" s="22" t="e">
        <f aca="false">AND(#REF!,"AAAAAE+vurI=")</f>
        <v>#VALUE!</v>
      </c>
      <c r="FX51" s="22" t="e">
        <f aca="false">AND(#REF!,"AAAAAE+vurM=")</f>
        <v>#VALUE!</v>
      </c>
      <c r="FY51" s="22" t="e">
        <f aca="false">AND(#REF!,"AAAAAE+vurQ=")</f>
        <v>#VALUE!</v>
      </c>
      <c r="FZ51" s="22" t="e">
        <f aca="false">AND(#REF!,"AAAAAE+vurU=")</f>
        <v>#VALUE!</v>
      </c>
      <c r="GA51" s="22" t="e">
        <f aca="false">IF(#REF!,"AAAAAE+vurY=",0)</f>
        <v>#REF!</v>
      </c>
      <c r="GB51" s="22" t="e">
        <f aca="false">AND(#REF!,"AAAAAE+vurc=")</f>
        <v>#VALUE!</v>
      </c>
      <c r="GC51" s="22" t="e">
        <f aca="false">AND(#REF!,"AAAAAE+vurg=")</f>
        <v>#VALUE!</v>
      </c>
      <c r="GD51" s="22" t="e">
        <f aca="false">AND(#REF!,"AAAAAE+vurk=")</f>
        <v>#VALUE!</v>
      </c>
      <c r="GE51" s="22" t="e">
        <f aca="false">AND(#REF!,"AAAAAE+vuro=")</f>
        <v>#VALUE!</v>
      </c>
      <c r="GF51" s="22" t="e">
        <f aca="false">AND(#REF!,"AAAAAE+vurs=")</f>
        <v>#VALUE!</v>
      </c>
      <c r="GG51" s="22" t="e">
        <f aca="false">AND(#REF!,"AAAAAE+vurw=")</f>
        <v>#VALUE!</v>
      </c>
      <c r="GH51" s="22" t="e">
        <f aca="false">IF(#REF!,"AAAAAE+vur0=",0)</f>
        <v>#REF!</v>
      </c>
      <c r="GI51" s="22" t="e">
        <f aca="false">AND(#REF!,"AAAAAE+vur4=")</f>
        <v>#VALUE!</v>
      </c>
      <c r="GJ51" s="22" t="e">
        <f aca="false">AND(#REF!,"AAAAAE+vur8=")</f>
        <v>#VALUE!</v>
      </c>
      <c r="GK51" s="22" t="e">
        <f aca="false">AND(#REF!,"AAAAAE+vusA=")</f>
        <v>#VALUE!</v>
      </c>
      <c r="GL51" s="22" t="e">
        <f aca="false">AND(#REF!,"AAAAAE+vusE=")</f>
        <v>#VALUE!</v>
      </c>
      <c r="GM51" s="22" t="e">
        <f aca="false">AND(#REF!,"AAAAAE+vusI=")</f>
        <v>#VALUE!</v>
      </c>
      <c r="GN51" s="22" t="e">
        <f aca="false">AND(#REF!,"AAAAAE+vusM=")</f>
        <v>#VALUE!</v>
      </c>
      <c r="GO51" s="22" t="e">
        <f aca="false">IF(#REF!,"AAAAAE+vusQ=",0)</f>
        <v>#REF!</v>
      </c>
      <c r="GP51" s="22" t="e">
        <f aca="false">AND(#REF!,"AAAAAE+vusU=")</f>
        <v>#VALUE!</v>
      </c>
      <c r="GQ51" s="22" t="e">
        <f aca="false">AND(#REF!,"AAAAAE+vusY=")</f>
        <v>#VALUE!</v>
      </c>
      <c r="GR51" s="22" t="e">
        <f aca="false">AND(#REF!,"AAAAAE+vusc=")</f>
        <v>#VALUE!</v>
      </c>
      <c r="GS51" s="22" t="e">
        <f aca="false">AND(#REF!,"AAAAAE+vusg=")</f>
        <v>#VALUE!</v>
      </c>
      <c r="GT51" s="22" t="e">
        <f aca="false">AND(#REF!,"AAAAAE+vusk=")</f>
        <v>#VALUE!</v>
      </c>
      <c r="GU51" s="22" t="e">
        <f aca="false">AND(#REF!,"AAAAAE+vuso=")</f>
        <v>#VALUE!</v>
      </c>
      <c r="GV51" s="22" t="e">
        <f aca="false">IF(#REF!,"AAAAAE+vuss=",0)</f>
        <v>#REF!</v>
      </c>
      <c r="GW51" s="22" t="e">
        <f aca="false">AND(#REF!,"AAAAAE+vusw=")</f>
        <v>#VALUE!</v>
      </c>
      <c r="GX51" s="22" t="e">
        <f aca="false">AND(#REF!,"AAAAAE+vus0=")</f>
        <v>#VALUE!</v>
      </c>
      <c r="GY51" s="22" t="e">
        <f aca="false">AND(#REF!,"AAAAAE+vus4=")</f>
        <v>#VALUE!</v>
      </c>
      <c r="GZ51" s="22" t="e">
        <f aca="false">AND(#REF!,"AAAAAE+vus8=")</f>
        <v>#VALUE!</v>
      </c>
      <c r="HA51" s="22" t="e">
        <f aca="false">AND(#REF!,"AAAAAE+vutA=")</f>
        <v>#VALUE!</v>
      </c>
      <c r="HB51" s="22" t="e">
        <f aca="false">AND(#REF!,"AAAAAE+vutE=")</f>
        <v>#VALUE!</v>
      </c>
      <c r="HC51" s="22" t="e">
        <f aca="false">IF(#REF!,"AAAAAE+vutI=",0)</f>
        <v>#REF!</v>
      </c>
      <c r="HD51" s="22" t="e">
        <f aca="false">AND(#REF!,"AAAAAE+vutM=")</f>
        <v>#VALUE!</v>
      </c>
      <c r="HE51" s="22" t="e">
        <f aca="false">AND(#REF!,"AAAAAE+vutQ=")</f>
        <v>#VALUE!</v>
      </c>
      <c r="HF51" s="22" t="e">
        <f aca="false">AND(#REF!,"AAAAAE+vutU=")</f>
        <v>#VALUE!</v>
      </c>
      <c r="HG51" s="22" t="e">
        <f aca="false">AND(#REF!,"AAAAAE+vutY=")</f>
        <v>#VALUE!</v>
      </c>
      <c r="HH51" s="22" t="e">
        <f aca="false">AND(#REF!,"AAAAAE+vutc=")</f>
        <v>#VALUE!</v>
      </c>
      <c r="HI51" s="22" t="e">
        <f aca="false">AND(#REF!,"AAAAAE+vutg=")</f>
        <v>#VALUE!</v>
      </c>
      <c r="HJ51" s="22" t="e">
        <f aca="false">IF(#REF!,"AAAAAE+vutk=",0)</f>
        <v>#REF!</v>
      </c>
      <c r="HK51" s="22" t="e">
        <f aca="false">AND(#REF!,"AAAAAE+vuto=")</f>
        <v>#VALUE!</v>
      </c>
      <c r="HL51" s="22" t="e">
        <f aca="false">AND(#REF!,"AAAAAE+vuts=")</f>
        <v>#VALUE!</v>
      </c>
      <c r="HM51" s="22" t="e">
        <f aca="false">AND(#REF!,"AAAAAE+vutw=")</f>
        <v>#VALUE!</v>
      </c>
      <c r="HN51" s="22" t="e">
        <f aca="false">AND(#REF!,"AAAAAE+vut0=")</f>
        <v>#VALUE!</v>
      </c>
      <c r="HO51" s="22" t="e">
        <f aca="false">AND(#REF!,"AAAAAE+vut4=")</f>
        <v>#VALUE!</v>
      </c>
      <c r="HP51" s="22" t="e">
        <f aca="false">AND(#REF!,"AAAAAE+vut8=")</f>
        <v>#VALUE!</v>
      </c>
      <c r="HQ51" s="22" t="e">
        <f aca="false">IF(#REF!,"AAAAAE+vuuA=",0)</f>
        <v>#REF!</v>
      </c>
      <c r="HR51" s="22" t="e">
        <f aca="false">AND(#REF!,"AAAAAE+vuuE=")</f>
        <v>#VALUE!</v>
      </c>
      <c r="HS51" s="22" t="e">
        <f aca="false">AND(#REF!,"AAAAAE+vuuI=")</f>
        <v>#VALUE!</v>
      </c>
      <c r="HT51" s="22" t="e">
        <f aca="false">AND(#REF!,"AAAAAE+vuuM=")</f>
        <v>#VALUE!</v>
      </c>
      <c r="HU51" s="22" t="e">
        <f aca="false">AND(#REF!,"AAAAAE+vuuQ=")</f>
        <v>#VALUE!</v>
      </c>
      <c r="HV51" s="22" t="e">
        <f aca="false">AND(#REF!,"AAAAAE+vuuU=")</f>
        <v>#VALUE!</v>
      </c>
      <c r="HW51" s="22" t="e">
        <f aca="false">AND(#REF!,"AAAAAE+vuuY=")</f>
        <v>#VALUE!</v>
      </c>
      <c r="HX51" s="22" t="e">
        <f aca="false">IF(#REF!,"AAAAAE+vuuc=",0)</f>
        <v>#REF!</v>
      </c>
      <c r="HY51" s="22" t="e">
        <f aca="false">AND(#REF!,"AAAAAE+vuug=")</f>
        <v>#VALUE!</v>
      </c>
      <c r="HZ51" s="22" t="e">
        <f aca="false">AND(#REF!,"AAAAAE+vuuk=")</f>
        <v>#VALUE!</v>
      </c>
      <c r="IA51" s="22" t="e">
        <f aca="false">AND(#REF!,"AAAAAE+vuuo=")</f>
        <v>#VALUE!</v>
      </c>
      <c r="IB51" s="22" t="e">
        <f aca="false">AND(#REF!,"AAAAAE+vuus=")</f>
        <v>#VALUE!</v>
      </c>
      <c r="IC51" s="22" t="e">
        <f aca="false">AND(#REF!,"AAAAAE+vuuw=")</f>
        <v>#VALUE!</v>
      </c>
      <c r="ID51" s="22" t="e">
        <f aca="false">AND(#REF!,"AAAAAE+vuu0=")</f>
        <v>#VALUE!</v>
      </c>
      <c r="IE51" s="22" t="e">
        <f aca="false">IF(#REF!,"AAAAAE+vuu4=",0)</f>
        <v>#REF!</v>
      </c>
      <c r="IF51" s="22" t="e">
        <f aca="false">AND(#REF!,"AAAAAE+vuu8=")</f>
        <v>#VALUE!</v>
      </c>
      <c r="IG51" s="22" t="e">
        <f aca="false">AND(#REF!,"AAAAAE+vuvA=")</f>
        <v>#VALUE!</v>
      </c>
      <c r="IH51" s="22" t="e">
        <f aca="false">AND(#REF!,"AAAAAE+vuvE=")</f>
        <v>#VALUE!</v>
      </c>
      <c r="II51" s="22" t="e">
        <f aca="false">AND(#REF!,"AAAAAE+vuvI=")</f>
        <v>#VALUE!</v>
      </c>
      <c r="IJ51" s="22" t="e">
        <f aca="false">AND(#REF!,"AAAAAE+vuvM=")</f>
        <v>#VALUE!</v>
      </c>
      <c r="IK51" s="22" t="e">
        <f aca="false">AND(#REF!,"AAAAAE+vuvQ=")</f>
        <v>#VALUE!</v>
      </c>
      <c r="IL51" s="22" t="e">
        <f aca="false">IF(#REF!,"AAAAAE+vuvU=",0)</f>
        <v>#REF!</v>
      </c>
      <c r="IM51" s="22" t="e">
        <f aca="false">AND(#REF!,"AAAAAE+vuvY=")</f>
        <v>#VALUE!</v>
      </c>
      <c r="IN51" s="22" t="e">
        <f aca="false">AND(#REF!,"AAAAAE+vuvc=")</f>
        <v>#VALUE!</v>
      </c>
      <c r="IO51" s="22" t="e">
        <f aca="false">AND(#REF!,"AAAAAE+vuvg=")</f>
        <v>#VALUE!</v>
      </c>
      <c r="IP51" s="22" t="e">
        <f aca="false">AND(#REF!,"AAAAAE+vuvk=")</f>
        <v>#VALUE!</v>
      </c>
      <c r="IQ51" s="22" t="e">
        <f aca="false">AND(#REF!,"AAAAAE+vuvo=")</f>
        <v>#VALUE!</v>
      </c>
      <c r="IR51" s="22" t="e">
        <f aca="false">AND(#REF!,"AAAAAE+vuvs=")</f>
        <v>#VALUE!</v>
      </c>
      <c r="IS51" s="22" t="e">
        <f aca="false">IF(#REF!,"AAAAAE+vuvw=",0)</f>
        <v>#REF!</v>
      </c>
      <c r="IT51" s="22" t="e">
        <f aca="false">AND(#REF!,"AAAAAE+vuv0=")</f>
        <v>#VALUE!</v>
      </c>
      <c r="IU51" s="22" t="e">
        <f aca="false">AND(#REF!,"AAAAAE+vuv4=")</f>
        <v>#VALUE!</v>
      </c>
      <c r="IV51" s="22" t="e">
        <f aca="false">AND(#REF!,"AAAAAE+vuv8=")</f>
        <v>#VALUE!</v>
      </c>
    </row>
    <row r="52" customFormat="false" ht="12.75" hidden="false" customHeight="false" outlineLevel="0" collapsed="false">
      <c r="A52" s="22" t="e">
        <f aca="false">AND(#REF!,"AAAAAH/7vgA=")</f>
        <v>#VALUE!</v>
      </c>
      <c r="B52" s="22" t="e">
        <f aca="false">AND(#REF!,"AAAAAH/7vgE=")</f>
        <v>#VALUE!</v>
      </c>
      <c r="C52" s="22" t="e">
        <f aca="false">AND(#REF!,"AAAAAH/7vgI=")</f>
        <v>#VALUE!</v>
      </c>
      <c r="D52" s="22" t="e">
        <f aca="false">IF(#REF!,"AAAAAH/7vgM=",0)</f>
        <v>#REF!</v>
      </c>
      <c r="E52" s="22" t="e">
        <f aca="false">AND(#REF!,"AAAAAH/7vgQ=")</f>
        <v>#VALUE!</v>
      </c>
      <c r="F52" s="22" t="e">
        <f aca="false">AND(#REF!,"AAAAAH/7vgU=")</f>
        <v>#VALUE!</v>
      </c>
      <c r="G52" s="22" t="e">
        <f aca="false">AND(#REF!,"AAAAAH/7vgY=")</f>
        <v>#VALUE!</v>
      </c>
      <c r="H52" s="22" t="e">
        <f aca="false">AND(#REF!,"AAAAAH/7vgc=")</f>
        <v>#VALUE!</v>
      </c>
      <c r="I52" s="22" t="e">
        <f aca="false">AND(#REF!,"AAAAAH/7vgg=")</f>
        <v>#VALUE!</v>
      </c>
      <c r="J52" s="22" t="e">
        <f aca="false">AND(#REF!,"AAAAAH/7vgk=")</f>
        <v>#VALUE!</v>
      </c>
      <c r="K52" s="22" t="e">
        <f aca="false">IF(#REF!,"AAAAAH/7vgo=",0)</f>
        <v>#REF!</v>
      </c>
      <c r="L52" s="22" t="e">
        <f aca="false">AND(#REF!,"AAAAAH/7vgs=")</f>
        <v>#VALUE!</v>
      </c>
      <c r="M52" s="22" t="e">
        <f aca="false">AND(#REF!,"AAAAAH/7vgw=")</f>
        <v>#VALUE!</v>
      </c>
      <c r="N52" s="22" t="e">
        <f aca="false">AND(#REF!,"AAAAAH/7vg0=")</f>
        <v>#VALUE!</v>
      </c>
      <c r="O52" s="22" t="e">
        <f aca="false">AND(#REF!,"AAAAAH/7vg4=")</f>
        <v>#VALUE!</v>
      </c>
      <c r="P52" s="22" t="e">
        <f aca="false">AND(#REF!,"AAAAAH/7vg8=")</f>
        <v>#VALUE!</v>
      </c>
      <c r="Q52" s="22" t="e">
        <f aca="false">AND(#REF!,"AAAAAH/7vhA=")</f>
        <v>#VALUE!</v>
      </c>
      <c r="R52" s="22" t="e">
        <f aca="false">IF(#REF!,"AAAAAH/7vhE=",0)</f>
        <v>#REF!</v>
      </c>
      <c r="S52" s="22" t="e">
        <f aca="false">AND(#REF!,"AAAAAH/7vhI=")</f>
        <v>#VALUE!</v>
      </c>
      <c r="T52" s="22" t="e">
        <f aca="false">AND(#REF!,"AAAAAH/7vhM=")</f>
        <v>#VALUE!</v>
      </c>
      <c r="U52" s="22" t="e">
        <f aca="false">AND(#REF!,"AAAAAH/7vhQ=")</f>
        <v>#VALUE!</v>
      </c>
      <c r="V52" s="22" t="e">
        <f aca="false">AND(#REF!,"AAAAAH/7vhU=")</f>
        <v>#VALUE!</v>
      </c>
      <c r="W52" s="22" t="e">
        <f aca="false">AND(#REF!,"AAAAAH/7vhY=")</f>
        <v>#VALUE!</v>
      </c>
      <c r="X52" s="22" t="e">
        <f aca="false">AND(#REF!,"AAAAAH/7vhc=")</f>
        <v>#VALUE!</v>
      </c>
      <c r="Y52" s="22" t="e">
        <f aca="false">IF(#REF!,"AAAAAH/7vhg=",0)</f>
        <v>#REF!</v>
      </c>
      <c r="Z52" s="22" t="e">
        <f aca="false">AND(#REF!,"AAAAAH/7vhk=")</f>
        <v>#VALUE!</v>
      </c>
      <c r="AA52" s="22" t="e">
        <f aca="false">AND(#REF!,"AAAAAH/7vho=")</f>
        <v>#VALUE!</v>
      </c>
      <c r="AB52" s="22" t="e">
        <f aca="false">AND(#REF!,"AAAAAH/7vhs=")</f>
        <v>#VALUE!</v>
      </c>
      <c r="AC52" s="22" t="e">
        <f aca="false">AND(#REF!,"AAAAAH/7vhw=")</f>
        <v>#VALUE!</v>
      </c>
      <c r="AD52" s="22" t="e">
        <f aca="false">AND(#REF!,"AAAAAH/7vh0=")</f>
        <v>#VALUE!</v>
      </c>
      <c r="AE52" s="22" t="e">
        <f aca="false">AND(#REF!,"AAAAAH/7vh4=")</f>
        <v>#VALUE!</v>
      </c>
      <c r="AF52" s="22" t="e">
        <f aca="false">IF(#REF!,"AAAAAH/7vh8=",0)</f>
        <v>#REF!</v>
      </c>
      <c r="AG52" s="22" t="e">
        <f aca="false">AND(#REF!,"AAAAAH/7viA=")</f>
        <v>#VALUE!</v>
      </c>
      <c r="AH52" s="22" t="e">
        <f aca="false">AND(#REF!,"AAAAAH/7viE=")</f>
        <v>#VALUE!</v>
      </c>
      <c r="AI52" s="22" t="e">
        <f aca="false">AND(#REF!,"AAAAAH/7viI=")</f>
        <v>#VALUE!</v>
      </c>
      <c r="AJ52" s="22" t="e">
        <f aca="false">AND(#REF!,"AAAAAH/7viM=")</f>
        <v>#VALUE!</v>
      </c>
      <c r="AK52" s="22" t="e">
        <f aca="false">AND(#REF!,"AAAAAH/7viQ=")</f>
        <v>#VALUE!</v>
      </c>
      <c r="AL52" s="22" t="e">
        <f aca="false">AND(#REF!,"AAAAAH/7viU=")</f>
        <v>#VALUE!</v>
      </c>
      <c r="AM52" s="22" t="e">
        <f aca="false">IF(#REF!,"AAAAAH/7viY=",0)</f>
        <v>#REF!</v>
      </c>
      <c r="AN52" s="22" t="e">
        <f aca="false">AND(#REF!,"AAAAAH/7vic=")</f>
        <v>#VALUE!</v>
      </c>
      <c r="AO52" s="22" t="e">
        <f aca="false">AND(#REF!,"AAAAAH/7vig=")</f>
        <v>#VALUE!</v>
      </c>
      <c r="AP52" s="22" t="e">
        <f aca="false">AND(#REF!,"AAAAAH/7vik=")</f>
        <v>#VALUE!</v>
      </c>
      <c r="AQ52" s="22" t="e">
        <f aca="false">AND(#REF!,"AAAAAH/7vio=")</f>
        <v>#VALUE!</v>
      </c>
      <c r="AR52" s="22" t="e">
        <f aca="false">AND(#REF!,"AAAAAH/7vis=")</f>
        <v>#VALUE!</v>
      </c>
      <c r="AS52" s="22" t="e">
        <f aca="false">AND(#REF!,"AAAAAH/7viw=")</f>
        <v>#VALUE!</v>
      </c>
      <c r="AT52" s="22" t="e">
        <f aca="false">IF(#REF!,"AAAAAH/7vi0=",0)</f>
        <v>#REF!</v>
      </c>
      <c r="AU52" s="22" t="e">
        <f aca="false">AND(#REF!,"AAAAAH/7vi4=")</f>
        <v>#VALUE!</v>
      </c>
      <c r="AV52" s="22" t="e">
        <f aca="false">AND(#REF!,"AAAAAH/7vi8=")</f>
        <v>#VALUE!</v>
      </c>
      <c r="AW52" s="22" t="e">
        <f aca="false">AND(#REF!,"AAAAAH/7vjA=")</f>
        <v>#VALUE!</v>
      </c>
      <c r="AX52" s="22" t="e">
        <f aca="false">AND(#REF!,"AAAAAH/7vjE=")</f>
        <v>#VALUE!</v>
      </c>
      <c r="AY52" s="22" t="e">
        <f aca="false">AND(#REF!,"AAAAAH/7vjI=")</f>
        <v>#VALUE!</v>
      </c>
      <c r="AZ52" s="22" t="e">
        <f aca="false">AND(#REF!,"AAAAAH/7vjM=")</f>
        <v>#VALUE!</v>
      </c>
      <c r="BA52" s="22" t="e">
        <f aca="false">IF(#REF!,"AAAAAH/7vjQ=",0)</f>
        <v>#REF!</v>
      </c>
      <c r="BB52" s="22" t="e">
        <f aca="false">AND(#REF!,"AAAAAH/7vjU=")</f>
        <v>#VALUE!</v>
      </c>
      <c r="BC52" s="22" t="e">
        <f aca="false">AND(#REF!,"AAAAAH/7vjY=")</f>
        <v>#VALUE!</v>
      </c>
      <c r="BD52" s="22" t="e">
        <f aca="false">AND(#REF!,"AAAAAH/7vjc=")</f>
        <v>#VALUE!</v>
      </c>
      <c r="BE52" s="22" t="e">
        <f aca="false">AND(#REF!,"AAAAAH/7vjg=")</f>
        <v>#VALUE!</v>
      </c>
      <c r="BF52" s="22" t="e">
        <f aca="false">AND(#REF!,"AAAAAH/7vjk=")</f>
        <v>#VALUE!</v>
      </c>
      <c r="BG52" s="22" t="e">
        <f aca="false">AND(#REF!,"AAAAAH/7vjo=")</f>
        <v>#VALUE!</v>
      </c>
      <c r="BH52" s="22" t="e">
        <f aca="false">IF(#REF!,"AAAAAH/7vjs=",0)</f>
        <v>#REF!</v>
      </c>
      <c r="BI52" s="22" t="e">
        <f aca="false">AND(#REF!,"AAAAAH/7vjw=")</f>
        <v>#VALUE!</v>
      </c>
      <c r="BJ52" s="22" t="e">
        <f aca="false">AND(#REF!,"AAAAAH/7vj0=")</f>
        <v>#VALUE!</v>
      </c>
      <c r="BK52" s="22" t="e">
        <f aca="false">AND(#REF!,"AAAAAH/7vj4=")</f>
        <v>#VALUE!</v>
      </c>
      <c r="BL52" s="22" t="e">
        <f aca="false">AND(#REF!,"AAAAAH/7vj8=")</f>
        <v>#VALUE!</v>
      </c>
      <c r="BM52" s="22" t="e">
        <f aca="false">AND(#REF!,"AAAAAH/7vkA=")</f>
        <v>#VALUE!</v>
      </c>
      <c r="BN52" s="22" t="e">
        <f aca="false">AND(#REF!,"AAAAAH/7vkE=")</f>
        <v>#VALUE!</v>
      </c>
      <c r="BO52" s="22" t="e">
        <f aca="false">IF(#REF!,"AAAAAH/7vkI=",0)</f>
        <v>#REF!</v>
      </c>
      <c r="BP52" s="22" t="e">
        <f aca="false">AND(#REF!,"AAAAAH/7vkM=")</f>
        <v>#VALUE!</v>
      </c>
      <c r="BQ52" s="22" t="e">
        <f aca="false">AND(#REF!,"AAAAAH/7vkQ=")</f>
        <v>#VALUE!</v>
      </c>
      <c r="BR52" s="22" t="e">
        <f aca="false">AND(#REF!,"AAAAAH/7vkU=")</f>
        <v>#VALUE!</v>
      </c>
      <c r="BS52" s="22" t="e">
        <f aca="false">AND(#REF!,"AAAAAH/7vkY=")</f>
        <v>#VALUE!</v>
      </c>
      <c r="BT52" s="22" t="e">
        <f aca="false">AND(#REF!,"AAAAAH/7vkc=")</f>
        <v>#VALUE!</v>
      </c>
      <c r="BU52" s="22" t="e">
        <f aca="false">AND(#REF!,"AAAAAH/7vkg=")</f>
        <v>#VALUE!</v>
      </c>
      <c r="BV52" s="22" t="e">
        <f aca="false">IF(#REF!,"AAAAAH/7vkk=",0)</f>
        <v>#REF!</v>
      </c>
      <c r="BW52" s="22" t="e">
        <f aca="false">AND(#REF!,"AAAAAH/7vko=")</f>
        <v>#VALUE!</v>
      </c>
      <c r="BX52" s="22" t="e">
        <f aca="false">AND(#REF!,"AAAAAH/7vks=")</f>
        <v>#VALUE!</v>
      </c>
      <c r="BY52" s="22" t="e">
        <f aca="false">AND(#REF!,"AAAAAH/7vkw=")</f>
        <v>#VALUE!</v>
      </c>
      <c r="BZ52" s="22" t="e">
        <f aca="false">AND(#REF!,"AAAAAH/7vk0=")</f>
        <v>#VALUE!</v>
      </c>
      <c r="CA52" s="22" t="e">
        <f aca="false">AND(#REF!,"AAAAAH/7vk4=")</f>
        <v>#VALUE!</v>
      </c>
      <c r="CB52" s="22" t="e">
        <f aca="false">AND(#REF!,"AAAAAH/7vk8=")</f>
        <v>#VALUE!</v>
      </c>
      <c r="CC52" s="22" t="e">
        <f aca="false">IF(#REF!,"AAAAAH/7vlA=",0)</f>
        <v>#REF!</v>
      </c>
      <c r="CD52" s="22" t="e">
        <f aca="false">AND(#REF!,"AAAAAH/7vlE=")</f>
        <v>#VALUE!</v>
      </c>
      <c r="CE52" s="22" t="e">
        <f aca="false">AND(#REF!,"AAAAAH/7vlI=")</f>
        <v>#VALUE!</v>
      </c>
      <c r="CF52" s="22" t="e">
        <f aca="false">AND(#REF!,"AAAAAH/7vlM=")</f>
        <v>#VALUE!</v>
      </c>
      <c r="CG52" s="22" t="e">
        <f aca="false">AND(#REF!,"AAAAAH/7vlQ=")</f>
        <v>#VALUE!</v>
      </c>
      <c r="CH52" s="22" t="e">
        <f aca="false">AND(#REF!,"AAAAAH/7vlU=")</f>
        <v>#VALUE!</v>
      </c>
      <c r="CI52" s="22" t="e">
        <f aca="false">AND(#REF!,"AAAAAH/7vlY=")</f>
        <v>#VALUE!</v>
      </c>
      <c r="CJ52" s="22" t="e">
        <f aca="false">IF(#REF!,"AAAAAH/7vlc=",0)</f>
        <v>#REF!</v>
      </c>
      <c r="CK52" s="22" t="e">
        <f aca="false">AND(#REF!,"AAAAAH/7vlg=")</f>
        <v>#VALUE!</v>
      </c>
      <c r="CL52" s="22" t="e">
        <f aca="false">AND(#REF!,"AAAAAH/7vlk=")</f>
        <v>#VALUE!</v>
      </c>
      <c r="CM52" s="22" t="e">
        <f aca="false">AND(#REF!,"AAAAAH/7vlo=")</f>
        <v>#VALUE!</v>
      </c>
      <c r="CN52" s="22" t="e">
        <f aca="false">AND(#REF!,"AAAAAH/7vls=")</f>
        <v>#VALUE!</v>
      </c>
      <c r="CO52" s="22" t="e">
        <f aca="false">AND(#REF!,"AAAAAH/7vlw=")</f>
        <v>#VALUE!</v>
      </c>
      <c r="CP52" s="22" t="e">
        <f aca="false">AND(#REF!,"AAAAAH/7vl0=")</f>
        <v>#VALUE!</v>
      </c>
      <c r="CQ52" s="22" t="e">
        <f aca="false">IF(#REF!,"AAAAAH/7vl4=",0)</f>
        <v>#REF!</v>
      </c>
      <c r="CR52" s="22" t="e">
        <f aca="false">AND(#REF!,"AAAAAH/7vl8=")</f>
        <v>#VALUE!</v>
      </c>
      <c r="CS52" s="22" t="e">
        <f aca="false">AND(#REF!,"AAAAAH/7vmA=")</f>
        <v>#VALUE!</v>
      </c>
      <c r="CT52" s="22" t="e">
        <f aca="false">AND(#REF!,"AAAAAH/7vmE=")</f>
        <v>#VALUE!</v>
      </c>
      <c r="CU52" s="22" t="e">
        <f aca="false">AND(#REF!,"AAAAAH/7vmI=")</f>
        <v>#VALUE!</v>
      </c>
      <c r="CV52" s="22" t="e">
        <f aca="false">AND(#REF!,"AAAAAH/7vmM=")</f>
        <v>#VALUE!</v>
      </c>
      <c r="CW52" s="22" t="e">
        <f aca="false">AND(#REF!,"AAAAAH/7vmQ=")</f>
        <v>#VALUE!</v>
      </c>
      <c r="CX52" s="22" t="e">
        <f aca="false">IF(#REF!,"AAAAAH/7vmU=",0)</f>
        <v>#REF!</v>
      </c>
      <c r="CY52" s="22" t="e">
        <f aca="false">AND(#REF!,"AAAAAH/7vmY=")</f>
        <v>#VALUE!</v>
      </c>
      <c r="CZ52" s="22" t="e">
        <f aca="false">AND(#REF!,"AAAAAH/7vmc=")</f>
        <v>#VALUE!</v>
      </c>
      <c r="DA52" s="22" t="e">
        <f aca="false">AND(#REF!,"AAAAAH/7vmg=")</f>
        <v>#VALUE!</v>
      </c>
      <c r="DB52" s="22" t="e">
        <f aca="false">AND(#REF!,"AAAAAH/7vmk=")</f>
        <v>#VALUE!</v>
      </c>
      <c r="DC52" s="22" t="e">
        <f aca="false">AND(#REF!,"AAAAAH/7vmo=")</f>
        <v>#VALUE!</v>
      </c>
      <c r="DD52" s="22" t="e">
        <f aca="false">AND(#REF!,"AAAAAH/7vms=")</f>
        <v>#VALUE!</v>
      </c>
      <c r="DE52" s="22" t="e">
        <f aca="false">IF(#REF!,"AAAAAH/7vmw=",0)</f>
        <v>#REF!</v>
      </c>
      <c r="DF52" s="22" t="e">
        <f aca="false">AND(#REF!,"AAAAAH/7vm0=")</f>
        <v>#VALUE!</v>
      </c>
      <c r="DG52" s="22" t="e">
        <f aca="false">AND(#REF!,"AAAAAH/7vm4=")</f>
        <v>#VALUE!</v>
      </c>
      <c r="DH52" s="22" t="e">
        <f aca="false">AND(#REF!,"AAAAAH/7vm8=")</f>
        <v>#VALUE!</v>
      </c>
      <c r="DI52" s="22" t="e">
        <f aca="false">AND(#REF!,"AAAAAH/7vnA=")</f>
        <v>#VALUE!</v>
      </c>
      <c r="DJ52" s="22" t="e">
        <f aca="false">AND(#REF!,"AAAAAH/7vnE=")</f>
        <v>#VALUE!</v>
      </c>
      <c r="DK52" s="22" t="e">
        <f aca="false">AND(#REF!,"AAAAAH/7vnI=")</f>
        <v>#VALUE!</v>
      </c>
      <c r="DL52" s="22" t="e">
        <f aca="false">IF(#REF!,"AAAAAH/7vnM=",0)</f>
        <v>#REF!</v>
      </c>
      <c r="DM52" s="22" t="e">
        <f aca="false">AND(#REF!,"AAAAAH/7vnQ=")</f>
        <v>#VALUE!</v>
      </c>
      <c r="DN52" s="22" t="e">
        <f aca="false">AND(#REF!,"AAAAAH/7vnU=")</f>
        <v>#VALUE!</v>
      </c>
      <c r="DO52" s="22" t="e">
        <f aca="false">AND(#REF!,"AAAAAH/7vnY=")</f>
        <v>#VALUE!</v>
      </c>
      <c r="DP52" s="22" t="e">
        <f aca="false">AND(#REF!,"AAAAAH/7vnc=")</f>
        <v>#VALUE!</v>
      </c>
      <c r="DQ52" s="22" t="e">
        <f aca="false">AND(#REF!,"AAAAAH/7vng=")</f>
        <v>#VALUE!</v>
      </c>
      <c r="DR52" s="22" t="e">
        <f aca="false">AND(#REF!,"AAAAAH/7vnk=")</f>
        <v>#VALUE!</v>
      </c>
      <c r="DS52" s="22" t="e">
        <f aca="false">IF(#REF!,"AAAAAH/7vno=",0)</f>
        <v>#REF!</v>
      </c>
      <c r="DT52" s="22" t="e">
        <f aca="false">AND(#REF!,"AAAAAH/7vns=")</f>
        <v>#VALUE!</v>
      </c>
      <c r="DU52" s="22" t="e">
        <f aca="false">AND(#REF!,"AAAAAH/7vnw=")</f>
        <v>#VALUE!</v>
      </c>
      <c r="DV52" s="22" t="e">
        <f aca="false">AND(#REF!,"AAAAAH/7vn0=")</f>
        <v>#VALUE!</v>
      </c>
      <c r="DW52" s="22" t="e">
        <f aca="false">AND(#REF!,"AAAAAH/7vn4=")</f>
        <v>#VALUE!</v>
      </c>
      <c r="DX52" s="22" t="e">
        <f aca="false">AND(#REF!,"AAAAAH/7vn8=")</f>
        <v>#VALUE!</v>
      </c>
      <c r="DY52" s="22" t="e">
        <f aca="false">AND(#REF!,"AAAAAH/7voA=")</f>
        <v>#VALUE!</v>
      </c>
      <c r="DZ52" s="22" t="e">
        <f aca="false">IF(#REF!,"AAAAAH/7voE=",0)</f>
        <v>#REF!</v>
      </c>
      <c r="EA52" s="22" t="e">
        <f aca="false">AND(#REF!,"AAAAAH/7voI=")</f>
        <v>#VALUE!</v>
      </c>
      <c r="EB52" s="22" t="e">
        <f aca="false">AND(#REF!,"AAAAAH/7voM=")</f>
        <v>#VALUE!</v>
      </c>
      <c r="EC52" s="22" t="e">
        <f aca="false">AND(#REF!,"AAAAAH/7voQ=")</f>
        <v>#VALUE!</v>
      </c>
      <c r="ED52" s="22" t="e">
        <f aca="false">AND(#REF!,"AAAAAH/7voU=")</f>
        <v>#VALUE!</v>
      </c>
      <c r="EE52" s="22" t="e">
        <f aca="false">AND(#REF!,"AAAAAH/7voY=")</f>
        <v>#VALUE!</v>
      </c>
      <c r="EF52" s="22" t="e">
        <f aca="false">AND(#REF!,"AAAAAH/7voc=")</f>
        <v>#VALUE!</v>
      </c>
      <c r="EG52" s="22" t="e">
        <f aca="false">IF(#REF!,"AAAAAH/7vog=",0)</f>
        <v>#REF!</v>
      </c>
      <c r="EH52" s="22" t="e">
        <f aca="false">AND(#REF!,"AAAAAH/7vok=")</f>
        <v>#VALUE!</v>
      </c>
      <c r="EI52" s="22" t="e">
        <f aca="false">AND(#REF!,"AAAAAH/7voo=")</f>
        <v>#VALUE!</v>
      </c>
      <c r="EJ52" s="22" t="e">
        <f aca="false">AND(#REF!,"AAAAAH/7vos=")</f>
        <v>#VALUE!</v>
      </c>
      <c r="EK52" s="22" t="e">
        <f aca="false">AND(#REF!,"AAAAAH/7vow=")</f>
        <v>#VALUE!</v>
      </c>
      <c r="EL52" s="22" t="e">
        <f aca="false">AND(#REF!,"AAAAAH/7vo0=")</f>
        <v>#VALUE!</v>
      </c>
      <c r="EM52" s="22" t="e">
        <f aca="false">AND(#REF!,"AAAAAH/7vo4=")</f>
        <v>#VALUE!</v>
      </c>
      <c r="EN52" s="22" t="e">
        <f aca="false">IF(#REF!,"AAAAAH/7vo8=",0)</f>
        <v>#REF!</v>
      </c>
      <c r="EO52" s="22" t="e">
        <f aca="false">AND(#REF!,"AAAAAH/7vpA=")</f>
        <v>#VALUE!</v>
      </c>
      <c r="EP52" s="22" t="e">
        <f aca="false">AND(#REF!,"AAAAAH/7vpE=")</f>
        <v>#VALUE!</v>
      </c>
      <c r="EQ52" s="22" t="e">
        <f aca="false">AND(#REF!,"AAAAAH/7vpI=")</f>
        <v>#VALUE!</v>
      </c>
      <c r="ER52" s="22" t="e">
        <f aca="false">AND(#REF!,"AAAAAH/7vpM=")</f>
        <v>#VALUE!</v>
      </c>
      <c r="ES52" s="22" t="e">
        <f aca="false">AND(#REF!,"AAAAAH/7vpQ=")</f>
        <v>#VALUE!</v>
      </c>
      <c r="ET52" s="22" t="e">
        <f aca="false">AND(#REF!,"AAAAAH/7vpU=")</f>
        <v>#VALUE!</v>
      </c>
      <c r="EU52" s="22" t="e">
        <f aca="false">IF(#REF!,"AAAAAH/7vpY=",0)</f>
        <v>#REF!</v>
      </c>
      <c r="EV52" s="22" t="e">
        <f aca="false">AND(#REF!,"AAAAAH/7vpc=")</f>
        <v>#VALUE!</v>
      </c>
      <c r="EW52" s="22" t="e">
        <f aca="false">AND(#REF!,"AAAAAH/7vpg=")</f>
        <v>#VALUE!</v>
      </c>
      <c r="EX52" s="22" t="e">
        <f aca="false">AND(#REF!,"AAAAAH/7vpk=")</f>
        <v>#VALUE!</v>
      </c>
      <c r="EY52" s="22" t="e">
        <f aca="false">AND(#REF!,"AAAAAH/7vpo=")</f>
        <v>#VALUE!</v>
      </c>
      <c r="EZ52" s="22" t="e">
        <f aca="false">AND(#REF!,"AAAAAH/7vps=")</f>
        <v>#VALUE!</v>
      </c>
      <c r="FA52" s="22" t="e">
        <f aca="false">AND(#REF!,"AAAAAH/7vpw=")</f>
        <v>#VALUE!</v>
      </c>
      <c r="FB52" s="22" t="e">
        <f aca="false">IF(#REF!,"AAAAAH/7vp0=",0)</f>
        <v>#REF!</v>
      </c>
      <c r="FC52" s="22" t="e">
        <f aca="false">AND(#REF!,"AAAAAH/7vp4=")</f>
        <v>#VALUE!</v>
      </c>
      <c r="FD52" s="22" t="e">
        <f aca="false">AND(#REF!,"AAAAAH/7vp8=")</f>
        <v>#VALUE!</v>
      </c>
      <c r="FE52" s="22" t="e">
        <f aca="false">AND(#REF!,"AAAAAH/7vqA=")</f>
        <v>#VALUE!</v>
      </c>
      <c r="FF52" s="22" t="e">
        <f aca="false">AND(#REF!,"AAAAAH/7vqE=")</f>
        <v>#VALUE!</v>
      </c>
      <c r="FG52" s="22" t="e">
        <f aca="false">AND(#REF!,"AAAAAH/7vqI=")</f>
        <v>#VALUE!</v>
      </c>
      <c r="FH52" s="22" t="e">
        <f aca="false">AND(#REF!,"AAAAAH/7vqM=")</f>
        <v>#VALUE!</v>
      </c>
      <c r="FI52" s="22" t="e">
        <f aca="false">IF(#REF!,"AAAAAH/7vqQ=",0)</f>
        <v>#REF!</v>
      </c>
      <c r="FJ52" s="22" t="e">
        <f aca="false">AND(#REF!,"AAAAAH/7vqU=")</f>
        <v>#VALUE!</v>
      </c>
      <c r="FK52" s="22" t="e">
        <f aca="false">AND(#REF!,"AAAAAH/7vqY=")</f>
        <v>#VALUE!</v>
      </c>
      <c r="FL52" s="22" t="e">
        <f aca="false">AND(#REF!,"AAAAAH/7vqc=")</f>
        <v>#VALUE!</v>
      </c>
      <c r="FM52" s="22" t="e">
        <f aca="false">AND(#REF!,"AAAAAH/7vqg=")</f>
        <v>#VALUE!</v>
      </c>
      <c r="FN52" s="22" t="e">
        <f aca="false">AND(#REF!,"AAAAAH/7vqk=")</f>
        <v>#VALUE!</v>
      </c>
      <c r="FO52" s="22" t="e">
        <f aca="false">AND(#REF!,"AAAAAH/7vqo=")</f>
        <v>#VALUE!</v>
      </c>
      <c r="FP52" s="22" t="e">
        <f aca="false">IF(#REF!,"AAAAAH/7vqs=",0)</f>
        <v>#REF!</v>
      </c>
      <c r="FQ52" s="22" t="e">
        <f aca="false">AND(#REF!,"AAAAAH/7vqw=")</f>
        <v>#VALUE!</v>
      </c>
      <c r="FR52" s="22" t="e">
        <f aca="false">AND(#REF!,"AAAAAH/7vq0=")</f>
        <v>#VALUE!</v>
      </c>
      <c r="FS52" s="22" t="e">
        <f aca="false">AND(#REF!,"AAAAAH/7vq4=")</f>
        <v>#VALUE!</v>
      </c>
      <c r="FT52" s="22" t="e">
        <f aca="false">AND(#REF!,"AAAAAH/7vq8=")</f>
        <v>#VALUE!</v>
      </c>
      <c r="FU52" s="22" t="e">
        <f aca="false">AND(#REF!,"AAAAAH/7vrA=")</f>
        <v>#VALUE!</v>
      </c>
      <c r="FV52" s="22" t="e">
        <f aca="false">AND(#REF!,"AAAAAH/7vrE=")</f>
        <v>#VALUE!</v>
      </c>
      <c r="FW52" s="22" t="e">
        <f aca="false">IF(#REF!,"AAAAAH/7vrI=",0)</f>
        <v>#REF!</v>
      </c>
      <c r="FX52" s="22" t="e">
        <f aca="false">AND(#REF!,"AAAAAH/7vrM=")</f>
        <v>#VALUE!</v>
      </c>
      <c r="FY52" s="22" t="e">
        <f aca="false">AND(#REF!,"AAAAAH/7vrQ=")</f>
        <v>#VALUE!</v>
      </c>
      <c r="FZ52" s="22" t="e">
        <f aca="false">AND(#REF!,"AAAAAH/7vrU=")</f>
        <v>#VALUE!</v>
      </c>
      <c r="GA52" s="22" t="e">
        <f aca="false">AND(#REF!,"AAAAAH/7vrY=")</f>
        <v>#VALUE!</v>
      </c>
      <c r="GB52" s="22" t="e">
        <f aca="false">AND(#REF!,"AAAAAH/7vrc=")</f>
        <v>#VALUE!</v>
      </c>
      <c r="GC52" s="22" t="e">
        <f aca="false">AND(#REF!,"AAAAAH/7vrg=")</f>
        <v>#VALUE!</v>
      </c>
      <c r="GD52" s="22" t="e">
        <f aca="false">IF(#REF!,"AAAAAH/7vrk=",0)</f>
        <v>#REF!</v>
      </c>
      <c r="GE52" s="22" t="e">
        <f aca="false">AND(#REF!,"AAAAAH/7vro=")</f>
        <v>#VALUE!</v>
      </c>
      <c r="GF52" s="22" t="e">
        <f aca="false">AND(#REF!,"AAAAAH/7vrs=")</f>
        <v>#VALUE!</v>
      </c>
      <c r="GG52" s="22" t="e">
        <f aca="false">AND(#REF!,"AAAAAH/7vrw=")</f>
        <v>#VALUE!</v>
      </c>
      <c r="GH52" s="22" t="e">
        <f aca="false">AND(#REF!,"AAAAAH/7vr0=")</f>
        <v>#VALUE!</v>
      </c>
      <c r="GI52" s="22" t="e">
        <f aca="false">AND(#REF!,"AAAAAH/7vr4=")</f>
        <v>#VALUE!</v>
      </c>
      <c r="GJ52" s="22" t="e">
        <f aca="false">AND(#REF!,"AAAAAH/7vr8=")</f>
        <v>#VALUE!</v>
      </c>
      <c r="GK52" s="22" t="e">
        <f aca="false">IF(#REF!,"AAAAAH/7vsA=",0)</f>
        <v>#REF!</v>
      </c>
      <c r="GL52" s="22" t="e">
        <f aca="false">AND(#REF!,"AAAAAH/7vsE=")</f>
        <v>#VALUE!</v>
      </c>
      <c r="GM52" s="22" t="e">
        <f aca="false">AND(#REF!,"AAAAAH/7vsI=")</f>
        <v>#VALUE!</v>
      </c>
      <c r="GN52" s="22" t="e">
        <f aca="false">AND(#REF!,"AAAAAH/7vsM=")</f>
        <v>#VALUE!</v>
      </c>
      <c r="GO52" s="22" t="e">
        <f aca="false">AND(#REF!,"AAAAAH/7vsQ=")</f>
        <v>#VALUE!</v>
      </c>
      <c r="GP52" s="22" t="e">
        <f aca="false">AND(#REF!,"AAAAAH/7vsU=")</f>
        <v>#VALUE!</v>
      </c>
      <c r="GQ52" s="22" t="e">
        <f aca="false">AND(#REF!,"AAAAAH/7vsY=")</f>
        <v>#VALUE!</v>
      </c>
      <c r="GR52" s="22" t="e">
        <f aca="false">IF(#REF!,"AAAAAH/7vsc=",0)</f>
        <v>#REF!</v>
      </c>
      <c r="GS52" s="22" t="e">
        <f aca="false">AND(#REF!,"AAAAAH/7vsg=")</f>
        <v>#VALUE!</v>
      </c>
      <c r="GT52" s="22" t="e">
        <f aca="false">AND(#REF!,"AAAAAH/7vsk=")</f>
        <v>#VALUE!</v>
      </c>
      <c r="GU52" s="22" t="e">
        <f aca="false">AND(#REF!,"AAAAAH/7vso=")</f>
        <v>#VALUE!</v>
      </c>
      <c r="GV52" s="22" t="e">
        <f aca="false">AND(#REF!,"AAAAAH/7vss=")</f>
        <v>#VALUE!</v>
      </c>
      <c r="GW52" s="22" t="e">
        <f aca="false">AND(#REF!,"AAAAAH/7vsw=")</f>
        <v>#VALUE!</v>
      </c>
      <c r="GX52" s="22" t="e">
        <f aca="false">AND(#REF!,"AAAAAH/7vs0=")</f>
        <v>#VALUE!</v>
      </c>
      <c r="GY52" s="22" t="e">
        <f aca="false">IF(#REF!,"AAAAAH/7vs4=",0)</f>
        <v>#REF!</v>
      </c>
      <c r="GZ52" s="22" t="e">
        <f aca="false">AND(#REF!,"AAAAAH/7vs8=")</f>
        <v>#VALUE!</v>
      </c>
      <c r="HA52" s="22" t="e">
        <f aca="false">AND(#REF!,"AAAAAH/7vtA=")</f>
        <v>#VALUE!</v>
      </c>
      <c r="HB52" s="22" t="e">
        <f aca="false">AND(#REF!,"AAAAAH/7vtE=")</f>
        <v>#VALUE!</v>
      </c>
      <c r="HC52" s="22" t="e">
        <f aca="false">AND(#REF!,"AAAAAH/7vtI=")</f>
        <v>#VALUE!</v>
      </c>
      <c r="HD52" s="22" t="e">
        <f aca="false">AND(#REF!,"AAAAAH/7vtM=")</f>
        <v>#VALUE!</v>
      </c>
      <c r="HE52" s="22" t="e">
        <f aca="false">AND(#REF!,"AAAAAH/7vtQ=")</f>
        <v>#VALUE!</v>
      </c>
      <c r="HF52" s="22" t="e">
        <f aca="false">IF(#REF!,"AAAAAH/7vtU=",0)</f>
        <v>#REF!</v>
      </c>
      <c r="HG52" s="22" t="e">
        <f aca="false">AND(#REF!,"AAAAAH/7vtY=")</f>
        <v>#VALUE!</v>
      </c>
      <c r="HH52" s="22" t="e">
        <f aca="false">AND(#REF!,"AAAAAH/7vtc=")</f>
        <v>#VALUE!</v>
      </c>
      <c r="HI52" s="22" t="e">
        <f aca="false">AND(#REF!,"AAAAAH/7vtg=")</f>
        <v>#VALUE!</v>
      </c>
      <c r="HJ52" s="22" t="e">
        <f aca="false">AND(#REF!,"AAAAAH/7vtk=")</f>
        <v>#VALUE!</v>
      </c>
      <c r="HK52" s="22" t="e">
        <f aca="false">AND(#REF!,"AAAAAH/7vto=")</f>
        <v>#VALUE!</v>
      </c>
      <c r="HL52" s="22" t="e">
        <f aca="false">AND(#REF!,"AAAAAH/7vts=")</f>
        <v>#VALUE!</v>
      </c>
      <c r="HM52" s="22" t="e">
        <f aca="false">IF(#REF!,"AAAAAH/7vtw=",0)</f>
        <v>#REF!</v>
      </c>
      <c r="HN52" s="22" t="e">
        <f aca="false">AND(#REF!,"AAAAAH/7vt0=")</f>
        <v>#VALUE!</v>
      </c>
      <c r="HO52" s="22" t="e">
        <f aca="false">AND(#REF!,"AAAAAH/7vt4=")</f>
        <v>#VALUE!</v>
      </c>
      <c r="HP52" s="22" t="e">
        <f aca="false">AND(#REF!,"AAAAAH/7vt8=")</f>
        <v>#VALUE!</v>
      </c>
      <c r="HQ52" s="22" t="e">
        <f aca="false">AND(#REF!,"AAAAAH/7vuA=")</f>
        <v>#VALUE!</v>
      </c>
      <c r="HR52" s="22" t="e">
        <f aca="false">AND(#REF!,"AAAAAH/7vuE=")</f>
        <v>#VALUE!</v>
      </c>
      <c r="HS52" s="22" t="e">
        <f aca="false">AND(#REF!,"AAAAAH/7vuI=")</f>
        <v>#VALUE!</v>
      </c>
      <c r="HT52" s="22" t="e">
        <f aca="false">IF(#REF!,"AAAAAH/7vuM=",0)</f>
        <v>#REF!</v>
      </c>
      <c r="HU52" s="22" t="e">
        <f aca="false">AND(#REF!,"AAAAAH/7vuQ=")</f>
        <v>#VALUE!</v>
      </c>
      <c r="HV52" s="22" t="e">
        <f aca="false">AND(#REF!,"AAAAAH/7vuU=")</f>
        <v>#VALUE!</v>
      </c>
      <c r="HW52" s="22" t="e">
        <f aca="false">AND(#REF!,"AAAAAH/7vuY=")</f>
        <v>#VALUE!</v>
      </c>
      <c r="HX52" s="22" t="e">
        <f aca="false">AND(#REF!,"AAAAAH/7vuc=")</f>
        <v>#VALUE!</v>
      </c>
      <c r="HY52" s="22" t="e">
        <f aca="false">AND(#REF!,"AAAAAH/7vug=")</f>
        <v>#VALUE!</v>
      </c>
      <c r="HZ52" s="22" t="e">
        <f aca="false">AND(#REF!,"AAAAAH/7vuk=")</f>
        <v>#VALUE!</v>
      </c>
      <c r="IA52" s="22" t="e">
        <f aca="false">IF(#REF!,"AAAAAH/7vuo=",0)</f>
        <v>#REF!</v>
      </c>
      <c r="IB52" s="22" t="e">
        <f aca="false">AND(#REF!,"AAAAAH/7vus=")</f>
        <v>#VALUE!</v>
      </c>
      <c r="IC52" s="22" t="e">
        <f aca="false">AND(#REF!,"AAAAAH/7vuw=")</f>
        <v>#VALUE!</v>
      </c>
      <c r="ID52" s="22" t="e">
        <f aca="false">AND(#REF!,"AAAAAH/7vu0=")</f>
        <v>#VALUE!</v>
      </c>
      <c r="IE52" s="22" t="e">
        <f aca="false">AND(#REF!,"AAAAAH/7vu4=")</f>
        <v>#VALUE!</v>
      </c>
      <c r="IF52" s="22" t="e">
        <f aca="false">AND(#REF!,"AAAAAH/7vu8=")</f>
        <v>#VALUE!</v>
      </c>
      <c r="IG52" s="22" t="e">
        <f aca="false">AND(#REF!,"AAAAAH/7vvA=")</f>
        <v>#VALUE!</v>
      </c>
      <c r="IH52" s="22" t="e">
        <f aca="false">IF(#REF!,"AAAAAH/7vvE=",0)</f>
        <v>#REF!</v>
      </c>
      <c r="II52" s="22" t="e">
        <f aca="false">AND(#REF!,"AAAAAH/7vvI=")</f>
        <v>#VALUE!</v>
      </c>
      <c r="IJ52" s="22" t="e">
        <f aca="false">AND(#REF!,"AAAAAH/7vvM=")</f>
        <v>#VALUE!</v>
      </c>
      <c r="IK52" s="22" t="e">
        <f aca="false">AND(#REF!,"AAAAAH/7vvQ=")</f>
        <v>#VALUE!</v>
      </c>
      <c r="IL52" s="22" t="e">
        <f aca="false">AND(#REF!,"AAAAAH/7vvU=")</f>
        <v>#VALUE!</v>
      </c>
      <c r="IM52" s="22" t="e">
        <f aca="false">AND(#REF!,"AAAAAH/7vvY=")</f>
        <v>#VALUE!</v>
      </c>
      <c r="IN52" s="22" t="e">
        <f aca="false">AND(#REF!,"AAAAAH/7vvc=")</f>
        <v>#VALUE!</v>
      </c>
      <c r="IO52" s="22" t="e">
        <f aca="false">IF(#REF!,"AAAAAH/7vvg=",0)</f>
        <v>#REF!</v>
      </c>
      <c r="IP52" s="22" t="e">
        <f aca="false">AND(#REF!,"AAAAAH/7vvk=")</f>
        <v>#VALUE!</v>
      </c>
      <c r="IQ52" s="22" t="e">
        <f aca="false">AND(#REF!,"AAAAAH/7vvo=")</f>
        <v>#VALUE!</v>
      </c>
      <c r="IR52" s="22" t="e">
        <f aca="false">AND(#REF!,"AAAAAH/7vvs=")</f>
        <v>#VALUE!</v>
      </c>
      <c r="IS52" s="22" t="e">
        <f aca="false">AND(#REF!,"AAAAAH/7vvw=")</f>
        <v>#VALUE!</v>
      </c>
      <c r="IT52" s="22" t="e">
        <f aca="false">AND(#REF!,"AAAAAH/7vv0=")</f>
        <v>#VALUE!</v>
      </c>
      <c r="IU52" s="22" t="e">
        <f aca="false">AND(#REF!,"AAAAAH/7vv4=")</f>
        <v>#VALUE!</v>
      </c>
      <c r="IV52" s="22" t="e">
        <f aca="false">IF(#REF!,"AAAAAH/7vv8=",0)</f>
        <v>#REF!</v>
      </c>
    </row>
    <row r="53" customFormat="false" ht="12.75" hidden="false" customHeight="false" outlineLevel="0" collapsed="false">
      <c r="A53" s="22" t="e">
        <f aca="false">AND(#REF!,"AAAAAHXvPgA=")</f>
        <v>#VALUE!</v>
      </c>
      <c r="B53" s="22" t="e">
        <f aca="false">AND(#REF!,"AAAAAHXvPgE=")</f>
        <v>#VALUE!</v>
      </c>
      <c r="C53" s="22" t="e">
        <f aca="false">AND(#REF!,"AAAAAHXvPgI=")</f>
        <v>#VALUE!</v>
      </c>
      <c r="D53" s="22" t="e">
        <f aca="false">AND(#REF!,"AAAAAHXvPgM=")</f>
        <v>#VALUE!</v>
      </c>
      <c r="E53" s="22" t="e">
        <f aca="false">AND(#REF!,"AAAAAHXvPgQ=")</f>
        <v>#VALUE!</v>
      </c>
      <c r="F53" s="22" t="e">
        <f aca="false">AND(#REF!,"AAAAAHXvPgU=")</f>
        <v>#VALUE!</v>
      </c>
      <c r="G53" s="22" t="e">
        <f aca="false">IF(#REF!,"AAAAAHXvPgY=",0)</f>
        <v>#REF!</v>
      </c>
      <c r="H53" s="22" t="e">
        <f aca="false">AND(#REF!,"AAAAAHXvPgc=")</f>
        <v>#VALUE!</v>
      </c>
      <c r="I53" s="22" t="e">
        <f aca="false">AND(#REF!,"AAAAAHXvPgg=")</f>
        <v>#VALUE!</v>
      </c>
      <c r="J53" s="22" t="e">
        <f aca="false">AND(#REF!,"AAAAAHXvPgk=")</f>
        <v>#VALUE!</v>
      </c>
      <c r="K53" s="22" t="e">
        <f aca="false">AND(#REF!,"AAAAAHXvPgo=")</f>
        <v>#VALUE!</v>
      </c>
      <c r="L53" s="22" t="e">
        <f aca="false">AND(#REF!,"AAAAAHXvPgs=")</f>
        <v>#VALUE!</v>
      </c>
      <c r="M53" s="22" t="e">
        <f aca="false">AND(#REF!,"AAAAAHXvPgw=")</f>
        <v>#VALUE!</v>
      </c>
      <c r="N53" s="22" t="e">
        <f aca="false">IF(#REF!,"AAAAAHXvPg0=",0)</f>
        <v>#REF!</v>
      </c>
      <c r="O53" s="22" t="e">
        <f aca="false">AND(#REF!,"AAAAAHXvPg4=")</f>
        <v>#VALUE!</v>
      </c>
      <c r="P53" s="22" t="e">
        <f aca="false">AND(#REF!,"AAAAAHXvPg8=")</f>
        <v>#VALUE!</v>
      </c>
      <c r="Q53" s="22" t="e">
        <f aca="false">AND(#REF!,"AAAAAHXvPhA=")</f>
        <v>#VALUE!</v>
      </c>
      <c r="R53" s="22" t="e">
        <f aca="false">AND(#REF!,"AAAAAHXvPhE=")</f>
        <v>#VALUE!</v>
      </c>
      <c r="S53" s="22" t="e">
        <f aca="false">AND(#REF!,"AAAAAHXvPhI=")</f>
        <v>#VALUE!</v>
      </c>
      <c r="T53" s="22" t="e">
        <f aca="false">AND(#REF!,"AAAAAHXvPhM=")</f>
        <v>#VALUE!</v>
      </c>
      <c r="U53" s="22" t="e">
        <f aca="false">IF(#REF!,"AAAAAHXvPhQ=",0)</f>
        <v>#REF!</v>
      </c>
      <c r="V53" s="22" t="e">
        <f aca="false">AND(#REF!,"AAAAAHXvPhU=")</f>
        <v>#VALUE!</v>
      </c>
      <c r="W53" s="22" t="e">
        <f aca="false">AND(#REF!,"AAAAAHXvPhY=")</f>
        <v>#VALUE!</v>
      </c>
      <c r="X53" s="22" t="e">
        <f aca="false">AND(#REF!,"AAAAAHXvPhc=")</f>
        <v>#VALUE!</v>
      </c>
      <c r="Y53" s="22" t="e">
        <f aca="false">AND(#REF!,"AAAAAHXvPhg=")</f>
        <v>#VALUE!</v>
      </c>
      <c r="Z53" s="22" t="e">
        <f aca="false">AND(#REF!,"AAAAAHXvPhk=")</f>
        <v>#VALUE!</v>
      </c>
      <c r="AA53" s="22" t="e">
        <f aca="false">AND(#REF!,"AAAAAHXvPho=")</f>
        <v>#VALUE!</v>
      </c>
      <c r="AB53" s="22" t="e">
        <f aca="false">IF(#REF!,"AAAAAHXvPhs=",0)</f>
        <v>#REF!</v>
      </c>
      <c r="AC53" s="22" t="e">
        <f aca="false">AND(#REF!,"AAAAAHXvPhw=")</f>
        <v>#VALUE!</v>
      </c>
      <c r="AD53" s="22" t="e">
        <f aca="false">AND(#REF!,"AAAAAHXvPh0=")</f>
        <v>#VALUE!</v>
      </c>
      <c r="AE53" s="22" t="e">
        <f aca="false">AND(#REF!,"AAAAAHXvPh4=")</f>
        <v>#VALUE!</v>
      </c>
      <c r="AF53" s="22" t="e">
        <f aca="false">AND(#REF!,"AAAAAHXvPh8=")</f>
        <v>#VALUE!</v>
      </c>
      <c r="AG53" s="22" t="e">
        <f aca="false">AND(#REF!,"AAAAAHXvPiA=")</f>
        <v>#VALUE!</v>
      </c>
      <c r="AH53" s="22" t="e">
        <f aca="false">AND(#REF!,"AAAAAHXvPiE=")</f>
        <v>#VALUE!</v>
      </c>
      <c r="AI53" s="22" t="e">
        <f aca="false">IF(#REF!,"AAAAAHXvPiI=",0)</f>
        <v>#REF!</v>
      </c>
      <c r="AJ53" s="22" t="e">
        <f aca="false">AND(#REF!,"AAAAAHXvPiM=")</f>
        <v>#VALUE!</v>
      </c>
      <c r="AK53" s="22" t="e">
        <f aca="false">AND(#REF!,"AAAAAHXvPiQ=")</f>
        <v>#VALUE!</v>
      </c>
      <c r="AL53" s="22" t="e">
        <f aca="false">AND(#REF!,"AAAAAHXvPiU=")</f>
        <v>#VALUE!</v>
      </c>
      <c r="AM53" s="22" t="e">
        <f aca="false">AND(#REF!,"AAAAAHXvPiY=")</f>
        <v>#VALUE!</v>
      </c>
      <c r="AN53" s="22" t="e">
        <f aca="false">AND(#REF!,"AAAAAHXvPic=")</f>
        <v>#VALUE!</v>
      </c>
      <c r="AO53" s="22" t="e">
        <f aca="false">AND(#REF!,"AAAAAHXvPig=")</f>
        <v>#VALUE!</v>
      </c>
      <c r="AP53" s="22" t="e">
        <f aca="false">IF(#REF!,"AAAAAHXvPik=",0)</f>
        <v>#REF!</v>
      </c>
      <c r="AQ53" s="22" t="e">
        <f aca="false">AND(#REF!,"AAAAAHXvPio=")</f>
        <v>#VALUE!</v>
      </c>
      <c r="AR53" s="22" t="e">
        <f aca="false">AND(#REF!,"AAAAAHXvPis=")</f>
        <v>#VALUE!</v>
      </c>
      <c r="AS53" s="22" t="e">
        <f aca="false">AND(#REF!,"AAAAAHXvPiw=")</f>
        <v>#VALUE!</v>
      </c>
      <c r="AT53" s="22" t="e">
        <f aca="false">AND(#REF!,"AAAAAHXvPi0=")</f>
        <v>#VALUE!</v>
      </c>
      <c r="AU53" s="22" t="e">
        <f aca="false">AND(#REF!,"AAAAAHXvPi4=")</f>
        <v>#VALUE!</v>
      </c>
      <c r="AV53" s="22" t="e">
        <f aca="false">AND(#REF!,"AAAAAHXvPi8=")</f>
        <v>#VALUE!</v>
      </c>
      <c r="AW53" s="22" t="e">
        <f aca="false">IF(#REF!,"AAAAAHXvPjA=",0)</f>
        <v>#REF!</v>
      </c>
      <c r="AX53" s="22" t="e">
        <f aca="false">AND(#REF!,"AAAAAHXvPjE=")</f>
        <v>#VALUE!</v>
      </c>
      <c r="AY53" s="22" t="e">
        <f aca="false">AND(#REF!,"AAAAAHXvPjI=")</f>
        <v>#VALUE!</v>
      </c>
      <c r="AZ53" s="22" t="e">
        <f aca="false">AND(#REF!,"AAAAAHXvPjM=")</f>
        <v>#VALUE!</v>
      </c>
      <c r="BA53" s="22" t="e">
        <f aca="false">AND(#REF!,"AAAAAHXvPjQ=")</f>
        <v>#VALUE!</v>
      </c>
      <c r="BB53" s="22" t="e">
        <f aca="false">AND(#REF!,"AAAAAHXvPjU=")</f>
        <v>#VALUE!</v>
      </c>
      <c r="BC53" s="22" t="e">
        <f aca="false">AND(#REF!,"AAAAAHXvPjY=")</f>
        <v>#VALUE!</v>
      </c>
      <c r="BD53" s="22" t="e">
        <f aca="false">IF(#REF!,"AAAAAHXvPjc=",0)</f>
        <v>#REF!</v>
      </c>
      <c r="BE53" s="22" t="e">
        <f aca="false">AND(#REF!,"AAAAAHXvPjg=")</f>
        <v>#VALUE!</v>
      </c>
      <c r="BF53" s="22" t="e">
        <f aca="false">AND(#REF!,"AAAAAHXvPjk=")</f>
        <v>#VALUE!</v>
      </c>
      <c r="BG53" s="22" t="e">
        <f aca="false">AND(#REF!,"AAAAAHXvPjo=")</f>
        <v>#VALUE!</v>
      </c>
      <c r="BH53" s="22" t="e">
        <f aca="false">AND(#REF!,"AAAAAHXvPjs=")</f>
        <v>#VALUE!</v>
      </c>
      <c r="BI53" s="22" t="e">
        <f aca="false">AND(#REF!,"AAAAAHXvPjw=")</f>
        <v>#VALUE!</v>
      </c>
      <c r="BJ53" s="22" t="e">
        <f aca="false">AND(#REF!,"AAAAAHXvPj0=")</f>
        <v>#VALUE!</v>
      </c>
      <c r="BK53" s="22" t="e">
        <f aca="false">IF(#REF!,"AAAAAHXvPj4=",0)</f>
        <v>#REF!</v>
      </c>
      <c r="BL53" s="22" t="e">
        <f aca="false">AND(#REF!,"AAAAAHXvPj8=")</f>
        <v>#VALUE!</v>
      </c>
      <c r="BM53" s="22" t="e">
        <f aca="false">AND(#REF!,"AAAAAHXvPkA=")</f>
        <v>#VALUE!</v>
      </c>
      <c r="BN53" s="22" t="e">
        <f aca="false">AND(#REF!,"AAAAAHXvPkE=")</f>
        <v>#VALUE!</v>
      </c>
      <c r="BO53" s="22" t="e">
        <f aca="false">AND(#REF!,"AAAAAHXvPkI=")</f>
        <v>#VALUE!</v>
      </c>
      <c r="BP53" s="22" t="e">
        <f aca="false">AND(#REF!,"AAAAAHXvPkM=")</f>
        <v>#VALUE!</v>
      </c>
      <c r="BQ53" s="22" t="e">
        <f aca="false">AND(#REF!,"AAAAAHXvPkQ=")</f>
        <v>#VALUE!</v>
      </c>
      <c r="BR53" s="22" t="e">
        <f aca="false">IF(#REF!,"AAAAAHXvPkU=",0)</f>
        <v>#REF!</v>
      </c>
      <c r="BS53" s="22" t="e">
        <f aca="false">AND(#REF!,"AAAAAHXvPkY=")</f>
        <v>#VALUE!</v>
      </c>
      <c r="BT53" s="22" t="e">
        <f aca="false">AND(#REF!,"AAAAAHXvPkc=")</f>
        <v>#VALUE!</v>
      </c>
      <c r="BU53" s="22" t="e">
        <f aca="false">AND(#REF!,"AAAAAHXvPkg=")</f>
        <v>#VALUE!</v>
      </c>
      <c r="BV53" s="22" t="e">
        <f aca="false">AND(#REF!,"AAAAAHXvPkk=")</f>
        <v>#VALUE!</v>
      </c>
      <c r="BW53" s="22" t="e">
        <f aca="false">AND(#REF!,"AAAAAHXvPko=")</f>
        <v>#VALUE!</v>
      </c>
      <c r="BX53" s="22" t="e">
        <f aca="false">AND(#REF!,"AAAAAHXvPks=")</f>
        <v>#VALUE!</v>
      </c>
      <c r="BY53" s="22" t="e">
        <f aca="false">IF(#REF!,"AAAAAHXvPkw=",0)</f>
        <v>#REF!</v>
      </c>
      <c r="BZ53" s="22" t="e">
        <f aca="false">AND(#REF!,"AAAAAHXvPk0=")</f>
        <v>#VALUE!</v>
      </c>
      <c r="CA53" s="22" t="e">
        <f aca="false">AND(#REF!,"AAAAAHXvPk4=")</f>
        <v>#VALUE!</v>
      </c>
      <c r="CB53" s="22" t="e">
        <f aca="false">AND(#REF!,"AAAAAHXvPk8=")</f>
        <v>#VALUE!</v>
      </c>
      <c r="CC53" s="22" t="e">
        <f aca="false">AND(#REF!,"AAAAAHXvPlA=")</f>
        <v>#VALUE!</v>
      </c>
      <c r="CD53" s="22" t="e">
        <f aca="false">AND(#REF!,"AAAAAHXvPlE=")</f>
        <v>#VALUE!</v>
      </c>
      <c r="CE53" s="22" t="e">
        <f aca="false">AND(#REF!,"AAAAAHXvPlI=")</f>
        <v>#VALUE!</v>
      </c>
      <c r="CF53" s="22" t="e">
        <f aca="false">IF(#REF!,"AAAAAHXvPlM=",0)</f>
        <v>#REF!</v>
      </c>
      <c r="CG53" s="22" t="e">
        <f aca="false">AND(#REF!,"AAAAAHXvPlQ=")</f>
        <v>#VALUE!</v>
      </c>
      <c r="CH53" s="22" t="e">
        <f aca="false">AND(#REF!,"AAAAAHXvPlU=")</f>
        <v>#VALUE!</v>
      </c>
      <c r="CI53" s="22" t="e">
        <f aca="false">AND(#REF!,"AAAAAHXvPlY=")</f>
        <v>#VALUE!</v>
      </c>
      <c r="CJ53" s="22" t="e">
        <f aca="false">AND(#REF!,"AAAAAHXvPlc=")</f>
        <v>#VALUE!</v>
      </c>
      <c r="CK53" s="22" t="e">
        <f aca="false">AND(#REF!,"AAAAAHXvPlg=")</f>
        <v>#VALUE!</v>
      </c>
      <c r="CL53" s="22" t="e">
        <f aca="false">AND(#REF!,"AAAAAHXvPlk=")</f>
        <v>#VALUE!</v>
      </c>
      <c r="CM53" s="22" t="e">
        <f aca="false">IF(#REF!,"AAAAAHXvPlo=",0)</f>
        <v>#REF!</v>
      </c>
      <c r="CN53" s="22" t="e">
        <f aca="false">AND(#REF!,"AAAAAHXvPls=")</f>
        <v>#VALUE!</v>
      </c>
      <c r="CO53" s="22" t="e">
        <f aca="false">AND(#REF!,"AAAAAHXvPlw=")</f>
        <v>#VALUE!</v>
      </c>
      <c r="CP53" s="22" t="e">
        <f aca="false">AND(#REF!,"AAAAAHXvPl0=")</f>
        <v>#VALUE!</v>
      </c>
      <c r="CQ53" s="22" t="e">
        <f aca="false">AND(#REF!,"AAAAAHXvPl4=")</f>
        <v>#VALUE!</v>
      </c>
      <c r="CR53" s="22" t="e">
        <f aca="false">AND(#REF!,"AAAAAHXvPl8=")</f>
        <v>#VALUE!</v>
      </c>
      <c r="CS53" s="22" t="e">
        <f aca="false">AND(#REF!,"AAAAAHXvPmA=")</f>
        <v>#VALUE!</v>
      </c>
      <c r="CT53" s="22" t="e">
        <f aca="false">IF(#REF!,"AAAAAHXvPmE=",0)</f>
        <v>#REF!</v>
      </c>
      <c r="CU53" s="22" t="e">
        <f aca="false">AND(#REF!,"AAAAAHXvPmI=")</f>
        <v>#VALUE!</v>
      </c>
      <c r="CV53" s="22" t="e">
        <f aca="false">AND(#REF!,"AAAAAHXvPmM=")</f>
        <v>#VALUE!</v>
      </c>
      <c r="CW53" s="22" t="e">
        <f aca="false">AND(#REF!,"AAAAAHXvPmQ=")</f>
        <v>#VALUE!</v>
      </c>
      <c r="CX53" s="22" t="e">
        <f aca="false">AND(#REF!,"AAAAAHXvPmU=")</f>
        <v>#VALUE!</v>
      </c>
      <c r="CY53" s="22" t="e">
        <f aca="false">AND(#REF!,"AAAAAHXvPmY=")</f>
        <v>#VALUE!</v>
      </c>
      <c r="CZ53" s="22" t="e">
        <f aca="false">AND(#REF!,"AAAAAHXvPmc=")</f>
        <v>#VALUE!</v>
      </c>
      <c r="DA53" s="22" t="e">
        <f aca="false">IF(#REF!,"AAAAAHXvPmg=",0)</f>
        <v>#REF!</v>
      </c>
      <c r="DB53" s="22" t="e">
        <f aca="false">AND(#REF!,"AAAAAHXvPmk=")</f>
        <v>#VALUE!</v>
      </c>
      <c r="DC53" s="22" t="e">
        <f aca="false">AND(#REF!,"AAAAAHXvPmo=")</f>
        <v>#VALUE!</v>
      </c>
      <c r="DD53" s="22" t="e">
        <f aca="false">AND(#REF!,"AAAAAHXvPms=")</f>
        <v>#VALUE!</v>
      </c>
      <c r="DE53" s="22" t="e">
        <f aca="false">AND(#REF!,"AAAAAHXvPmw=")</f>
        <v>#VALUE!</v>
      </c>
      <c r="DF53" s="22" t="e">
        <f aca="false">AND(#REF!,"AAAAAHXvPm0=")</f>
        <v>#VALUE!</v>
      </c>
      <c r="DG53" s="22" t="e">
        <f aca="false">AND(#REF!,"AAAAAHXvPm4=")</f>
        <v>#VALUE!</v>
      </c>
      <c r="DH53" s="22" t="e">
        <f aca="false">IF(#REF!,"AAAAAHXvPm8=",0)</f>
        <v>#REF!</v>
      </c>
      <c r="DI53" s="22" t="e">
        <f aca="false">AND(#REF!,"AAAAAHXvPnA=")</f>
        <v>#VALUE!</v>
      </c>
      <c r="DJ53" s="22" t="e">
        <f aca="false">AND(#REF!,"AAAAAHXvPnE=")</f>
        <v>#VALUE!</v>
      </c>
      <c r="DK53" s="22" t="e">
        <f aca="false">AND(#REF!,"AAAAAHXvPnI=")</f>
        <v>#VALUE!</v>
      </c>
      <c r="DL53" s="22" t="e">
        <f aca="false">AND(#REF!,"AAAAAHXvPnM=")</f>
        <v>#VALUE!</v>
      </c>
      <c r="DM53" s="22" t="e">
        <f aca="false">AND(#REF!,"AAAAAHXvPnQ=")</f>
        <v>#VALUE!</v>
      </c>
      <c r="DN53" s="22" t="e">
        <f aca="false">AND(#REF!,"AAAAAHXvPnU=")</f>
        <v>#VALUE!</v>
      </c>
      <c r="DO53" s="22" t="e">
        <f aca="false">IF(#REF!,"AAAAAHXvPnY=",0)</f>
        <v>#REF!</v>
      </c>
      <c r="DP53" s="22" t="e">
        <f aca="false">AND(#REF!,"AAAAAHXvPnc=")</f>
        <v>#VALUE!</v>
      </c>
      <c r="DQ53" s="22" t="e">
        <f aca="false">AND(#REF!,"AAAAAHXvPng=")</f>
        <v>#VALUE!</v>
      </c>
      <c r="DR53" s="22" t="e">
        <f aca="false">AND(#REF!,"AAAAAHXvPnk=")</f>
        <v>#VALUE!</v>
      </c>
      <c r="DS53" s="22" t="e">
        <f aca="false">AND(#REF!,"AAAAAHXvPno=")</f>
        <v>#VALUE!</v>
      </c>
      <c r="DT53" s="22" t="e">
        <f aca="false">AND(#REF!,"AAAAAHXvPns=")</f>
        <v>#VALUE!</v>
      </c>
      <c r="DU53" s="22" t="e">
        <f aca="false">AND(#REF!,"AAAAAHXvPnw=")</f>
        <v>#VALUE!</v>
      </c>
      <c r="DV53" s="22" t="e">
        <f aca="false">IF(#REF!,"AAAAAHXvPn0=",0)</f>
        <v>#REF!</v>
      </c>
      <c r="DW53" s="22" t="e">
        <f aca="false">AND(#REF!,"AAAAAHXvPn4=")</f>
        <v>#VALUE!</v>
      </c>
      <c r="DX53" s="22" t="e">
        <f aca="false">AND(#REF!,"AAAAAHXvPn8=")</f>
        <v>#VALUE!</v>
      </c>
      <c r="DY53" s="22" t="e">
        <f aca="false">AND(#REF!,"AAAAAHXvPoA=")</f>
        <v>#VALUE!</v>
      </c>
      <c r="DZ53" s="22" t="e">
        <f aca="false">AND(#REF!,"AAAAAHXvPoE=")</f>
        <v>#VALUE!</v>
      </c>
      <c r="EA53" s="22" t="e">
        <f aca="false">AND(#REF!,"AAAAAHXvPoI=")</f>
        <v>#VALUE!</v>
      </c>
      <c r="EB53" s="22" t="e">
        <f aca="false">AND(#REF!,"AAAAAHXvPoM=")</f>
        <v>#VALUE!</v>
      </c>
      <c r="EC53" s="22" t="e">
        <f aca="false">IF(#REF!,"AAAAAHXvPoQ=",0)</f>
        <v>#REF!</v>
      </c>
      <c r="ED53" s="22" t="e">
        <f aca="false">AND(#REF!,"AAAAAHXvPoU=")</f>
        <v>#VALUE!</v>
      </c>
      <c r="EE53" s="22" t="e">
        <f aca="false">AND(#REF!,"AAAAAHXvPoY=")</f>
        <v>#VALUE!</v>
      </c>
      <c r="EF53" s="22" t="e">
        <f aca="false">AND(#REF!,"AAAAAHXvPoc=")</f>
        <v>#VALUE!</v>
      </c>
      <c r="EG53" s="22" t="e">
        <f aca="false">AND(#REF!,"AAAAAHXvPog=")</f>
        <v>#VALUE!</v>
      </c>
      <c r="EH53" s="22" t="e">
        <f aca="false">AND(#REF!,"AAAAAHXvPok=")</f>
        <v>#VALUE!</v>
      </c>
      <c r="EI53" s="22" t="e">
        <f aca="false">AND(#REF!,"AAAAAHXvPoo=")</f>
        <v>#VALUE!</v>
      </c>
      <c r="EJ53" s="22" t="e">
        <f aca="false">IF(#REF!,"AAAAAHXvPos=",0)</f>
        <v>#REF!</v>
      </c>
      <c r="EK53" s="22" t="e">
        <f aca="false">AND(#REF!,"AAAAAHXvPow=")</f>
        <v>#VALUE!</v>
      </c>
      <c r="EL53" s="22" t="e">
        <f aca="false">AND(#REF!,"AAAAAHXvPo0=")</f>
        <v>#VALUE!</v>
      </c>
      <c r="EM53" s="22" t="e">
        <f aca="false">AND(#REF!,"AAAAAHXvPo4=")</f>
        <v>#VALUE!</v>
      </c>
      <c r="EN53" s="22" t="e">
        <f aca="false">AND(#REF!,"AAAAAHXvPo8=")</f>
        <v>#VALUE!</v>
      </c>
      <c r="EO53" s="22" t="e">
        <f aca="false">AND(#REF!,"AAAAAHXvPpA=")</f>
        <v>#VALUE!</v>
      </c>
      <c r="EP53" s="22" t="e">
        <f aca="false">AND(#REF!,"AAAAAHXvPpE=")</f>
        <v>#VALUE!</v>
      </c>
      <c r="EQ53" s="22" t="e">
        <f aca="false">IF(#REF!,"AAAAAHXvPpI=",0)</f>
        <v>#REF!</v>
      </c>
      <c r="ER53" s="22" t="e">
        <f aca="false">AND(#REF!,"AAAAAHXvPpM=")</f>
        <v>#VALUE!</v>
      </c>
      <c r="ES53" s="22" t="e">
        <f aca="false">AND(#REF!,"AAAAAHXvPpQ=")</f>
        <v>#VALUE!</v>
      </c>
      <c r="ET53" s="22" t="e">
        <f aca="false">AND(#REF!,"AAAAAHXvPpU=")</f>
        <v>#VALUE!</v>
      </c>
      <c r="EU53" s="22" t="e">
        <f aca="false">AND(#REF!,"AAAAAHXvPpY=")</f>
        <v>#VALUE!</v>
      </c>
      <c r="EV53" s="22" t="e">
        <f aca="false">AND(#REF!,"AAAAAHXvPpc=")</f>
        <v>#VALUE!</v>
      </c>
      <c r="EW53" s="22" t="e">
        <f aca="false">AND(#REF!,"AAAAAHXvPpg=")</f>
        <v>#VALUE!</v>
      </c>
      <c r="EX53" s="22" t="e">
        <f aca="false">IF(#REF!,"AAAAAHXvPpk=",0)</f>
        <v>#REF!</v>
      </c>
      <c r="EY53" s="22" t="e">
        <f aca="false">AND(#REF!,"AAAAAHXvPpo=")</f>
        <v>#VALUE!</v>
      </c>
      <c r="EZ53" s="22" t="e">
        <f aca="false">AND(#REF!,"AAAAAHXvPps=")</f>
        <v>#VALUE!</v>
      </c>
      <c r="FA53" s="22" t="e">
        <f aca="false">AND(#REF!,"AAAAAHXvPpw=")</f>
        <v>#VALUE!</v>
      </c>
      <c r="FB53" s="22" t="e">
        <f aca="false">AND(#REF!,"AAAAAHXvPp0=")</f>
        <v>#VALUE!</v>
      </c>
      <c r="FC53" s="22" t="e">
        <f aca="false">AND(#REF!,"AAAAAHXvPp4=")</f>
        <v>#VALUE!</v>
      </c>
      <c r="FD53" s="22" t="e">
        <f aca="false">AND(#REF!,"AAAAAHXvPp8=")</f>
        <v>#VALUE!</v>
      </c>
      <c r="FE53" s="22" t="e">
        <f aca="false">IF(#REF!,"AAAAAHXvPqA=",0)</f>
        <v>#REF!</v>
      </c>
      <c r="FF53" s="22" t="e">
        <f aca="false">AND(#REF!,"AAAAAHXvPqE=")</f>
        <v>#VALUE!</v>
      </c>
      <c r="FG53" s="22" t="e">
        <f aca="false">AND(#REF!,"AAAAAHXvPqI=")</f>
        <v>#VALUE!</v>
      </c>
      <c r="FH53" s="22" t="e">
        <f aca="false">AND(#REF!,"AAAAAHXvPqM=")</f>
        <v>#VALUE!</v>
      </c>
      <c r="FI53" s="22" t="e">
        <f aca="false">AND(#REF!,"AAAAAHXvPqQ=")</f>
        <v>#VALUE!</v>
      </c>
      <c r="FJ53" s="22" t="e">
        <f aca="false">AND(#REF!,"AAAAAHXvPqU=")</f>
        <v>#VALUE!</v>
      </c>
      <c r="FK53" s="22" t="e">
        <f aca="false">AND(#REF!,"AAAAAHXvPqY=")</f>
        <v>#VALUE!</v>
      </c>
      <c r="FL53" s="22" t="e">
        <f aca="false">IF(#REF!,"AAAAAHXvPqc=",0)</f>
        <v>#REF!</v>
      </c>
      <c r="FM53" s="22" t="e">
        <f aca="false">AND(#REF!,"AAAAAHXvPqg=")</f>
        <v>#VALUE!</v>
      </c>
      <c r="FN53" s="22" t="e">
        <f aca="false">AND(#REF!,"AAAAAHXvPqk=")</f>
        <v>#VALUE!</v>
      </c>
      <c r="FO53" s="22" t="e">
        <f aca="false">AND(#REF!,"AAAAAHXvPqo=")</f>
        <v>#VALUE!</v>
      </c>
      <c r="FP53" s="22" t="e">
        <f aca="false">AND(#REF!,"AAAAAHXvPqs=")</f>
        <v>#VALUE!</v>
      </c>
      <c r="FQ53" s="22" t="e">
        <f aca="false">AND(#REF!,"AAAAAHXvPqw=")</f>
        <v>#VALUE!</v>
      </c>
      <c r="FR53" s="22" t="e">
        <f aca="false">AND(#REF!,"AAAAAHXvPq0=")</f>
        <v>#VALUE!</v>
      </c>
      <c r="FS53" s="22" t="e">
        <f aca="false">IF(#REF!,"AAAAAHXvPq4=",0)</f>
        <v>#REF!</v>
      </c>
      <c r="FT53" s="22" t="e">
        <f aca="false">AND(#REF!,"AAAAAHXvPq8=")</f>
        <v>#VALUE!</v>
      </c>
      <c r="FU53" s="22" t="e">
        <f aca="false">AND(#REF!,"AAAAAHXvPrA=")</f>
        <v>#VALUE!</v>
      </c>
      <c r="FV53" s="22" t="e">
        <f aca="false">AND(#REF!,"AAAAAHXvPrE=")</f>
        <v>#VALUE!</v>
      </c>
      <c r="FW53" s="22" t="e">
        <f aca="false">AND(#REF!,"AAAAAHXvPrI=")</f>
        <v>#VALUE!</v>
      </c>
      <c r="FX53" s="22" t="e">
        <f aca="false">AND(#REF!,"AAAAAHXvPrM=")</f>
        <v>#VALUE!</v>
      </c>
      <c r="FY53" s="22" t="e">
        <f aca="false">AND(#REF!,"AAAAAHXvPrQ=")</f>
        <v>#VALUE!</v>
      </c>
      <c r="FZ53" s="22" t="e">
        <f aca="false">IF(#REF!,"AAAAAHXvPrU=",0)</f>
        <v>#REF!</v>
      </c>
      <c r="GA53" s="22" t="e">
        <f aca="false">AND(#REF!,"AAAAAHXvPrY=")</f>
        <v>#VALUE!</v>
      </c>
      <c r="GB53" s="22" t="e">
        <f aca="false">AND(#REF!,"AAAAAHXvPrc=")</f>
        <v>#VALUE!</v>
      </c>
      <c r="GC53" s="22" t="e">
        <f aca="false">AND(#REF!,"AAAAAHXvPrg=")</f>
        <v>#VALUE!</v>
      </c>
      <c r="GD53" s="22" t="e">
        <f aca="false">AND(#REF!,"AAAAAHXvPrk=")</f>
        <v>#VALUE!</v>
      </c>
      <c r="GE53" s="22" t="e">
        <f aca="false">AND(#REF!,"AAAAAHXvPro=")</f>
        <v>#VALUE!</v>
      </c>
      <c r="GF53" s="22" t="e">
        <f aca="false">AND(#REF!,"AAAAAHXvPrs=")</f>
        <v>#VALUE!</v>
      </c>
      <c r="GG53" s="22" t="e">
        <f aca="false">IF(#REF!,"AAAAAHXvPrw=",0)</f>
        <v>#REF!</v>
      </c>
      <c r="GH53" s="22" t="e">
        <f aca="false">AND(#REF!,"AAAAAHXvPr0=")</f>
        <v>#VALUE!</v>
      </c>
      <c r="GI53" s="22" t="e">
        <f aca="false">AND(#REF!,"AAAAAHXvPr4=")</f>
        <v>#VALUE!</v>
      </c>
      <c r="GJ53" s="22" t="e">
        <f aca="false">AND(#REF!,"AAAAAHXvPr8=")</f>
        <v>#VALUE!</v>
      </c>
      <c r="GK53" s="22" t="e">
        <f aca="false">AND(#REF!,"AAAAAHXvPsA=")</f>
        <v>#VALUE!</v>
      </c>
      <c r="GL53" s="22" t="e">
        <f aca="false">AND(#REF!,"AAAAAHXvPsE=")</f>
        <v>#VALUE!</v>
      </c>
      <c r="GM53" s="22" t="e">
        <f aca="false">AND(#REF!,"AAAAAHXvPsI=")</f>
        <v>#VALUE!</v>
      </c>
      <c r="GN53" s="22" t="e">
        <f aca="false">IF(#REF!,"AAAAAHXvPsM=",0)</f>
        <v>#REF!</v>
      </c>
      <c r="GO53" s="22" t="e">
        <f aca="false">AND(#REF!,"AAAAAHXvPsQ=")</f>
        <v>#VALUE!</v>
      </c>
      <c r="GP53" s="22" t="e">
        <f aca="false">AND(#REF!,"AAAAAHXvPsU=")</f>
        <v>#VALUE!</v>
      </c>
      <c r="GQ53" s="22" t="e">
        <f aca="false">AND(#REF!,"AAAAAHXvPsY=")</f>
        <v>#VALUE!</v>
      </c>
      <c r="GR53" s="22" t="e">
        <f aca="false">AND(#REF!,"AAAAAHXvPsc=")</f>
        <v>#VALUE!</v>
      </c>
      <c r="GS53" s="22" t="e">
        <f aca="false">AND(#REF!,"AAAAAHXvPsg=")</f>
        <v>#VALUE!</v>
      </c>
      <c r="GT53" s="22" t="e">
        <f aca="false">AND(#REF!,"AAAAAHXvPsk=")</f>
        <v>#VALUE!</v>
      </c>
      <c r="GU53" s="22" t="e">
        <f aca="false">IF(#REF!,"AAAAAHXvPso=",0)</f>
        <v>#REF!</v>
      </c>
      <c r="GV53" s="22" t="e">
        <f aca="false">AND(#REF!,"AAAAAHXvPss=")</f>
        <v>#VALUE!</v>
      </c>
      <c r="GW53" s="22" t="e">
        <f aca="false">AND(#REF!,"AAAAAHXvPsw=")</f>
        <v>#VALUE!</v>
      </c>
      <c r="GX53" s="22" t="e">
        <f aca="false">AND(#REF!,"AAAAAHXvPs0=")</f>
        <v>#VALUE!</v>
      </c>
      <c r="GY53" s="22" t="e">
        <f aca="false">AND(#REF!,"AAAAAHXvPs4=")</f>
        <v>#VALUE!</v>
      </c>
      <c r="GZ53" s="22" t="e">
        <f aca="false">AND(#REF!,"AAAAAHXvPs8=")</f>
        <v>#VALUE!</v>
      </c>
      <c r="HA53" s="22" t="e">
        <f aca="false">AND(#REF!,"AAAAAHXvPtA=")</f>
        <v>#VALUE!</v>
      </c>
      <c r="HB53" s="22" t="e">
        <f aca="false">IF(#REF!,"AAAAAHXvPtE=",0)</f>
        <v>#REF!</v>
      </c>
      <c r="HC53" s="22" t="e">
        <f aca="false">AND(#REF!,"AAAAAHXvPtI=")</f>
        <v>#VALUE!</v>
      </c>
      <c r="HD53" s="22" t="e">
        <f aca="false">AND(#REF!,"AAAAAHXvPtM=")</f>
        <v>#VALUE!</v>
      </c>
      <c r="HE53" s="22" t="e">
        <f aca="false">AND(#REF!,"AAAAAHXvPtQ=")</f>
        <v>#VALUE!</v>
      </c>
      <c r="HF53" s="22" t="e">
        <f aca="false">AND(#REF!,"AAAAAHXvPtU=")</f>
        <v>#VALUE!</v>
      </c>
      <c r="HG53" s="22" t="e">
        <f aca="false">AND(#REF!,"AAAAAHXvPtY=")</f>
        <v>#VALUE!</v>
      </c>
      <c r="HH53" s="22" t="e">
        <f aca="false">AND(#REF!,"AAAAAHXvPtc=")</f>
        <v>#VALUE!</v>
      </c>
      <c r="HI53" s="22" t="e">
        <f aca="false">IF(#REF!,"AAAAAHXvPtg=",0)</f>
        <v>#REF!</v>
      </c>
      <c r="HJ53" s="22" t="e">
        <f aca="false">AND(#REF!,"AAAAAHXvPtk=")</f>
        <v>#VALUE!</v>
      </c>
      <c r="HK53" s="22" t="e">
        <f aca="false">AND(#REF!,"AAAAAHXvPto=")</f>
        <v>#VALUE!</v>
      </c>
      <c r="HL53" s="22" t="e">
        <f aca="false">AND(#REF!,"AAAAAHXvPts=")</f>
        <v>#VALUE!</v>
      </c>
      <c r="HM53" s="22" t="e">
        <f aca="false">AND(#REF!,"AAAAAHXvPtw=")</f>
        <v>#VALUE!</v>
      </c>
      <c r="HN53" s="22" t="e">
        <f aca="false">AND(#REF!,"AAAAAHXvPt0=")</f>
        <v>#VALUE!</v>
      </c>
      <c r="HO53" s="22" t="e">
        <f aca="false">AND(#REF!,"AAAAAHXvPt4=")</f>
        <v>#VALUE!</v>
      </c>
      <c r="HP53" s="22" t="e">
        <f aca="false">IF(#REF!,"AAAAAHXvPt8=",0)</f>
        <v>#REF!</v>
      </c>
      <c r="HQ53" s="22" t="e">
        <f aca="false">AND(#REF!,"AAAAAHXvPuA=")</f>
        <v>#VALUE!</v>
      </c>
      <c r="HR53" s="22" t="e">
        <f aca="false">AND(#REF!,"AAAAAHXvPuE=")</f>
        <v>#VALUE!</v>
      </c>
      <c r="HS53" s="22" t="e">
        <f aca="false">AND(#REF!,"AAAAAHXvPuI=")</f>
        <v>#VALUE!</v>
      </c>
      <c r="HT53" s="22" t="e">
        <f aca="false">AND(#REF!,"AAAAAHXvPuM=")</f>
        <v>#VALUE!</v>
      </c>
      <c r="HU53" s="22" t="e">
        <f aca="false">AND(#REF!,"AAAAAHXvPuQ=")</f>
        <v>#VALUE!</v>
      </c>
      <c r="HV53" s="22" t="e">
        <f aca="false">AND(#REF!,"AAAAAHXvPuU=")</f>
        <v>#VALUE!</v>
      </c>
      <c r="HW53" s="22" t="e">
        <f aca="false">IF(#REF!,"AAAAAHXvPuY=",0)</f>
        <v>#REF!</v>
      </c>
      <c r="HX53" s="22" t="e">
        <f aca="false">AND(#REF!,"AAAAAHXvPuc=")</f>
        <v>#VALUE!</v>
      </c>
      <c r="HY53" s="22" t="e">
        <f aca="false">AND(#REF!,"AAAAAHXvPug=")</f>
        <v>#VALUE!</v>
      </c>
      <c r="HZ53" s="22" t="e">
        <f aca="false">AND(#REF!,"AAAAAHXvPuk=")</f>
        <v>#VALUE!</v>
      </c>
      <c r="IA53" s="22" t="e">
        <f aca="false">AND(#REF!,"AAAAAHXvPuo=")</f>
        <v>#VALUE!</v>
      </c>
      <c r="IB53" s="22" t="e">
        <f aca="false">AND(#REF!,"AAAAAHXvPus=")</f>
        <v>#VALUE!</v>
      </c>
      <c r="IC53" s="22" t="e">
        <f aca="false">AND(#REF!,"AAAAAHXvPuw=")</f>
        <v>#VALUE!</v>
      </c>
      <c r="ID53" s="22" t="e">
        <f aca="false">IF(#REF!,"AAAAAHXvPu0=",0)</f>
        <v>#REF!</v>
      </c>
      <c r="IE53" s="22" t="e">
        <f aca="false">AND(#REF!,"AAAAAHXvPu4=")</f>
        <v>#VALUE!</v>
      </c>
      <c r="IF53" s="22" t="e">
        <f aca="false">AND(#REF!,"AAAAAHXvPu8=")</f>
        <v>#VALUE!</v>
      </c>
      <c r="IG53" s="22" t="e">
        <f aca="false">AND(#REF!,"AAAAAHXvPvA=")</f>
        <v>#VALUE!</v>
      </c>
      <c r="IH53" s="22" t="e">
        <f aca="false">AND(#REF!,"AAAAAHXvPvE=")</f>
        <v>#VALUE!</v>
      </c>
      <c r="II53" s="22" t="e">
        <f aca="false">AND(#REF!,"AAAAAHXvPvI=")</f>
        <v>#VALUE!</v>
      </c>
      <c r="IJ53" s="22" t="e">
        <f aca="false">AND(#REF!,"AAAAAHXvPvM=")</f>
        <v>#VALUE!</v>
      </c>
      <c r="IK53" s="22" t="e">
        <f aca="false">IF(#REF!,"AAAAAHXvPvQ=",0)</f>
        <v>#REF!</v>
      </c>
      <c r="IL53" s="22" t="e">
        <f aca="false">AND(#REF!,"AAAAAHXvPvU=")</f>
        <v>#VALUE!</v>
      </c>
      <c r="IM53" s="22" t="e">
        <f aca="false">AND(#REF!,"AAAAAHXvPvY=")</f>
        <v>#VALUE!</v>
      </c>
      <c r="IN53" s="22" t="e">
        <f aca="false">AND(#REF!,"AAAAAHXvPvc=")</f>
        <v>#VALUE!</v>
      </c>
      <c r="IO53" s="22" t="e">
        <f aca="false">AND(#REF!,"AAAAAHXvPvg=")</f>
        <v>#VALUE!</v>
      </c>
      <c r="IP53" s="22" t="e">
        <f aca="false">AND(#REF!,"AAAAAHXvPvk=")</f>
        <v>#VALUE!</v>
      </c>
      <c r="IQ53" s="22" t="e">
        <f aca="false">AND(#REF!,"AAAAAHXvPvo=")</f>
        <v>#VALUE!</v>
      </c>
      <c r="IR53" s="22" t="e">
        <f aca="false">IF(#REF!,"AAAAAHXvPvs=",0)</f>
        <v>#REF!</v>
      </c>
      <c r="IS53" s="22" t="e">
        <f aca="false">AND(#REF!,"AAAAAHXvPvw=")</f>
        <v>#VALUE!</v>
      </c>
      <c r="IT53" s="22" t="e">
        <f aca="false">AND(#REF!,"AAAAAHXvPv0=")</f>
        <v>#VALUE!</v>
      </c>
      <c r="IU53" s="22" t="e">
        <f aca="false">AND(#REF!,"AAAAAHXvPv4=")</f>
        <v>#VALUE!</v>
      </c>
      <c r="IV53" s="22" t="e">
        <f aca="false">AND(#REF!,"AAAAAHXvPv8=")</f>
        <v>#VALUE!</v>
      </c>
    </row>
    <row r="54" customFormat="false" ht="12.75" hidden="false" customHeight="false" outlineLevel="0" collapsed="false">
      <c r="A54" s="22" t="e">
        <f aca="false">AND(#REF!,"AAAAAHz3qwA=")</f>
        <v>#VALUE!</v>
      </c>
      <c r="B54" s="22" t="e">
        <f aca="false">AND(#REF!,"AAAAAHz3qwE=")</f>
        <v>#VALUE!</v>
      </c>
      <c r="C54" s="22" t="e">
        <f aca="false">IF(#REF!,"AAAAAHz3qwI=",0)</f>
        <v>#REF!</v>
      </c>
      <c r="D54" s="22" t="e">
        <f aca="false">AND(#REF!,"AAAAAHz3qwM=")</f>
        <v>#VALUE!</v>
      </c>
      <c r="E54" s="22" t="e">
        <f aca="false">AND(#REF!,"AAAAAHz3qwQ=")</f>
        <v>#VALUE!</v>
      </c>
      <c r="F54" s="22" t="e">
        <f aca="false">AND(#REF!,"AAAAAHz3qwU=")</f>
        <v>#VALUE!</v>
      </c>
      <c r="G54" s="22" t="e">
        <f aca="false">AND(#REF!,"AAAAAHz3qwY=")</f>
        <v>#VALUE!</v>
      </c>
      <c r="H54" s="22" t="e">
        <f aca="false">AND(#REF!,"AAAAAHz3qwc=")</f>
        <v>#VALUE!</v>
      </c>
      <c r="I54" s="22" t="e">
        <f aca="false">AND(#REF!,"AAAAAHz3qwg=")</f>
        <v>#VALUE!</v>
      </c>
      <c r="J54" s="22" t="e">
        <f aca="false">IF(#REF!,"AAAAAHz3qwk=",0)</f>
        <v>#REF!</v>
      </c>
      <c r="K54" s="22" t="e">
        <f aca="false">AND(#REF!,"AAAAAHz3qwo=")</f>
        <v>#VALUE!</v>
      </c>
      <c r="L54" s="22" t="e">
        <f aca="false">AND(#REF!,"AAAAAHz3qws=")</f>
        <v>#VALUE!</v>
      </c>
      <c r="M54" s="22" t="e">
        <f aca="false">AND(#REF!,"AAAAAHz3qww=")</f>
        <v>#VALUE!</v>
      </c>
      <c r="N54" s="22" t="e">
        <f aca="false">AND(#REF!,"AAAAAHz3qw0=")</f>
        <v>#VALUE!</v>
      </c>
      <c r="O54" s="22" t="e">
        <f aca="false">AND(#REF!,"AAAAAHz3qw4=")</f>
        <v>#VALUE!</v>
      </c>
      <c r="P54" s="22" t="e">
        <f aca="false">AND(#REF!,"AAAAAHz3qw8=")</f>
        <v>#VALUE!</v>
      </c>
      <c r="Q54" s="22" t="e">
        <f aca="false">IF(#REF!,"AAAAAHz3qxA=",0)</f>
        <v>#REF!</v>
      </c>
      <c r="R54" s="22" t="e">
        <f aca="false">AND(#REF!,"AAAAAHz3qxE=")</f>
        <v>#VALUE!</v>
      </c>
      <c r="S54" s="22" t="e">
        <f aca="false">AND(#REF!,"AAAAAHz3qxI=")</f>
        <v>#VALUE!</v>
      </c>
      <c r="T54" s="22" t="e">
        <f aca="false">AND(#REF!,"AAAAAHz3qxM=")</f>
        <v>#VALUE!</v>
      </c>
      <c r="U54" s="22" t="e">
        <f aca="false">AND(#REF!,"AAAAAHz3qxQ=")</f>
        <v>#VALUE!</v>
      </c>
      <c r="V54" s="22" t="e">
        <f aca="false">AND(#REF!,"AAAAAHz3qxU=")</f>
        <v>#VALUE!</v>
      </c>
      <c r="W54" s="22" t="e">
        <f aca="false">AND(#REF!,"AAAAAHz3qxY=")</f>
        <v>#VALUE!</v>
      </c>
      <c r="X54" s="22" t="e">
        <f aca="false">IF(#REF!,"AAAAAHz3qxc=",0)</f>
        <v>#REF!</v>
      </c>
      <c r="Y54" s="22" t="e">
        <f aca="false">AND(#REF!,"AAAAAHz3qxg=")</f>
        <v>#VALUE!</v>
      </c>
      <c r="Z54" s="22" t="e">
        <f aca="false">AND(#REF!,"AAAAAHz3qxk=")</f>
        <v>#VALUE!</v>
      </c>
      <c r="AA54" s="22" t="e">
        <f aca="false">AND(#REF!,"AAAAAHz3qxo=")</f>
        <v>#VALUE!</v>
      </c>
      <c r="AB54" s="22" t="e">
        <f aca="false">AND(#REF!,"AAAAAHz3qxs=")</f>
        <v>#VALUE!</v>
      </c>
      <c r="AC54" s="22" t="e">
        <f aca="false">AND(#REF!,"AAAAAHz3qxw=")</f>
        <v>#VALUE!</v>
      </c>
      <c r="AD54" s="22" t="e">
        <f aca="false">AND(#REF!,"AAAAAHz3qx0=")</f>
        <v>#VALUE!</v>
      </c>
      <c r="AE54" s="22" t="e">
        <f aca="false">IF(#REF!,"AAAAAHz3qx4=",0)</f>
        <v>#REF!</v>
      </c>
      <c r="AF54" s="22" t="e">
        <f aca="false">AND(#REF!,"AAAAAHz3qx8=")</f>
        <v>#VALUE!</v>
      </c>
      <c r="AG54" s="22" t="e">
        <f aca="false">AND(#REF!,"AAAAAHz3qyA=")</f>
        <v>#VALUE!</v>
      </c>
      <c r="AH54" s="22" t="e">
        <f aca="false">AND(#REF!,"AAAAAHz3qyE=")</f>
        <v>#VALUE!</v>
      </c>
      <c r="AI54" s="22" t="e">
        <f aca="false">AND(#REF!,"AAAAAHz3qyI=")</f>
        <v>#VALUE!</v>
      </c>
      <c r="AJ54" s="22" t="e">
        <f aca="false">AND(#REF!,"AAAAAHz3qyM=")</f>
        <v>#VALUE!</v>
      </c>
      <c r="AK54" s="22" t="e">
        <f aca="false">AND(#REF!,"AAAAAHz3qyQ=")</f>
        <v>#VALUE!</v>
      </c>
      <c r="AL54" s="22" t="e">
        <f aca="false">IF(#REF!,"AAAAAHz3qyU=",0)</f>
        <v>#REF!</v>
      </c>
      <c r="AM54" s="22" t="e">
        <f aca="false">AND(#REF!,"AAAAAHz3qyY=")</f>
        <v>#VALUE!</v>
      </c>
      <c r="AN54" s="22" t="e">
        <f aca="false">AND(#REF!,"AAAAAHz3qyc=")</f>
        <v>#VALUE!</v>
      </c>
      <c r="AO54" s="22" t="e">
        <f aca="false">AND(#REF!,"AAAAAHz3qyg=")</f>
        <v>#VALUE!</v>
      </c>
      <c r="AP54" s="22" t="e">
        <f aca="false">AND(#REF!,"AAAAAHz3qyk=")</f>
        <v>#VALUE!</v>
      </c>
      <c r="AQ54" s="22" t="e">
        <f aca="false">AND(#REF!,"AAAAAHz3qyo=")</f>
        <v>#VALUE!</v>
      </c>
      <c r="AR54" s="22" t="e">
        <f aca="false">AND(#REF!,"AAAAAHz3qys=")</f>
        <v>#VALUE!</v>
      </c>
      <c r="AS54" s="22" t="e">
        <f aca="false">IF(#REF!,"AAAAAHz3qyw=",0)</f>
        <v>#REF!</v>
      </c>
      <c r="AT54" s="22" t="e">
        <f aca="false">AND(#REF!,"AAAAAHz3qy0=")</f>
        <v>#VALUE!</v>
      </c>
      <c r="AU54" s="22" t="e">
        <f aca="false">AND(#REF!,"AAAAAHz3qy4=")</f>
        <v>#VALUE!</v>
      </c>
      <c r="AV54" s="22" t="e">
        <f aca="false">AND(#REF!,"AAAAAHz3qy8=")</f>
        <v>#VALUE!</v>
      </c>
      <c r="AW54" s="22" t="e">
        <f aca="false">AND(#REF!,"AAAAAHz3qzA=")</f>
        <v>#VALUE!</v>
      </c>
      <c r="AX54" s="22" t="e">
        <f aca="false">AND(#REF!,"AAAAAHz3qzE=")</f>
        <v>#VALUE!</v>
      </c>
      <c r="AY54" s="22" t="e">
        <f aca="false">AND(#REF!,"AAAAAHz3qzI=")</f>
        <v>#VALUE!</v>
      </c>
      <c r="AZ54" s="22" t="e">
        <f aca="false">IF(#REF!,"AAAAAHz3qzM=",0)</f>
        <v>#REF!</v>
      </c>
      <c r="BA54" s="22" t="e">
        <f aca="false">AND(#REF!,"AAAAAHz3qzQ=")</f>
        <v>#VALUE!</v>
      </c>
      <c r="BB54" s="22" t="e">
        <f aca="false">AND(#REF!,"AAAAAHz3qzU=")</f>
        <v>#VALUE!</v>
      </c>
      <c r="BC54" s="22" t="e">
        <f aca="false">AND(#REF!,"AAAAAHz3qzY=")</f>
        <v>#VALUE!</v>
      </c>
      <c r="BD54" s="22" t="e">
        <f aca="false">AND(#REF!,"AAAAAHz3qzc=")</f>
        <v>#VALUE!</v>
      </c>
      <c r="BE54" s="22" t="e">
        <f aca="false">AND(#REF!,"AAAAAHz3qzg=")</f>
        <v>#VALUE!</v>
      </c>
      <c r="BF54" s="22" t="e">
        <f aca="false">AND(#REF!,"AAAAAHz3qzk=")</f>
        <v>#VALUE!</v>
      </c>
      <c r="BG54" s="22" t="e">
        <f aca="false">IF(#REF!,"AAAAAHz3qzo=",0)</f>
        <v>#REF!</v>
      </c>
      <c r="BH54" s="22" t="e">
        <f aca="false">AND(#REF!,"AAAAAHz3qzs=")</f>
        <v>#VALUE!</v>
      </c>
      <c r="BI54" s="22" t="e">
        <f aca="false">AND(#REF!,"AAAAAHz3qzw=")</f>
        <v>#VALUE!</v>
      </c>
      <c r="BJ54" s="22" t="e">
        <f aca="false">AND(#REF!,"AAAAAHz3qz0=")</f>
        <v>#VALUE!</v>
      </c>
      <c r="BK54" s="22" t="e">
        <f aca="false">AND(#REF!,"AAAAAHz3qz4=")</f>
        <v>#VALUE!</v>
      </c>
      <c r="BL54" s="22" t="e">
        <f aca="false">AND(#REF!,"AAAAAHz3qz8=")</f>
        <v>#VALUE!</v>
      </c>
      <c r="BM54" s="22" t="e">
        <f aca="false">AND(#REF!,"AAAAAHz3q0A=")</f>
        <v>#VALUE!</v>
      </c>
      <c r="BN54" s="22" t="e">
        <f aca="false">IF(#REF!,"AAAAAHz3q0E=",0)</f>
        <v>#REF!</v>
      </c>
      <c r="BO54" s="22" t="e">
        <f aca="false">AND(#REF!,"AAAAAHz3q0I=")</f>
        <v>#VALUE!</v>
      </c>
      <c r="BP54" s="22" t="e">
        <f aca="false">AND(#REF!,"AAAAAHz3q0M=")</f>
        <v>#VALUE!</v>
      </c>
      <c r="BQ54" s="22" t="e">
        <f aca="false">AND(#REF!,"AAAAAHz3q0Q=")</f>
        <v>#VALUE!</v>
      </c>
      <c r="BR54" s="22" t="e">
        <f aca="false">AND(#REF!,"AAAAAHz3q0U=")</f>
        <v>#VALUE!</v>
      </c>
      <c r="BS54" s="22" t="e">
        <f aca="false">AND(#REF!,"AAAAAHz3q0Y=")</f>
        <v>#VALUE!</v>
      </c>
      <c r="BT54" s="22" t="e">
        <f aca="false">AND(#REF!,"AAAAAHz3q0c=")</f>
        <v>#VALUE!</v>
      </c>
      <c r="BU54" s="22" t="e">
        <f aca="false">IF(#REF!,"AAAAAHz3q0g=",0)</f>
        <v>#REF!</v>
      </c>
      <c r="BV54" s="22" t="e">
        <f aca="false">AND(#REF!,"AAAAAHz3q0k=")</f>
        <v>#VALUE!</v>
      </c>
      <c r="BW54" s="22" t="e">
        <f aca="false">AND(#REF!,"AAAAAHz3q0o=")</f>
        <v>#VALUE!</v>
      </c>
      <c r="BX54" s="22" t="e">
        <f aca="false">AND(#REF!,"AAAAAHz3q0s=")</f>
        <v>#VALUE!</v>
      </c>
      <c r="BY54" s="22" t="e">
        <f aca="false">AND(#REF!,"AAAAAHz3q0w=")</f>
        <v>#VALUE!</v>
      </c>
      <c r="BZ54" s="22" t="e">
        <f aca="false">AND(#REF!,"AAAAAHz3q00=")</f>
        <v>#VALUE!</v>
      </c>
      <c r="CA54" s="22" t="e">
        <f aca="false">AND(#REF!,"AAAAAHz3q04=")</f>
        <v>#VALUE!</v>
      </c>
      <c r="CB54" s="22" t="e">
        <f aca="false">IF(#REF!,"AAAAAHz3q08=",0)</f>
        <v>#REF!</v>
      </c>
      <c r="CC54" s="22" t="e">
        <f aca="false">AND(#REF!,"AAAAAHz3q1A=")</f>
        <v>#VALUE!</v>
      </c>
      <c r="CD54" s="22" t="e">
        <f aca="false">AND(#REF!,"AAAAAHz3q1E=")</f>
        <v>#VALUE!</v>
      </c>
      <c r="CE54" s="22" t="e">
        <f aca="false">AND(#REF!,"AAAAAHz3q1I=")</f>
        <v>#VALUE!</v>
      </c>
      <c r="CF54" s="22" t="e">
        <f aca="false">AND(#REF!,"AAAAAHz3q1M=")</f>
        <v>#VALUE!</v>
      </c>
      <c r="CG54" s="22" t="e">
        <f aca="false">AND(#REF!,"AAAAAHz3q1Q=")</f>
        <v>#VALUE!</v>
      </c>
      <c r="CH54" s="22" t="e">
        <f aca="false">AND(#REF!,"AAAAAHz3q1U=")</f>
        <v>#VALUE!</v>
      </c>
      <c r="CI54" s="22" t="e">
        <f aca="false">IF(#REF!,"AAAAAHz3q1Y=",0)</f>
        <v>#REF!</v>
      </c>
      <c r="CJ54" s="22" t="e">
        <f aca="false">AND(#REF!,"AAAAAHz3q1c=")</f>
        <v>#VALUE!</v>
      </c>
      <c r="CK54" s="22" t="e">
        <f aca="false">AND(#REF!,"AAAAAHz3q1g=")</f>
        <v>#VALUE!</v>
      </c>
      <c r="CL54" s="22" t="e">
        <f aca="false">AND(#REF!,"AAAAAHz3q1k=")</f>
        <v>#VALUE!</v>
      </c>
      <c r="CM54" s="22" t="e">
        <f aca="false">AND(#REF!,"AAAAAHz3q1o=")</f>
        <v>#VALUE!</v>
      </c>
      <c r="CN54" s="22" t="e">
        <f aca="false">AND(#REF!,"AAAAAHz3q1s=")</f>
        <v>#VALUE!</v>
      </c>
      <c r="CO54" s="22" t="e">
        <f aca="false">AND(#REF!,"AAAAAHz3q1w=")</f>
        <v>#VALUE!</v>
      </c>
      <c r="CP54" s="22" t="e">
        <f aca="false">IF(#REF!,"AAAAAHz3q10=",0)</f>
        <v>#REF!</v>
      </c>
      <c r="CQ54" s="22" t="e">
        <f aca="false">AND(#REF!,"AAAAAHz3q14=")</f>
        <v>#VALUE!</v>
      </c>
      <c r="CR54" s="22" t="e">
        <f aca="false">AND(#REF!,"AAAAAHz3q18=")</f>
        <v>#VALUE!</v>
      </c>
      <c r="CS54" s="22" t="e">
        <f aca="false">AND(#REF!,"AAAAAHz3q2A=")</f>
        <v>#VALUE!</v>
      </c>
      <c r="CT54" s="22" t="e">
        <f aca="false">AND(#REF!,"AAAAAHz3q2E=")</f>
        <v>#VALUE!</v>
      </c>
      <c r="CU54" s="22" t="e">
        <f aca="false">AND(#REF!,"AAAAAHz3q2I=")</f>
        <v>#VALUE!</v>
      </c>
      <c r="CV54" s="22" t="e">
        <f aca="false">AND(#REF!,"AAAAAHz3q2M=")</f>
        <v>#VALUE!</v>
      </c>
      <c r="CW54" s="22" t="e">
        <f aca="false">IF(#REF!,"AAAAAHz3q2Q=",0)</f>
        <v>#REF!</v>
      </c>
      <c r="CX54" s="22" t="e">
        <f aca="false">AND(#REF!,"AAAAAHz3q2U=")</f>
        <v>#VALUE!</v>
      </c>
      <c r="CY54" s="22" t="e">
        <f aca="false">AND(#REF!,"AAAAAHz3q2Y=")</f>
        <v>#VALUE!</v>
      </c>
      <c r="CZ54" s="22" t="e">
        <f aca="false">AND(#REF!,"AAAAAHz3q2c=")</f>
        <v>#VALUE!</v>
      </c>
      <c r="DA54" s="22" t="e">
        <f aca="false">AND(#REF!,"AAAAAHz3q2g=")</f>
        <v>#VALUE!</v>
      </c>
      <c r="DB54" s="22" t="e">
        <f aca="false">AND(#REF!,"AAAAAHz3q2k=")</f>
        <v>#VALUE!</v>
      </c>
      <c r="DC54" s="22" t="e">
        <f aca="false">AND(#REF!,"AAAAAHz3q2o=")</f>
        <v>#VALUE!</v>
      </c>
      <c r="DD54" s="22" t="e">
        <f aca="false">IF(#REF!,"AAAAAHz3q2s=",0)</f>
        <v>#REF!</v>
      </c>
      <c r="DE54" s="22" t="e">
        <f aca="false">AND(#REF!,"AAAAAHz3q2w=")</f>
        <v>#VALUE!</v>
      </c>
      <c r="DF54" s="22" t="e">
        <f aca="false">AND(#REF!,"AAAAAHz3q20=")</f>
        <v>#VALUE!</v>
      </c>
      <c r="DG54" s="22" t="e">
        <f aca="false">AND(#REF!,"AAAAAHz3q24=")</f>
        <v>#VALUE!</v>
      </c>
      <c r="DH54" s="22" t="e">
        <f aca="false">AND(#REF!,"AAAAAHz3q28=")</f>
        <v>#VALUE!</v>
      </c>
      <c r="DI54" s="22" t="e">
        <f aca="false">AND(#REF!,"AAAAAHz3q3A=")</f>
        <v>#VALUE!</v>
      </c>
      <c r="DJ54" s="22" t="e">
        <f aca="false">AND(#REF!,"AAAAAHz3q3E=")</f>
        <v>#VALUE!</v>
      </c>
      <c r="DK54" s="22" t="e">
        <f aca="false">IF(#REF!,"AAAAAHz3q3I=",0)</f>
        <v>#REF!</v>
      </c>
      <c r="DL54" s="22" t="e">
        <f aca="false">AND(#REF!,"AAAAAHz3q3M=")</f>
        <v>#VALUE!</v>
      </c>
      <c r="DM54" s="22" t="e">
        <f aca="false">AND(#REF!,"AAAAAHz3q3Q=")</f>
        <v>#VALUE!</v>
      </c>
      <c r="DN54" s="22" t="e">
        <f aca="false">AND(#REF!,"AAAAAHz3q3U=")</f>
        <v>#VALUE!</v>
      </c>
      <c r="DO54" s="22" t="e">
        <f aca="false">AND(#REF!,"AAAAAHz3q3Y=")</f>
        <v>#VALUE!</v>
      </c>
      <c r="DP54" s="22" t="e">
        <f aca="false">AND(#REF!,"AAAAAHz3q3c=")</f>
        <v>#VALUE!</v>
      </c>
      <c r="DQ54" s="22" t="e">
        <f aca="false">AND(#REF!,"AAAAAHz3q3g=")</f>
        <v>#VALUE!</v>
      </c>
      <c r="DR54" s="22" t="e">
        <f aca="false">IF(#REF!,"AAAAAHz3q3k=",0)</f>
        <v>#REF!</v>
      </c>
      <c r="DS54" s="22" t="e">
        <f aca="false">AND(#REF!,"AAAAAHz3q3o=")</f>
        <v>#VALUE!</v>
      </c>
      <c r="DT54" s="22" t="e">
        <f aca="false">AND(#REF!,"AAAAAHz3q3s=")</f>
        <v>#VALUE!</v>
      </c>
      <c r="DU54" s="22" t="e">
        <f aca="false">AND(#REF!,"AAAAAHz3q3w=")</f>
        <v>#VALUE!</v>
      </c>
      <c r="DV54" s="22" t="e">
        <f aca="false">AND(#REF!,"AAAAAHz3q30=")</f>
        <v>#VALUE!</v>
      </c>
      <c r="DW54" s="22" t="e">
        <f aca="false">AND(#REF!,"AAAAAHz3q34=")</f>
        <v>#VALUE!</v>
      </c>
      <c r="DX54" s="22" t="e">
        <f aca="false">AND(#REF!,"AAAAAHz3q38=")</f>
        <v>#VALUE!</v>
      </c>
      <c r="DY54" s="22" t="e">
        <f aca="false">IF(#REF!,"AAAAAHz3q4A=",0)</f>
        <v>#REF!</v>
      </c>
      <c r="DZ54" s="22" t="e">
        <f aca="false">AND(#REF!,"AAAAAHz3q4E=")</f>
        <v>#VALUE!</v>
      </c>
      <c r="EA54" s="22" t="e">
        <f aca="false">AND(#REF!,"AAAAAHz3q4I=")</f>
        <v>#VALUE!</v>
      </c>
      <c r="EB54" s="22" t="e">
        <f aca="false">AND(#REF!,"AAAAAHz3q4M=")</f>
        <v>#VALUE!</v>
      </c>
      <c r="EC54" s="22" t="e">
        <f aca="false">AND(#REF!,"AAAAAHz3q4Q=")</f>
        <v>#VALUE!</v>
      </c>
      <c r="ED54" s="22" t="e">
        <f aca="false">AND(#REF!,"AAAAAHz3q4U=")</f>
        <v>#VALUE!</v>
      </c>
      <c r="EE54" s="22" t="e">
        <f aca="false">AND(#REF!,"AAAAAHz3q4Y=")</f>
        <v>#VALUE!</v>
      </c>
      <c r="EF54" s="22" t="e">
        <f aca="false">IF(#REF!,"AAAAAHz3q4c=",0)</f>
        <v>#REF!</v>
      </c>
      <c r="EG54" s="22" t="e">
        <f aca="false">AND(#REF!,"AAAAAHz3q4g=")</f>
        <v>#VALUE!</v>
      </c>
      <c r="EH54" s="22" t="e">
        <f aca="false">AND(#REF!,"AAAAAHz3q4k=")</f>
        <v>#VALUE!</v>
      </c>
      <c r="EI54" s="22" t="e">
        <f aca="false">AND(#REF!,"AAAAAHz3q4o=")</f>
        <v>#VALUE!</v>
      </c>
      <c r="EJ54" s="22" t="e">
        <f aca="false">AND(#REF!,"AAAAAHz3q4s=")</f>
        <v>#VALUE!</v>
      </c>
      <c r="EK54" s="22" t="e">
        <f aca="false">AND(#REF!,"AAAAAHz3q4w=")</f>
        <v>#VALUE!</v>
      </c>
      <c r="EL54" s="22" t="e">
        <f aca="false">AND(#REF!,"AAAAAHz3q40=")</f>
        <v>#VALUE!</v>
      </c>
      <c r="EM54" s="22" t="e">
        <f aca="false">IF(#REF!,"AAAAAHz3q44=",0)</f>
        <v>#REF!</v>
      </c>
      <c r="EN54" s="22" t="e">
        <f aca="false">AND(#REF!,"AAAAAHz3q48=")</f>
        <v>#VALUE!</v>
      </c>
      <c r="EO54" s="22" t="e">
        <f aca="false">AND(#REF!,"AAAAAHz3q5A=")</f>
        <v>#VALUE!</v>
      </c>
      <c r="EP54" s="22" t="e">
        <f aca="false">AND(#REF!,"AAAAAHz3q5E=")</f>
        <v>#VALUE!</v>
      </c>
      <c r="EQ54" s="22" t="e">
        <f aca="false">AND(#REF!,"AAAAAHz3q5I=")</f>
        <v>#VALUE!</v>
      </c>
      <c r="ER54" s="22" t="e">
        <f aca="false">AND(#REF!,"AAAAAHz3q5M=")</f>
        <v>#VALUE!</v>
      </c>
      <c r="ES54" s="22" t="e">
        <f aca="false">AND(#REF!,"AAAAAHz3q5Q=")</f>
        <v>#VALUE!</v>
      </c>
      <c r="ET54" s="22" t="e">
        <f aca="false">IF(#REF!,"AAAAAHz3q5U=",0)</f>
        <v>#REF!</v>
      </c>
      <c r="EU54" s="22" t="e">
        <f aca="false">AND(#REF!,"AAAAAHz3q5Y=")</f>
        <v>#VALUE!</v>
      </c>
      <c r="EV54" s="22" t="e">
        <f aca="false">AND(#REF!,"AAAAAHz3q5c=")</f>
        <v>#VALUE!</v>
      </c>
      <c r="EW54" s="22" t="e">
        <f aca="false">AND(#REF!,"AAAAAHz3q5g=")</f>
        <v>#VALUE!</v>
      </c>
      <c r="EX54" s="22" t="e">
        <f aca="false">AND(#REF!,"AAAAAHz3q5k=")</f>
        <v>#VALUE!</v>
      </c>
      <c r="EY54" s="22" t="e">
        <f aca="false">AND(#REF!,"AAAAAHz3q5o=")</f>
        <v>#VALUE!</v>
      </c>
      <c r="EZ54" s="22" t="e">
        <f aca="false">AND(#REF!,"AAAAAHz3q5s=")</f>
        <v>#VALUE!</v>
      </c>
      <c r="FA54" s="22" t="e">
        <f aca="false">IF(#REF!,"AAAAAHz3q5w=",0)</f>
        <v>#REF!</v>
      </c>
      <c r="FB54" s="22" t="e">
        <f aca="false">AND(#REF!,"AAAAAHz3q50=")</f>
        <v>#VALUE!</v>
      </c>
      <c r="FC54" s="22" t="e">
        <f aca="false">AND(#REF!,"AAAAAHz3q54=")</f>
        <v>#VALUE!</v>
      </c>
      <c r="FD54" s="22" t="e">
        <f aca="false">AND(#REF!,"AAAAAHz3q58=")</f>
        <v>#VALUE!</v>
      </c>
      <c r="FE54" s="22" t="e">
        <f aca="false">AND(#REF!,"AAAAAHz3q6A=")</f>
        <v>#VALUE!</v>
      </c>
      <c r="FF54" s="22" t="e">
        <f aca="false">AND(#REF!,"AAAAAHz3q6E=")</f>
        <v>#VALUE!</v>
      </c>
      <c r="FG54" s="22" t="e">
        <f aca="false">AND(#REF!,"AAAAAHz3q6I=")</f>
        <v>#VALUE!</v>
      </c>
      <c r="FH54" s="22" t="e">
        <f aca="false">IF(#REF!,"AAAAAHz3q6M=",0)</f>
        <v>#REF!</v>
      </c>
      <c r="FI54" s="22" t="e">
        <f aca="false">AND(#REF!,"AAAAAHz3q6Q=")</f>
        <v>#VALUE!</v>
      </c>
      <c r="FJ54" s="22" t="e">
        <f aca="false">AND(#REF!,"AAAAAHz3q6U=")</f>
        <v>#VALUE!</v>
      </c>
      <c r="FK54" s="22" t="e">
        <f aca="false">AND(#REF!,"AAAAAHz3q6Y=")</f>
        <v>#VALUE!</v>
      </c>
      <c r="FL54" s="22" t="e">
        <f aca="false">AND(#REF!,"AAAAAHz3q6c=")</f>
        <v>#VALUE!</v>
      </c>
      <c r="FM54" s="22" t="e">
        <f aca="false">AND(#REF!,"AAAAAHz3q6g=")</f>
        <v>#VALUE!</v>
      </c>
      <c r="FN54" s="22" t="e">
        <f aca="false">AND(#REF!,"AAAAAHz3q6k=")</f>
        <v>#VALUE!</v>
      </c>
      <c r="FO54" s="22" t="e">
        <f aca="false">IF(#REF!,"AAAAAHz3q6o=",0)</f>
        <v>#REF!</v>
      </c>
      <c r="FP54" s="22" t="e">
        <f aca="false">AND(#REF!,"AAAAAHz3q6s=")</f>
        <v>#VALUE!</v>
      </c>
      <c r="FQ54" s="22" t="e">
        <f aca="false">AND(#REF!,"AAAAAHz3q6w=")</f>
        <v>#VALUE!</v>
      </c>
      <c r="FR54" s="22" t="e">
        <f aca="false">AND(#REF!,"AAAAAHz3q60=")</f>
        <v>#VALUE!</v>
      </c>
      <c r="FS54" s="22" t="e">
        <f aca="false">AND(#REF!,"AAAAAHz3q64=")</f>
        <v>#VALUE!</v>
      </c>
      <c r="FT54" s="22" t="e">
        <f aca="false">AND(#REF!,"AAAAAHz3q68=")</f>
        <v>#VALUE!</v>
      </c>
      <c r="FU54" s="22" t="e">
        <f aca="false">AND(#REF!,"AAAAAHz3q7A=")</f>
        <v>#VALUE!</v>
      </c>
      <c r="FV54" s="22" t="e">
        <f aca="false">IF(#REF!,"AAAAAHz3q7E=",0)</f>
        <v>#REF!</v>
      </c>
      <c r="FW54" s="22" t="e">
        <f aca="false">AND(#REF!,"AAAAAHz3q7I=")</f>
        <v>#VALUE!</v>
      </c>
      <c r="FX54" s="22" t="e">
        <f aca="false">AND(#REF!,"AAAAAHz3q7M=")</f>
        <v>#VALUE!</v>
      </c>
      <c r="FY54" s="22" t="e">
        <f aca="false">AND(#REF!,"AAAAAHz3q7Q=")</f>
        <v>#VALUE!</v>
      </c>
      <c r="FZ54" s="22" t="e">
        <f aca="false">AND(#REF!,"AAAAAHz3q7U=")</f>
        <v>#VALUE!</v>
      </c>
      <c r="GA54" s="22" t="e">
        <f aca="false">AND(#REF!,"AAAAAHz3q7Y=")</f>
        <v>#VALUE!</v>
      </c>
      <c r="GB54" s="22" t="e">
        <f aca="false">AND(#REF!,"AAAAAHz3q7c=")</f>
        <v>#VALUE!</v>
      </c>
      <c r="GC54" s="22" t="e">
        <f aca="false">IF(#REF!,"AAAAAHz3q7g=",0)</f>
        <v>#REF!</v>
      </c>
      <c r="GD54" s="22" t="e">
        <f aca="false">AND(#REF!,"AAAAAHz3q7k=")</f>
        <v>#VALUE!</v>
      </c>
      <c r="GE54" s="22" t="e">
        <f aca="false">AND(#REF!,"AAAAAHz3q7o=")</f>
        <v>#VALUE!</v>
      </c>
      <c r="GF54" s="22" t="e">
        <f aca="false">AND(#REF!,"AAAAAHz3q7s=")</f>
        <v>#VALUE!</v>
      </c>
      <c r="GG54" s="22" t="e">
        <f aca="false">AND(#REF!,"AAAAAHz3q7w=")</f>
        <v>#VALUE!</v>
      </c>
      <c r="GH54" s="22" t="e">
        <f aca="false">AND(#REF!,"AAAAAHz3q70=")</f>
        <v>#VALUE!</v>
      </c>
      <c r="GI54" s="22" t="e">
        <f aca="false">AND(#REF!,"AAAAAHz3q74=")</f>
        <v>#VALUE!</v>
      </c>
      <c r="GJ54" s="22" t="e">
        <f aca="false">IF(#REF!,"AAAAAHz3q78=",0)</f>
        <v>#REF!</v>
      </c>
      <c r="GK54" s="22" t="e">
        <f aca="false">AND(#REF!,"AAAAAHz3q8A=")</f>
        <v>#VALUE!</v>
      </c>
      <c r="GL54" s="22" t="e">
        <f aca="false">AND(#REF!,"AAAAAHz3q8E=")</f>
        <v>#VALUE!</v>
      </c>
      <c r="GM54" s="22" t="e">
        <f aca="false">AND(#REF!,"AAAAAHz3q8I=")</f>
        <v>#VALUE!</v>
      </c>
      <c r="GN54" s="22" t="e">
        <f aca="false">AND(#REF!,"AAAAAHz3q8M=")</f>
        <v>#VALUE!</v>
      </c>
      <c r="GO54" s="22" t="e">
        <f aca="false">AND(#REF!,"AAAAAHz3q8Q=")</f>
        <v>#VALUE!</v>
      </c>
      <c r="GP54" s="22" t="e">
        <f aca="false">AND(#REF!,"AAAAAHz3q8U=")</f>
        <v>#VALUE!</v>
      </c>
      <c r="GQ54" s="22" t="e">
        <f aca="false">IF(#REF!,"AAAAAHz3q8Y=",0)</f>
        <v>#REF!</v>
      </c>
      <c r="GR54" s="22" t="e">
        <f aca="false">AND(#REF!,"AAAAAHz3q8c=")</f>
        <v>#VALUE!</v>
      </c>
      <c r="GS54" s="22" t="e">
        <f aca="false">AND(#REF!,"AAAAAHz3q8g=")</f>
        <v>#VALUE!</v>
      </c>
      <c r="GT54" s="22" t="e">
        <f aca="false">AND(#REF!,"AAAAAHz3q8k=")</f>
        <v>#VALUE!</v>
      </c>
      <c r="GU54" s="22" t="e">
        <f aca="false">AND(#REF!,"AAAAAHz3q8o=")</f>
        <v>#VALUE!</v>
      </c>
      <c r="GV54" s="22" t="e">
        <f aca="false">AND(#REF!,"AAAAAHz3q8s=")</f>
        <v>#VALUE!</v>
      </c>
      <c r="GW54" s="22" t="e">
        <f aca="false">AND(#REF!,"AAAAAHz3q8w=")</f>
        <v>#VALUE!</v>
      </c>
      <c r="GX54" s="22" t="e">
        <f aca="false">IF(#REF!,"AAAAAHz3q80=",0)</f>
        <v>#REF!</v>
      </c>
      <c r="GY54" s="22" t="e">
        <f aca="false">AND(#REF!,"AAAAAHz3q84=")</f>
        <v>#VALUE!</v>
      </c>
      <c r="GZ54" s="22" t="e">
        <f aca="false">AND(#REF!,"AAAAAHz3q88=")</f>
        <v>#VALUE!</v>
      </c>
      <c r="HA54" s="22" t="e">
        <f aca="false">AND(#REF!,"AAAAAHz3q9A=")</f>
        <v>#VALUE!</v>
      </c>
      <c r="HB54" s="22" t="e">
        <f aca="false">AND(#REF!,"AAAAAHz3q9E=")</f>
        <v>#VALUE!</v>
      </c>
      <c r="HC54" s="22" t="e">
        <f aca="false">AND(#REF!,"AAAAAHz3q9I=")</f>
        <v>#VALUE!</v>
      </c>
      <c r="HD54" s="22" t="e">
        <f aca="false">AND(#REF!,"AAAAAHz3q9M=")</f>
        <v>#VALUE!</v>
      </c>
      <c r="HE54" s="22" t="e">
        <f aca="false">IF(#REF!,"AAAAAHz3q9Q=",0)</f>
        <v>#REF!</v>
      </c>
      <c r="HF54" s="22" t="e">
        <f aca="false">AND(#REF!,"AAAAAHz3q9U=")</f>
        <v>#VALUE!</v>
      </c>
      <c r="HG54" s="22" t="e">
        <f aca="false">AND(#REF!,"AAAAAHz3q9Y=")</f>
        <v>#VALUE!</v>
      </c>
      <c r="HH54" s="22" t="e">
        <f aca="false">AND(#REF!,"AAAAAHz3q9c=")</f>
        <v>#VALUE!</v>
      </c>
      <c r="HI54" s="22" t="e">
        <f aca="false">AND(#REF!,"AAAAAHz3q9g=")</f>
        <v>#VALUE!</v>
      </c>
      <c r="HJ54" s="22" t="e">
        <f aca="false">AND(#REF!,"AAAAAHz3q9k=")</f>
        <v>#VALUE!</v>
      </c>
      <c r="HK54" s="22" t="e">
        <f aca="false">AND(#REF!,"AAAAAHz3q9o=")</f>
        <v>#VALUE!</v>
      </c>
      <c r="HL54" s="22" t="e">
        <f aca="false">IF(#REF!,"AAAAAHz3q9s=",0)</f>
        <v>#REF!</v>
      </c>
      <c r="HM54" s="22" t="e">
        <f aca="false">AND(#REF!,"AAAAAHz3q9w=")</f>
        <v>#VALUE!</v>
      </c>
      <c r="HN54" s="22" t="e">
        <f aca="false">AND(#REF!,"AAAAAHz3q90=")</f>
        <v>#VALUE!</v>
      </c>
      <c r="HO54" s="22" t="e">
        <f aca="false">AND(#REF!,"AAAAAHz3q94=")</f>
        <v>#VALUE!</v>
      </c>
      <c r="HP54" s="22" t="e">
        <f aca="false">AND(#REF!,"AAAAAHz3q98=")</f>
        <v>#VALUE!</v>
      </c>
      <c r="HQ54" s="22" t="e">
        <f aca="false">AND(#REF!,"AAAAAHz3q+A=")</f>
        <v>#VALUE!</v>
      </c>
      <c r="HR54" s="22" t="e">
        <f aca="false">AND(#REF!,"AAAAAHz3q+E=")</f>
        <v>#VALUE!</v>
      </c>
      <c r="HS54" s="22" t="e">
        <f aca="false">IF(#REF!,"AAAAAHz3q+I=",0)</f>
        <v>#REF!</v>
      </c>
      <c r="HT54" s="22" t="e">
        <f aca="false">AND(#REF!,"AAAAAHz3q+M=")</f>
        <v>#VALUE!</v>
      </c>
      <c r="HU54" s="22" t="e">
        <f aca="false">AND(#REF!,"AAAAAHz3q+Q=")</f>
        <v>#VALUE!</v>
      </c>
      <c r="HV54" s="22" t="e">
        <f aca="false">AND(#REF!,"AAAAAHz3q+U=")</f>
        <v>#VALUE!</v>
      </c>
      <c r="HW54" s="22" t="e">
        <f aca="false">AND(#REF!,"AAAAAHz3q+Y=")</f>
        <v>#VALUE!</v>
      </c>
      <c r="HX54" s="22" t="e">
        <f aca="false">AND(#REF!,"AAAAAHz3q+c=")</f>
        <v>#VALUE!</v>
      </c>
      <c r="HY54" s="22" t="e">
        <f aca="false">AND(#REF!,"AAAAAHz3q+g=")</f>
        <v>#VALUE!</v>
      </c>
      <c r="HZ54" s="22" t="e">
        <f aca="false">IF(#REF!,"AAAAAHz3q+k=",0)</f>
        <v>#REF!</v>
      </c>
      <c r="IA54" s="22" t="e">
        <f aca="false">AND(#REF!,"AAAAAHz3q+o=")</f>
        <v>#VALUE!</v>
      </c>
      <c r="IB54" s="22" t="e">
        <f aca="false">AND(#REF!,"AAAAAHz3q+s=")</f>
        <v>#VALUE!</v>
      </c>
      <c r="IC54" s="22" t="e">
        <f aca="false">AND(#REF!,"AAAAAHz3q+w=")</f>
        <v>#VALUE!</v>
      </c>
      <c r="ID54" s="22" t="e">
        <f aca="false">AND(#REF!,"AAAAAHz3q+0=")</f>
        <v>#VALUE!</v>
      </c>
      <c r="IE54" s="22" t="e">
        <f aca="false">AND(#REF!,"AAAAAHz3q+4=")</f>
        <v>#VALUE!</v>
      </c>
      <c r="IF54" s="22" t="e">
        <f aca="false">AND(#REF!,"AAAAAHz3q+8=")</f>
        <v>#VALUE!</v>
      </c>
      <c r="IG54" s="22" t="e">
        <f aca="false">IF(#REF!,"AAAAAHz3q/A=",0)</f>
        <v>#REF!</v>
      </c>
      <c r="IH54" s="22" t="e">
        <f aca="false">AND(#REF!,"AAAAAHz3q/E=")</f>
        <v>#VALUE!</v>
      </c>
      <c r="II54" s="22" t="e">
        <f aca="false">AND(#REF!,"AAAAAHz3q/I=")</f>
        <v>#VALUE!</v>
      </c>
      <c r="IJ54" s="22" t="e">
        <f aca="false">AND(#REF!,"AAAAAHz3q/M=")</f>
        <v>#VALUE!</v>
      </c>
      <c r="IK54" s="22" t="e">
        <f aca="false">AND(#REF!,"AAAAAHz3q/Q=")</f>
        <v>#VALUE!</v>
      </c>
      <c r="IL54" s="22" t="e">
        <f aca="false">AND(#REF!,"AAAAAHz3q/U=")</f>
        <v>#VALUE!</v>
      </c>
      <c r="IM54" s="22" t="e">
        <f aca="false">AND(#REF!,"AAAAAHz3q/Y=")</f>
        <v>#VALUE!</v>
      </c>
      <c r="IN54" s="22" t="e">
        <f aca="false">IF(#REF!,"AAAAAHz3q/c=",0)</f>
        <v>#REF!</v>
      </c>
      <c r="IO54" s="22" t="e">
        <f aca="false">AND(#REF!,"AAAAAHz3q/g=")</f>
        <v>#VALUE!</v>
      </c>
      <c r="IP54" s="22" t="e">
        <f aca="false">AND(#REF!,"AAAAAHz3q/k=")</f>
        <v>#VALUE!</v>
      </c>
      <c r="IQ54" s="22" t="e">
        <f aca="false">AND(#REF!,"AAAAAHz3q/o=")</f>
        <v>#VALUE!</v>
      </c>
      <c r="IR54" s="22" t="e">
        <f aca="false">AND(#REF!,"AAAAAHz3q/s=")</f>
        <v>#VALUE!</v>
      </c>
      <c r="IS54" s="22" t="e">
        <f aca="false">AND(#REF!,"AAAAAHz3q/w=")</f>
        <v>#VALUE!</v>
      </c>
      <c r="IT54" s="22" t="e">
        <f aca="false">AND(#REF!,"AAAAAHz3q/0=")</f>
        <v>#VALUE!</v>
      </c>
      <c r="IU54" s="22" t="e">
        <f aca="false">IF(#REF!,"AAAAAHz3q/4=",0)</f>
        <v>#REF!</v>
      </c>
      <c r="IV54" s="22" t="e">
        <f aca="false">AND(#REF!,"AAAAAHz3q/8=")</f>
        <v>#VALUE!</v>
      </c>
    </row>
    <row r="55" customFormat="false" ht="12.75" hidden="false" customHeight="false" outlineLevel="0" collapsed="false">
      <c r="A55" s="22" t="e">
        <f aca="false">AND(#REF!,"AAAAAD/9ewA=")</f>
        <v>#VALUE!</v>
      </c>
      <c r="B55" s="22" t="e">
        <f aca="false">AND(#REF!,"AAAAAD/9ewE=")</f>
        <v>#VALUE!</v>
      </c>
      <c r="C55" s="22" t="e">
        <f aca="false">AND(#REF!,"AAAAAD/9ewI=")</f>
        <v>#VALUE!</v>
      </c>
      <c r="D55" s="22" t="e">
        <f aca="false">AND(#REF!,"AAAAAD/9ewM=")</f>
        <v>#VALUE!</v>
      </c>
      <c r="E55" s="22" t="e">
        <f aca="false">AND(#REF!,"AAAAAD/9ewQ=")</f>
        <v>#VALUE!</v>
      </c>
      <c r="F55" s="22" t="e">
        <f aca="false">IF(#REF!,"AAAAAD/9ewU=",0)</f>
        <v>#REF!</v>
      </c>
      <c r="G55" s="22" t="e">
        <f aca="false">AND(#REF!,"AAAAAD/9ewY=")</f>
        <v>#VALUE!</v>
      </c>
      <c r="H55" s="22" t="e">
        <f aca="false">AND(#REF!,"AAAAAD/9ewc=")</f>
        <v>#VALUE!</v>
      </c>
      <c r="I55" s="22" t="e">
        <f aca="false">AND(#REF!,"AAAAAD/9ewg=")</f>
        <v>#VALUE!</v>
      </c>
      <c r="J55" s="22" t="e">
        <f aca="false">AND(#REF!,"AAAAAD/9ewk=")</f>
        <v>#VALUE!</v>
      </c>
      <c r="K55" s="22" t="e">
        <f aca="false">AND(#REF!,"AAAAAD/9ewo=")</f>
        <v>#VALUE!</v>
      </c>
      <c r="L55" s="22" t="e">
        <f aca="false">AND(#REF!,"AAAAAD/9ews=")</f>
        <v>#VALUE!</v>
      </c>
      <c r="M55" s="22" t="e">
        <f aca="false">IF(#REF!,"AAAAAD/9eww=",0)</f>
        <v>#REF!</v>
      </c>
      <c r="N55" s="22" t="e">
        <f aca="false">AND(#REF!,"AAAAAD/9ew0=")</f>
        <v>#VALUE!</v>
      </c>
      <c r="O55" s="22" t="e">
        <f aca="false">AND(#REF!,"AAAAAD/9ew4=")</f>
        <v>#VALUE!</v>
      </c>
      <c r="P55" s="22" t="e">
        <f aca="false">AND(#REF!,"AAAAAD/9ew8=")</f>
        <v>#VALUE!</v>
      </c>
      <c r="Q55" s="22" t="e">
        <f aca="false">AND(#REF!,"AAAAAD/9exA=")</f>
        <v>#VALUE!</v>
      </c>
      <c r="R55" s="22" t="e">
        <f aca="false">AND(#REF!,"AAAAAD/9exE=")</f>
        <v>#VALUE!</v>
      </c>
      <c r="S55" s="22" t="e">
        <f aca="false">AND(#REF!,"AAAAAD/9exI=")</f>
        <v>#VALUE!</v>
      </c>
      <c r="T55" s="22" t="e">
        <f aca="false">IF(#REF!,"AAAAAD/9exM=",0)</f>
        <v>#REF!</v>
      </c>
      <c r="U55" s="22" t="e">
        <f aca="false">AND(#REF!,"AAAAAD/9exQ=")</f>
        <v>#VALUE!</v>
      </c>
      <c r="V55" s="22" t="e">
        <f aca="false">AND(#REF!,"AAAAAD/9exU=")</f>
        <v>#VALUE!</v>
      </c>
      <c r="W55" s="22" t="e">
        <f aca="false">AND(#REF!,"AAAAAD/9exY=")</f>
        <v>#VALUE!</v>
      </c>
      <c r="X55" s="22" t="e">
        <f aca="false">AND(#REF!,"AAAAAD/9exc=")</f>
        <v>#VALUE!</v>
      </c>
      <c r="Y55" s="22" t="e">
        <f aca="false">AND(#REF!,"AAAAAD/9exg=")</f>
        <v>#VALUE!</v>
      </c>
      <c r="Z55" s="22" t="e">
        <f aca="false">AND(#REF!,"AAAAAD/9exk=")</f>
        <v>#VALUE!</v>
      </c>
      <c r="AA55" s="22" t="e">
        <f aca="false">IF(#REF!,"AAAAAD/9exo=",0)</f>
        <v>#REF!</v>
      </c>
      <c r="AB55" s="22" t="e">
        <f aca="false">AND(#REF!,"AAAAAD/9exs=")</f>
        <v>#VALUE!</v>
      </c>
      <c r="AC55" s="22" t="e">
        <f aca="false">AND(#REF!,"AAAAAD/9exw=")</f>
        <v>#VALUE!</v>
      </c>
      <c r="AD55" s="22" t="e">
        <f aca="false">AND(#REF!,"AAAAAD/9ex0=")</f>
        <v>#VALUE!</v>
      </c>
      <c r="AE55" s="22" t="e">
        <f aca="false">AND(#REF!,"AAAAAD/9ex4=")</f>
        <v>#VALUE!</v>
      </c>
      <c r="AF55" s="22" t="e">
        <f aca="false">AND(#REF!,"AAAAAD/9ex8=")</f>
        <v>#VALUE!</v>
      </c>
      <c r="AG55" s="22" t="e">
        <f aca="false">AND(#REF!,"AAAAAD/9eyA=")</f>
        <v>#VALUE!</v>
      </c>
      <c r="AH55" s="22" t="e">
        <f aca="false">IF(#REF!,"AAAAAD/9eyE=",0)</f>
        <v>#REF!</v>
      </c>
      <c r="AI55" s="22" t="e">
        <f aca="false">AND(#REF!,"AAAAAD/9eyI=")</f>
        <v>#VALUE!</v>
      </c>
      <c r="AJ55" s="22" t="e">
        <f aca="false">AND(#REF!,"AAAAAD/9eyM=")</f>
        <v>#VALUE!</v>
      </c>
      <c r="AK55" s="22" t="e">
        <f aca="false">AND(#REF!,"AAAAAD/9eyQ=")</f>
        <v>#VALUE!</v>
      </c>
      <c r="AL55" s="22" t="e">
        <f aca="false">AND(#REF!,"AAAAAD/9eyU=")</f>
        <v>#VALUE!</v>
      </c>
      <c r="AM55" s="22" t="e">
        <f aca="false">AND(#REF!,"AAAAAD/9eyY=")</f>
        <v>#VALUE!</v>
      </c>
      <c r="AN55" s="22" t="e">
        <f aca="false">AND(#REF!,"AAAAAD/9eyc=")</f>
        <v>#VALUE!</v>
      </c>
      <c r="AO55" s="22" t="e">
        <f aca="false">IF(#REF!,"AAAAAD/9eyg=",0)</f>
        <v>#REF!</v>
      </c>
      <c r="AP55" s="22" t="e">
        <f aca="false">AND(#REF!,"AAAAAD/9eyk=")</f>
        <v>#VALUE!</v>
      </c>
      <c r="AQ55" s="22" t="e">
        <f aca="false">AND(#REF!,"AAAAAD/9eyo=")</f>
        <v>#VALUE!</v>
      </c>
      <c r="AR55" s="22" t="e">
        <f aca="false">AND(#REF!,"AAAAAD/9eys=")</f>
        <v>#VALUE!</v>
      </c>
      <c r="AS55" s="22" t="e">
        <f aca="false">AND(#REF!,"AAAAAD/9eyw=")</f>
        <v>#VALUE!</v>
      </c>
      <c r="AT55" s="22" t="e">
        <f aca="false">AND(#REF!,"AAAAAD/9ey0=")</f>
        <v>#VALUE!</v>
      </c>
      <c r="AU55" s="22" t="e">
        <f aca="false">AND(#REF!,"AAAAAD/9ey4=")</f>
        <v>#VALUE!</v>
      </c>
      <c r="AV55" s="22" t="e">
        <f aca="false">IF(#REF!,"AAAAAD/9ey8=",0)</f>
        <v>#REF!</v>
      </c>
      <c r="AW55" s="22" t="e">
        <f aca="false">AND(#REF!,"AAAAAD/9ezA=")</f>
        <v>#VALUE!</v>
      </c>
      <c r="AX55" s="22" t="e">
        <f aca="false">AND(#REF!,"AAAAAD/9ezE=")</f>
        <v>#VALUE!</v>
      </c>
      <c r="AY55" s="22" t="e">
        <f aca="false">AND(#REF!,"AAAAAD/9ezI=")</f>
        <v>#VALUE!</v>
      </c>
      <c r="AZ55" s="22" t="e">
        <f aca="false">AND(#REF!,"AAAAAD/9ezM=")</f>
        <v>#VALUE!</v>
      </c>
      <c r="BA55" s="22" t="e">
        <f aca="false">AND(#REF!,"AAAAAD/9ezQ=")</f>
        <v>#VALUE!</v>
      </c>
      <c r="BB55" s="22" t="e">
        <f aca="false">AND(#REF!,"AAAAAD/9ezU=")</f>
        <v>#VALUE!</v>
      </c>
      <c r="BC55" s="22" t="e">
        <f aca="false">IF(#REF!,"AAAAAD/9ezY=",0)</f>
        <v>#REF!</v>
      </c>
      <c r="BD55" s="22" t="e">
        <f aca="false">AND(#REF!,"AAAAAD/9ezc=")</f>
        <v>#VALUE!</v>
      </c>
      <c r="BE55" s="22" t="e">
        <f aca="false">AND(#REF!,"AAAAAD/9ezg=")</f>
        <v>#VALUE!</v>
      </c>
      <c r="BF55" s="22" t="e">
        <f aca="false">AND(#REF!,"AAAAAD/9ezk=")</f>
        <v>#VALUE!</v>
      </c>
      <c r="BG55" s="22" t="e">
        <f aca="false">AND(#REF!,"AAAAAD/9ezo=")</f>
        <v>#VALUE!</v>
      </c>
      <c r="BH55" s="22" t="e">
        <f aca="false">AND(#REF!,"AAAAAD/9ezs=")</f>
        <v>#VALUE!</v>
      </c>
      <c r="BI55" s="22" t="e">
        <f aca="false">AND(#REF!,"AAAAAD/9ezw=")</f>
        <v>#VALUE!</v>
      </c>
      <c r="BJ55" s="22" t="e">
        <f aca="false">IF(#REF!,"AAAAAD/9ez0=",0)</f>
        <v>#REF!</v>
      </c>
      <c r="BK55" s="22" t="e">
        <f aca="false">AND(#REF!,"AAAAAD/9ez4=")</f>
        <v>#VALUE!</v>
      </c>
      <c r="BL55" s="22" t="e">
        <f aca="false">AND(#REF!,"AAAAAD/9ez8=")</f>
        <v>#VALUE!</v>
      </c>
      <c r="BM55" s="22" t="e">
        <f aca="false">AND(#REF!,"AAAAAD/9e0A=")</f>
        <v>#VALUE!</v>
      </c>
      <c r="BN55" s="22" t="e">
        <f aca="false">AND(#REF!,"AAAAAD/9e0E=")</f>
        <v>#VALUE!</v>
      </c>
      <c r="BO55" s="22" t="e">
        <f aca="false">AND(#REF!,"AAAAAD/9e0I=")</f>
        <v>#VALUE!</v>
      </c>
      <c r="BP55" s="22" t="e">
        <f aca="false">AND(#REF!,"AAAAAD/9e0M=")</f>
        <v>#VALUE!</v>
      </c>
      <c r="BQ55" s="22" t="e">
        <f aca="false">IF(#REF!,"AAAAAD/9e0Q=",0)</f>
        <v>#REF!</v>
      </c>
      <c r="BR55" s="22" t="e">
        <f aca="false">AND(#REF!,"AAAAAD/9e0U=")</f>
        <v>#VALUE!</v>
      </c>
      <c r="BS55" s="22" t="e">
        <f aca="false">AND(#REF!,"AAAAAD/9e0Y=")</f>
        <v>#VALUE!</v>
      </c>
      <c r="BT55" s="22" t="e">
        <f aca="false">AND(#REF!,"AAAAAD/9e0c=")</f>
        <v>#VALUE!</v>
      </c>
      <c r="BU55" s="22" t="e">
        <f aca="false">AND(#REF!,"AAAAAD/9e0g=")</f>
        <v>#VALUE!</v>
      </c>
      <c r="BV55" s="22" t="e">
        <f aca="false">AND(#REF!,"AAAAAD/9e0k=")</f>
        <v>#VALUE!</v>
      </c>
      <c r="BW55" s="22" t="e">
        <f aca="false">AND(#REF!,"AAAAAD/9e0o=")</f>
        <v>#VALUE!</v>
      </c>
      <c r="BX55" s="22" t="e">
        <f aca="false">IF(#REF!,"AAAAAD/9e0s=",0)</f>
        <v>#REF!</v>
      </c>
      <c r="BY55" s="22" t="e">
        <f aca="false">AND(#REF!,"AAAAAD/9e0w=")</f>
        <v>#VALUE!</v>
      </c>
      <c r="BZ55" s="22" t="e">
        <f aca="false">AND(#REF!,"AAAAAD/9e00=")</f>
        <v>#VALUE!</v>
      </c>
      <c r="CA55" s="22" t="e">
        <f aca="false">AND(#REF!,"AAAAAD/9e04=")</f>
        <v>#VALUE!</v>
      </c>
      <c r="CB55" s="22" t="e">
        <f aca="false">AND(#REF!,"AAAAAD/9e08=")</f>
        <v>#VALUE!</v>
      </c>
      <c r="CC55" s="22" t="e">
        <f aca="false">AND(#REF!,"AAAAAD/9e1A=")</f>
        <v>#VALUE!</v>
      </c>
      <c r="CD55" s="22" t="e">
        <f aca="false">AND(#REF!,"AAAAAD/9e1E=")</f>
        <v>#VALUE!</v>
      </c>
      <c r="CE55" s="22" t="e">
        <f aca="false">IF(#REF!,"AAAAAD/9e1I=",0)</f>
        <v>#REF!</v>
      </c>
      <c r="CF55" s="22" t="e">
        <f aca="false">AND(#REF!,"AAAAAD/9e1M=")</f>
        <v>#VALUE!</v>
      </c>
      <c r="CG55" s="22" t="e">
        <f aca="false">AND(#REF!,"AAAAAD/9e1Q=")</f>
        <v>#VALUE!</v>
      </c>
      <c r="CH55" s="22" t="e">
        <f aca="false">AND(#REF!,"AAAAAD/9e1U=")</f>
        <v>#VALUE!</v>
      </c>
      <c r="CI55" s="22" t="e">
        <f aca="false">AND(#REF!,"AAAAAD/9e1Y=")</f>
        <v>#VALUE!</v>
      </c>
      <c r="CJ55" s="22" t="e">
        <f aca="false">AND(#REF!,"AAAAAD/9e1c=")</f>
        <v>#VALUE!</v>
      </c>
      <c r="CK55" s="22" t="e">
        <f aca="false">AND(#REF!,"AAAAAD/9e1g=")</f>
        <v>#VALUE!</v>
      </c>
      <c r="CL55" s="22" t="e">
        <f aca="false">IF(#REF!,"AAAAAD/9e1k=",0)</f>
        <v>#REF!</v>
      </c>
      <c r="CM55" s="22" t="e">
        <f aca="false">AND(#REF!,"AAAAAD/9e1o=")</f>
        <v>#VALUE!</v>
      </c>
      <c r="CN55" s="22" t="e">
        <f aca="false">AND(#REF!,"AAAAAD/9e1s=")</f>
        <v>#VALUE!</v>
      </c>
      <c r="CO55" s="22" t="e">
        <f aca="false">AND(#REF!,"AAAAAD/9e1w=")</f>
        <v>#VALUE!</v>
      </c>
      <c r="CP55" s="22" t="e">
        <f aca="false">AND(#REF!,"AAAAAD/9e10=")</f>
        <v>#VALUE!</v>
      </c>
      <c r="CQ55" s="22" t="e">
        <f aca="false">AND(#REF!,"AAAAAD/9e14=")</f>
        <v>#VALUE!</v>
      </c>
      <c r="CR55" s="22" t="e">
        <f aca="false">AND(#REF!,"AAAAAD/9e18=")</f>
        <v>#VALUE!</v>
      </c>
      <c r="CS55" s="22" t="e">
        <f aca="false">IF(#REF!,"AAAAAD/9e2A=",0)</f>
        <v>#REF!</v>
      </c>
      <c r="CT55" s="22" t="e">
        <f aca="false">AND(#REF!,"AAAAAD/9e2E=")</f>
        <v>#VALUE!</v>
      </c>
      <c r="CU55" s="22" t="e">
        <f aca="false">AND(#REF!,"AAAAAD/9e2I=")</f>
        <v>#VALUE!</v>
      </c>
      <c r="CV55" s="22" t="e">
        <f aca="false">AND(#REF!,"AAAAAD/9e2M=")</f>
        <v>#VALUE!</v>
      </c>
      <c r="CW55" s="22" t="e">
        <f aca="false">AND(#REF!,"AAAAAD/9e2Q=")</f>
        <v>#VALUE!</v>
      </c>
      <c r="CX55" s="22" t="e">
        <f aca="false">AND(#REF!,"AAAAAD/9e2U=")</f>
        <v>#VALUE!</v>
      </c>
      <c r="CY55" s="22" t="e">
        <f aca="false">AND(#REF!,"AAAAAD/9e2Y=")</f>
        <v>#VALUE!</v>
      </c>
      <c r="CZ55" s="22" t="e">
        <f aca="false">IF(#REF!,"AAAAAD/9e2c=",0)</f>
        <v>#REF!</v>
      </c>
      <c r="DA55" s="22" t="e">
        <f aca="false">AND(#REF!,"AAAAAD/9e2g=")</f>
        <v>#VALUE!</v>
      </c>
      <c r="DB55" s="22" t="e">
        <f aca="false">AND(#REF!,"AAAAAD/9e2k=")</f>
        <v>#VALUE!</v>
      </c>
      <c r="DC55" s="22" t="e">
        <f aca="false">AND(#REF!,"AAAAAD/9e2o=")</f>
        <v>#VALUE!</v>
      </c>
      <c r="DD55" s="22" t="e">
        <f aca="false">AND(#REF!,"AAAAAD/9e2s=")</f>
        <v>#VALUE!</v>
      </c>
      <c r="DE55" s="22" t="e">
        <f aca="false">AND(#REF!,"AAAAAD/9e2w=")</f>
        <v>#VALUE!</v>
      </c>
      <c r="DF55" s="22" t="e">
        <f aca="false">AND(#REF!,"AAAAAD/9e20=")</f>
        <v>#VALUE!</v>
      </c>
      <c r="DG55" s="22" t="e">
        <f aca="false">IF(#REF!,"AAAAAD/9e24=",0)</f>
        <v>#REF!</v>
      </c>
      <c r="DH55" s="22" t="e">
        <f aca="false">AND(#REF!,"AAAAAD/9e28=")</f>
        <v>#VALUE!</v>
      </c>
      <c r="DI55" s="22" t="e">
        <f aca="false">AND(#REF!,"AAAAAD/9e3A=")</f>
        <v>#VALUE!</v>
      </c>
      <c r="DJ55" s="22" t="e">
        <f aca="false">AND(#REF!,"AAAAAD/9e3E=")</f>
        <v>#VALUE!</v>
      </c>
      <c r="DK55" s="22" t="e">
        <f aca="false">AND(#REF!,"AAAAAD/9e3I=")</f>
        <v>#VALUE!</v>
      </c>
      <c r="DL55" s="22" t="e">
        <f aca="false">AND(#REF!,"AAAAAD/9e3M=")</f>
        <v>#VALUE!</v>
      </c>
      <c r="DM55" s="22" t="e">
        <f aca="false">AND(#REF!,"AAAAAD/9e3Q=")</f>
        <v>#VALUE!</v>
      </c>
      <c r="DN55" s="22" t="e">
        <f aca="false">IF(#REF!,"AAAAAD/9e3U=",0)</f>
        <v>#REF!</v>
      </c>
      <c r="DO55" s="22" t="e">
        <f aca="false">AND(#REF!,"AAAAAD/9e3Y=")</f>
        <v>#VALUE!</v>
      </c>
      <c r="DP55" s="22" t="e">
        <f aca="false">AND(#REF!,"AAAAAD/9e3c=")</f>
        <v>#VALUE!</v>
      </c>
      <c r="DQ55" s="22" t="e">
        <f aca="false">AND(#REF!,"AAAAAD/9e3g=")</f>
        <v>#VALUE!</v>
      </c>
      <c r="DR55" s="22" t="e">
        <f aca="false">AND(#REF!,"AAAAAD/9e3k=")</f>
        <v>#VALUE!</v>
      </c>
      <c r="DS55" s="22" t="e">
        <f aca="false">AND(#REF!,"AAAAAD/9e3o=")</f>
        <v>#VALUE!</v>
      </c>
      <c r="DT55" s="22" t="e">
        <f aca="false">AND(#REF!,"AAAAAD/9e3s=")</f>
        <v>#VALUE!</v>
      </c>
      <c r="DU55" s="22" t="e">
        <f aca="false">IF(#REF!,"AAAAAD/9e3w=",0)</f>
        <v>#REF!</v>
      </c>
      <c r="DV55" s="22" t="e">
        <f aca="false">AND(#REF!,"AAAAAD/9e30=")</f>
        <v>#VALUE!</v>
      </c>
      <c r="DW55" s="22" t="e">
        <f aca="false">AND(#REF!,"AAAAAD/9e34=")</f>
        <v>#VALUE!</v>
      </c>
      <c r="DX55" s="22" t="e">
        <f aca="false">AND(#REF!,"AAAAAD/9e38=")</f>
        <v>#VALUE!</v>
      </c>
      <c r="DY55" s="22" t="e">
        <f aca="false">AND(#REF!,"AAAAAD/9e4A=")</f>
        <v>#VALUE!</v>
      </c>
      <c r="DZ55" s="22" t="e">
        <f aca="false">AND(#REF!,"AAAAAD/9e4E=")</f>
        <v>#VALUE!</v>
      </c>
      <c r="EA55" s="22" t="e">
        <f aca="false">AND(#REF!,"AAAAAD/9e4I=")</f>
        <v>#VALUE!</v>
      </c>
      <c r="EB55" s="22" t="e">
        <f aca="false">IF(#REF!,"AAAAAD/9e4M=",0)</f>
        <v>#REF!</v>
      </c>
      <c r="EC55" s="22" t="e">
        <f aca="false">AND(#REF!,"AAAAAD/9e4Q=")</f>
        <v>#VALUE!</v>
      </c>
      <c r="ED55" s="22" t="e">
        <f aca="false">AND(#REF!,"AAAAAD/9e4U=")</f>
        <v>#VALUE!</v>
      </c>
      <c r="EE55" s="22" t="e">
        <f aca="false">AND(#REF!,"AAAAAD/9e4Y=")</f>
        <v>#VALUE!</v>
      </c>
      <c r="EF55" s="22" t="e">
        <f aca="false">AND(#REF!,"AAAAAD/9e4c=")</f>
        <v>#VALUE!</v>
      </c>
      <c r="EG55" s="22" t="e">
        <f aca="false">AND(#REF!,"AAAAAD/9e4g=")</f>
        <v>#VALUE!</v>
      </c>
      <c r="EH55" s="22" t="e">
        <f aca="false">AND(#REF!,"AAAAAD/9e4k=")</f>
        <v>#VALUE!</v>
      </c>
      <c r="EI55" s="22" t="e">
        <f aca="false">IF(#REF!,"AAAAAD/9e4o=",0)</f>
        <v>#REF!</v>
      </c>
      <c r="EJ55" s="22" t="e">
        <f aca="false">AND(#REF!,"AAAAAD/9e4s=")</f>
        <v>#VALUE!</v>
      </c>
      <c r="EK55" s="22" t="e">
        <f aca="false">AND(#REF!,"AAAAAD/9e4w=")</f>
        <v>#VALUE!</v>
      </c>
      <c r="EL55" s="22" t="e">
        <f aca="false">AND(#REF!,"AAAAAD/9e40=")</f>
        <v>#VALUE!</v>
      </c>
      <c r="EM55" s="22" t="e">
        <f aca="false">AND(#REF!,"AAAAAD/9e44=")</f>
        <v>#VALUE!</v>
      </c>
      <c r="EN55" s="22" t="e">
        <f aca="false">AND(#REF!,"AAAAAD/9e48=")</f>
        <v>#VALUE!</v>
      </c>
      <c r="EO55" s="22" t="e">
        <f aca="false">AND(#REF!,"AAAAAD/9e5A=")</f>
        <v>#VALUE!</v>
      </c>
      <c r="EP55" s="22" t="e">
        <f aca="false">IF(#REF!,"AAAAAD/9e5E=",0)</f>
        <v>#REF!</v>
      </c>
      <c r="EQ55" s="22" t="e">
        <f aca="false">AND(#REF!,"AAAAAD/9e5I=")</f>
        <v>#VALUE!</v>
      </c>
      <c r="ER55" s="22" t="e">
        <f aca="false">AND(#REF!,"AAAAAD/9e5M=")</f>
        <v>#VALUE!</v>
      </c>
      <c r="ES55" s="22" t="e">
        <f aca="false">AND(#REF!,"AAAAAD/9e5Q=")</f>
        <v>#VALUE!</v>
      </c>
      <c r="ET55" s="22" t="e">
        <f aca="false">AND(#REF!,"AAAAAD/9e5U=")</f>
        <v>#VALUE!</v>
      </c>
      <c r="EU55" s="22" t="e">
        <f aca="false">AND(#REF!,"AAAAAD/9e5Y=")</f>
        <v>#VALUE!</v>
      </c>
      <c r="EV55" s="22" t="e">
        <f aca="false">AND(#REF!,"AAAAAD/9e5c=")</f>
        <v>#VALUE!</v>
      </c>
      <c r="EW55" s="22" t="e">
        <f aca="false">IF(#REF!,"AAAAAD/9e5g=",0)</f>
        <v>#REF!</v>
      </c>
      <c r="EX55" s="22" t="e">
        <f aca="false">AND(#REF!,"AAAAAD/9e5k=")</f>
        <v>#VALUE!</v>
      </c>
      <c r="EY55" s="22" t="e">
        <f aca="false">AND(#REF!,"AAAAAD/9e5o=")</f>
        <v>#VALUE!</v>
      </c>
      <c r="EZ55" s="22" t="e">
        <f aca="false">AND(#REF!,"AAAAAD/9e5s=")</f>
        <v>#VALUE!</v>
      </c>
      <c r="FA55" s="22" t="e">
        <f aca="false">AND(#REF!,"AAAAAD/9e5w=")</f>
        <v>#VALUE!</v>
      </c>
      <c r="FB55" s="22" t="e">
        <f aca="false">AND(#REF!,"AAAAAD/9e50=")</f>
        <v>#VALUE!</v>
      </c>
      <c r="FC55" s="22" t="e">
        <f aca="false">AND(#REF!,"AAAAAD/9e54=")</f>
        <v>#VALUE!</v>
      </c>
      <c r="FD55" s="22" t="e">
        <f aca="false">IF(#REF!,"AAAAAD/9e58=",0)</f>
        <v>#REF!</v>
      </c>
      <c r="FE55" s="22" t="e">
        <f aca="false">AND(#REF!,"AAAAAD/9e6A=")</f>
        <v>#VALUE!</v>
      </c>
      <c r="FF55" s="22" t="e">
        <f aca="false">AND(#REF!,"AAAAAD/9e6E=")</f>
        <v>#VALUE!</v>
      </c>
      <c r="FG55" s="22" t="e">
        <f aca="false">AND(#REF!,"AAAAAD/9e6I=")</f>
        <v>#VALUE!</v>
      </c>
      <c r="FH55" s="22" t="e">
        <f aca="false">AND(#REF!,"AAAAAD/9e6M=")</f>
        <v>#VALUE!</v>
      </c>
      <c r="FI55" s="22" t="e">
        <f aca="false">AND(#REF!,"AAAAAD/9e6Q=")</f>
        <v>#VALUE!</v>
      </c>
      <c r="FJ55" s="22" t="e">
        <f aca="false">AND(#REF!,"AAAAAD/9e6U=")</f>
        <v>#VALUE!</v>
      </c>
      <c r="FK55" s="22" t="e">
        <f aca="false">IF(#REF!,"AAAAAD/9e6Y=",0)</f>
        <v>#REF!</v>
      </c>
      <c r="FL55" s="22" t="e">
        <f aca="false">AND(#REF!,"AAAAAD/9e6c=")</f>
        <v>#VALUE!</v>
      </c>
      <c r="FM55" s="22" t="e">
        <f aca="false">AND(#REF!,"AAAAAD/9e6g=")</f>
        <v>#VALUE!</v>
      </c>
      <c r="FN55" s="22" t="e">
        <f aca="false">AND(#REF!,"AAAAAD/9e6k=")</f>
        <v>#VALUE!</v>
      </c>
      <c r="FO55" s="22" t="e">
        <f aca="false">AND(#REF!,"AAAAAD/9e6o=")</f>
        <v>#VALUE!</v>
      </c>
      <c r="FP55" s="22" t="e">
        <f aca="false">AND(#REF!,"AAAAAD/9e6s=")</f>
        <v>#VALUE!</v>
      </c>
      <c r="FQ55" s="22" t="e">
        <f aca="false">AND(#REF!,"AAAAAD/9e6w=")</f>
        <v>#VALUE!</v>
      </c>
      <c r="FR55" s="22" t="e">
        <f aca="false">IF(#REF!,"AAAAAD/9e60=",0)</f>
        <v>#REF!</v>
      </c>
      <c r="FS55" s="22" t="e">
        <f aca="false">AND(#REF!,"AAAAAD/9e64=")</f>
        <v>#VALUE!</v>
      </c>
      <c r="FT55" s="22" t="e">
        <f aca="false">AND(#REF!,"AAAAAD/9e68=")</f>
        <v>#VALUE!</v>
      </c>
      <c r="FU55" s="22" t="e">
        <f aca="false">AND(#REF!,"AAAAAD/9e7A=")</f>
        <v>#VALUE!</v>
      </c>
      <c r="FV55" s="22" t="e">
        <f aca="false">AND(#REF!,"AAAAAD/9e7E=")</f>
        <v>#VALUE!</v>
      </c>
      <c r="FW55" s="22" t="e">
        <f aca="false">AND(#REF!,"AAAAAD/9e7I=")</f>
        <v>#VALUE!</v>
      </c>
      <c r="FX55" s="22" t="e">
        <f aca="false">AND(#REF!,"AAAAAD/9e7M=")</f>
        <v>#VALUE!</v>
      </c>
      <c r="FY55" s="22" t="e">
        <f aca="false">IF(#REF!,"AAAAAD/9e7Q=",0)</f>
        <v>#REF!</v>
      </c>
      <c r="FZ55" s="22" t="e">
        <f aca="false">AND(#REF!,"AAAAAD/9e7U=")</f>
        <v>#VALUE!</v>
      </c>
      <c r="GA55" s="22" t="e">
        <f aca="false">AND(#REF!,"AAAAAD/9e7Y=")</f>
        <v>#VALUE!</v>
      </c>
      <c r="GB55" s="22" t="e">
        <f aca="false">AND(#REF!,"AAAAAD/9e7c=")</f>
        <v>#VALUE!</v>
      </c>
      <c r="GC55" s="22" t="e">
        <f aca="false">AND(#REF!,"AAAAAD/9e7g=")</f>
        <v>#VALUE!</v>
      </c>
      <c r="GD55" s="22" t="e">
        <f aca="false">AND(#REF!,"AAAAAD/9e7k=")</f>
        <v>#VALUE!</v>
      </c>
      <c r="GE55" s="22" t="e">
        <f aca="false">AND(#REF!,"AAAAAD/9e7o=")</f>
        <v>#VALUE!</v>
      </c>
      <c r="GF55" s="22" t="e">
        <f aca="false">IF(#REF!,"AAAAAD/9e7s=",0)</f>
        <v>#REF!</v>
      </c>
      <c r="GG55" s="22" t="e">
        <f aca="false">AND(#REF!,"AAAAAD/9e7w=")</f>
        <v>#VALUE!</v>
      </c>
      <c r="GH55" s="22" t="e">
        <f aca="false">AND(#REF!,"AAAAAD/9e70=")</f>
        <v>#VALUE!</v>
      </c>
      <c r="GI55" s="22" t="e">
        <f aca="false">AND(#REF!,"AAAAAD/9e74=")</f>
        <v>#VALUE!</v>
      </c>
      <c r="GJ55" s="22" t="e">
        <f aca="false">AND(#REF!,"AAAAAD/9e78=")</f>
        <v>#VALUE!</v>
      </c>
      <c r="GK55" s="22" t="e">
        <f aca="false">AND(#REF!,"AAAAAD/9e8A=")</f>
        <v>#VALUE!</v>
      </c>
      <c r="GL55" s="22" t="e">
        <f aca="false">AND(#REF!,"AAAAAD/9e8E=")</f>
        <v>#VALUE!</v>
      </c>
      <c r="GM55" s="22" t="e">
        <f aca="false">IF(#REF!,"AAAAAD/9e8I=",0)</f>
        <v>#REF!</v>
      </c>
      <c r="GN55" s="22" t="e">
        <f aca="false">AND(#REF!,"AAAAAD/9e8M=")</f>
        <v>#VALUE!</v>
      </c>
      <c r="GO55" s="22" t="e">
        <f aca="false">AND(#REF!,"AAAAAD/9e8Q=")</f>
        <v>#VALUE!</v>
      </c>
      <c r="GP55" s="22" t="e">
        <f aca="false">AND(#REF!,"AAAAAD/9e8U=")</f>
        <v>#VALUE!</v>
      </c>
      <c r="GQ55" s="22" t="e">
        <f aca="false">AND(#REF!,"AAAAAD/9e8Y=")</f>
        <v>#VALUE!</v>
      </c>
      <c r="GR55" s="22" t="e">
        <f aca="false">AND(#REF!,"AAAAAD/9e8c=")</f>
        <v>#VALUE!</v>
      </c>
      <c r="GS55" s="22" t="e">
        <f aca="false">AND(#REF!,"AAAAAD/9e8g=")</f>
        <v>#VALUE!</v>
      </c>
      <c r="GT55" s="22" t="e">
        <f aca="false">IF(#REF!,"AAAAAD/9e8k=",0)</f>
        <v>#REF!</v>
      </c>
      <c r="GU55" s="22" t="e">
        <f aca="false">AND(#REF!,"AAAAAD/9e8o=")</f>
        <v>#VALUE!</v>
      </c>
      <c r="GV55" s="22" t="e">
        <f aca="false">AND(#REF!,"AAAAAD/9e8s=")</f>
        <v>#VALUE!</v>
      </c>
      <c r="GW55" s="22" t="e">
        <f aca="false">AND(#REF!,"AAAAAD/9e8w=")</f>
        <v>#VALUE!</v>
      </c>
      <c r="GX55" s="22" t="e">
        <f aca="false">AND(#REF!,"AAAAAD/9e80=")</f>
        <v>#VALUE!</v>
      </c>
      <c r="GY55" s="22" t="e">
        <f aca="false">AND(#REF!,"AAAAAD/9e84=")</f>
        <v>#VALUE!</v>
      </c>
      <c r="GZ55" s="22" t="e">
        <f aca="false">AND(#REF!,"AAAAAD/9e88=")</f>
        <v>#VALUE!</v>
      </c>
      <c r="HA55" s="22" t="e">
        <f aca="false">IF(#REF!,"AAAAAD/9e9A=",0)</f>
        <v>#REF!</v>
      </c>
      <c r="HB55" s="22" t="e">
        <f aca="false">AND(#REF!,"AAAAAD/9e9E=")</f>
        <v>#VALUE!</v>
      </c>
      <c r="HC55" s="22" t="e">
        <f aca="false">AND(#REF!,"AAAAAD/9e9I=")</f>
        <v>#VALUE!</v>
      </c>
      <c r="HD55" s="22" t="e">
        <f aca="false">AND(#REF!,"AAAAAD/9e9M=")</f>
        <v>#VALUE!</v>
      </c>
      <c r="HE55" s="22" t="e">
        <f aca="false">AND(#REF!,"AAAAAD/9e9Q=")</f>
        <v>#VALUE!</v>
      </c>
      <c r="HF55" s="22" t="e">
        <f aca="false">AND(#REF!,"AAAAAD/9e9U=")</f>
        <v>#VALUE!</v>
      </c>
      <c r="HG55" s="22" t="e">
        <f aca="false">AND(#REF!,"AAAAAD/9e9Y=")</f>
        <v>#VALUE!</v>
      </c>
      <c r="HH55" s="22" t="e">
        <f aca="false">IF(#REF!,"AAAAAD/9e9c=",0)</f>
        <v>#REF!</v>
      </c>
      <c r="HI55" s="22" t="e">
        <f aca="false">AND(#REF!,"AAAAAD/9e9g=")</f>
        <v>#VALUE!</v>
      </c>
      <c r="HJ55" s="22" t="e">
        <f aca="false">AND(#REF!,"AAAAAD/9e9k=")</f>
        <v>#VALUE!</v>
      </c>
      <c r="HK55" s="22" t="e">
        <f aca="false">AND(#REF!,"AAAAAD/9e9o=")</f>
        <v>#VALUE!</v>
      </c>
      <c r="HL55" s="22" t="e">
        <f aca="false">AND(#REF!,"AAAAAD/9e9s=")</f>
        <v>#VALUE!</v>
      </c>
      <c r="HM55" s="22" t="e">
        <f aca="false">AND(#REF!,"AAAAAD/9e9w=")</f>
        <v>#VALUE!</v>
      </c>
      <c r="HN55" s="22" t="e">
        <f aca="false">AND(#REF!,"AAAAAD/9e90=")</f>
        <v>#VALUE!</v>
      </c>
      <c r="HO55" s="22" t="e">
        <f aca="false">IF(#REF!,"AAAAAD/9e94=",0)</f>
        <v>#REF!</v>
      </c>
      <c r="HP55" s="22" t="e">
        <f aca="false">AND(#REF!,"AAAAAD/9e98=")</f>
        <v>#VALUE!</v>
      </c>
      <c r="HQ55" s="22" t="e">
        <f aca="false">AND(#REF!,"AAAAAD/9e+A=")</f>
        <v>#VALUE!</v>
      </c>
      <c r="HR55" s="22" t="e">
        <f aca="false">AND(#REF!,"AAAAAD/9e+E=")</f>
        <v>#VALUE!</v>
      </c>
      <c r="HS55" s="22" t="e">
        <f aca="false">AND(#REF!,"AAAAAD/9e+I=")</f>
        <v>#VALUE!</v>
      </c>
      <c r="HT55" s="22" t="e">
        <f aca="false">AND(#REF!,"AAAAAD/9e+M=")</f>
        <v>#VALUE!</v>
      </c>
      <c r="HU55" s="22" t="e">
        <f aca="false">AND(#REF!,"AAAAAD/9e+Q=")</f>
        <v>#VALUE!</v>
      </c>
      <c r="HV55" s="22" t="e">
        <f aca="false">IF(#REF!,"AAAAAD/9e+U=",0)</f>
        <v>#REF!</v>
      </c>
      <c r="HW55" s="22" t="e">
        <f aca="false">AND(#REF!,"AAAAAD/9e+Y=")</f>
        <v>#VALUE!</v>
      </c>
      <c r="HX55" s="22" t="e">
        <f aca="false">AND(#REF!,"AAAAAD/9e+c=")</f>
        <v>#VALUE!</v>
      </c>
      <c r="HY55" s="22" t="e">
        <f aca="false">AND(#REF!,"AAAAAD/9e+g=")</f>
        <v>#VALUE!</v>
      </c>
      <c r="HZ55" s="22" t="e">
        <f aca="false">AND(#REF!,"AAAAAD/9e+k=")</f>
        <v>#VALUE!</v>
      </c>
      <c r="IA55" s="22" t="e">
        <f aca="false">AND(#REF!,"AAAAAD/9e+o=")</f>
        <v>#VALUE!</v>
      </c>
      <c r="IB55" s="22" t="e">
        <f aca="false">AND(#REF!,"AAAAAD/9e+s=")</f>
        <v>#VALUE!</v>
      </c>
      <c r="IC55" s="22" t="e">
        <f aca="false">IF(#REF!,"AAAAAD/9e+w=",0)</f>
        <v>#REF!</v>
      </c>
      <c r="ID55" s="22" t="e">
        <f aca="false">AND(#REF!,"AAAAAD/9e+0=")</f>
        <v>#VALUE!</v>
      </c>
      <c r="IE55" s="22" t="e">
        <f aca="false">AND(#REF!,"AAAAAD/9e+4=")</f>
        <v>#VALUE!</v>
      </c>
      <c r="IF55" s="22" t="e">
        <f aca="false">AND(#REF!,"AAAAAD/9e+8=")</f>
        <v>#VALUE!</v>
      </c>
      <c r="IG55" s="22" t="e">
        <f aca="false">AND(#REF!,"AAAAAD/9e/A=")</f>
        <v>#VALUE!</v>
      </c>
      <c r="IH55" s="22" t="e">
        <f aca="false">AND(#REF!,"AAAAAD/9e/E=")</f>
        <v>#VALUE!</v>
      </c>
      <c r="II55" s="22" t="e">
        <f aca="false">AND(#REF!,"AAAAAD/9e/I=")</f>
        <v>#VALUE!</v>
      </c>
      <c r="IJ55" s="22" t="e">
        <f aca="false">IF(#REF!,"AAAAAD/9e/M=",0)</f>
        <v>#REF!</v>
      </c>
      <c r="IK55" s="22" t="e">
        <f aca="false">AND(#REF!,"AAAAAD/9e/Q=")</f>
        <v>#VALUE!</v>
      </c>
      <c r="IL55" s="22" t="e">
        <f aca="false">AND(#REF!,"AAAAAD/9e/U=")</f>
        <v>#VALUE!</v>
      </c>
      <c r="IM55" s="22" t="e">
        <f aca="false">AND(#REF!,"AAAAAD/9e/Y=")</f>
        <v>#VALUE!</v>
      </c>
      <c r="IN55" s="22" t="e">
        <f aca="false">AND(#REF!,"AAAAAD/9e/c=")</f>
        <v>#VALUE!</v>
      </c>
      <c r="IO55" s="22" t="e">
        <f aca="false">AND(#REF!,"AAAAAD/9e/g=")</f>
        <v>#VALUE!</v>
      </c>
      <c r="IP55" s="22" t="e">
        <f aca="false">AND(#REF!,"AAAAAD/9e/k=")</f>
        <v>#VALUE!</v>
      </c>
      <c r="IQ55" s="22" t="e">
        <f aca="false">IF(#REF!,"AAAAAD/9e/o=",0)</f>
        <v>#REF!</v>
      </c>
      <c r="IR55" s="22" t="e">
        <f aca="false">AND(#REF!,"AAAAAD/9e/s=")</f>
        <v>#VALUE!</v>
      </c>
      <c r="IS55" s="22" t="e">
        <f aca="false">AND(#REF!,"AAAAAD/9e/w=")</f>
        <v>#VALUE!</v>
      </c>
      <c r="IT55" s="22" t="e">
        <f aca="false">AND(#REF!,"AAAAAD/9e/0=")</f>
        <v>#VALUE!</v>
      </c>
      <c r="IU55" s="22" t="e">
        <f aca="false">AND(#REF!,"AAAAAD/9e/4=")</f>
        <v>#VALUE!</v>
      </c>
      <c r="IV55" s="22" t="e">
        <f aca="false">AND(#REF!,"AAAAAD/9e/8=")</f>
        <v>#VALUE!</v>
      </c>
    </row>
    <row r="56" customFormat="false" ht="12.75" hidden="false" customHeight="false" outlineLevel="0" collapsed="false">
      <c r="A56" s="22" t="e">
        <f aca="false">AND(#REF!,"AAAAAG//+wA=")</f>
        <v>#VALUE!</v>
      </c>
      <c r="B56" s="22" t="e">
        <f aca="false">IF(#REF!,"AAAAAG//+wE=",0)</f>
        <v>#REF!</v>
      </c>
      <c r="C56" s="22" t="e">
        <f aca="false">AND(#REF!,"AAAAAG//+wI=")</f>
        <v>#VALUE!</v>
      </c>
      <c r="D56" s="22" t="e">
        <f aca="false">AND(#REF!,"AAAAAG//+wM=")</f>
        <v>#VALUE!</v>
      </c>
      <c r="E56" s="22" t="e">
        <f aca="false">AND(#REF!,"AAAAAG//+wQ=")</f>
        <v>#VALUE!</v>
      </c>
      <c r="F56" s="22" t="e">
        <f aca="false">AND(#REF!,"AAAAAG//+wU=")</f>
        <v>#VALUE!</v>
      </c>
      <c r="G56" s="22" t="e">
        <f aca="false">AND(#REF!,"AAAAAG//+wY=")</f>
        <v>#VALUE!</v>
      </c>
      <c r="H56" s="22" t="e">
        <f aca="false">AND(#REF!,"AAAAAG//+wc=")</f>
        <v>#VALUE!</v>
      </c>
      <c r="I56" s="22" t="e">
        <f aca="false">IF(#REF!,"AAAAAG//+wg=",0)</f>
        <v>#REF!</v>
      </c>
      <c r="J56" s="22" t="e">
        <f aca="false">AND(#REF!,"AAAAAG//+wk=")</f>
        <v>#VALUE!</v>
      </c>
      <c r="K56" s="22" t="e">
        <f aca="false">AND(#REF!,"AAAAAG//+wo=")</f>
        <v>#VALUE!</v>
      </c>
      <c r="L56" s="22" t="e">
        <f aca="false">AND(#REF!,"AAAAAG//+ws=")</f>
        <v>#VALUE!</v>
      </c>
      <c r="M56" s="22" t="e">
        <f aca="false">AND(#REF!,"AAAAAG//+ww=")</f>
        <v>#VALUE!</v>
      </c>
      <c r="N56" s="22" t="e">
        <f aca="false">AND(#REF!,"AAAAAG//+w0=")</f>
        <v>#VALUE!</v>
      </c>
      <c r="O56" s="22" t="e">
        <f aca="false">AND(#REF!,"AAAAAG//+w4=")</f>
        <v>#VALUE!</v>
      </c>
      <c r="P56" s="22" t="e">
        <f aca="false">IF(#REF!,"AAAAAG//+w8=",0)</f>
        <v>#REF!</v>
      </c>
      <c r="Q56" s="22" t="e">
        <f aca="false">AND(#REF!,"AAAAAG//+xA=")</f>
        <v>#VALUE!</v>
      </c>
      <c r="R56" s="22" t="e">
        <f aca="false">AND(#REF!,"AAAAAG//+xE=")</f>
        <v>#VALUE!</v>
      </c>
      <c r="S56" s="22" t="e">
        <f aca="false">AND(#REF!,"AAAAAG//+xI=")</f>
        <v>#VALUE!</v>
      </c>
      <c r="T56" s="22" t="e">
        <f aca="false">AND(#REF!,"AAAAAG//+xM=")</f>
        <v>#VALUE!</v>
      </c>
      <c r="U56" s="22" t="e">
        <f aca="false">AND(#REF!,"AAAAAG//+xQ=")</f>
        <v>#VALUE!</v>
      </c>
      <c r="V56" s="22" t="e">
        <f aca="false">AND(#REF!,"AAAAAG//+xU=")</f>
        <v>#VALUE!</v>
      </c>
      <c r="W56" s="22" t="e">
        <f aca="false">IF(#REF!,"AAAAAG//+xY=",0)</f>
        <v>#REF!</v>
      </c>
      <c r="X56" s="22" t="e">
        <f aca="false">AND(#REF!,"AAAAAG//+xc=")</f>
        <v>#VALUE!</v>
      </c>
      <c r="Y56" s="22" t="e">
        <f aca="false">AND(#REF!,"AAAAAG//+xg=")</f>
        <v>#VALUE!</v>
      </c>
      <c r="Z56" s="22" t="e">
        <f aca="false">AND(#REF!,"AAAAAG//+xk=")</f>
        <v>#VALUE!</v>
      </c>
      <c r="AA56" s="22" t="e">
        <f aca="false">AND(#REF!,"AAAAAG//+xo=")</f>
        <v>#VALUE!</v>
      </c>
      <c r="AB56" s="22" t="e">
        <f aca="false">AND(#REF!,"AAAAAG//+xs=")</f>
        <v>#VALUE!</v>
      </c>
      <c r="AC56" s="22" t="e">
        <f aca="false">AND(#REF!,"AAAAAG//+xw=")</f>
        <v>#VALUE!</v>
      </c>
      <c r="AD56" s="22" t="e">
        <f aca="false">IF(#REF!,"AAAAAG//+x0=",0)</f>
        <v>#REF!</v>
      </c>
      <c r="AE56" s="22" t="e">
        <f aca="false">AND(#REF!,"AAAAAG//+x4=")</f>
        <v>#VALUE!</v>
      </c>
      <c r="AF56" s="22" t="e">
        <f aca="false">AND(#REF!,"AAAAAG//+x8=")</f>
        <v>#VALUE!</v>
      </c>
      <c r="AG56" s="22" t="e">
        <f aca="false">AND(#REF!,"AAAAAG//+yA=")</f>
        <v>#VALUE!</v>
      </c>
      <c r="AH56" s="22" t="e">
        <f aca="false">AND(#REF!,"AAAAAG//+yE=")</f>
        <v>#VALUE!</v>
      </c>
      <c r="AI56" s="22" t="e">
        <f aca="false">AND(#REF!,"AAAAAG//+yI=")</f>
        <v>#VALUE!</v>
      </c>
      <c r="AJ56" s="22" t="e">
        <f aca="false">AND(#REF!,"AAAAAG//+yM=")</f>
        <v>#VALUE!</v>
      </c>
      <c r="AK56" s="22" t="e">
        <f aca="false">IF(#REF!,"AAAAAG//+yQ=",0)</f>
        <v>#REF!</v>
      </c>
      <c r="AL56" s="22" t="e">
        <f aca="false">AND(#REF!,"AAAAAG//+yU=")</f>
        <v>#VALUE!</v>
      </c>
      <c r="AM56" s="22" t="e">
        <f aca="false">AND(#REF!,"AAAAAG//+yY=")</f>
        <v>#VALUE!</v>
      </c>
      <c r="AN56" s="22" t="e">
        <f aca="false">AND(#REF!,"AAAAAG//+yc=")</f>
        <v>#VALUE!</v>
      </c>
      <c r="AO56" s="22" t="e">
        <f aca="false">AND(#REF!,"AAAAAG//+yg=")</f>
        <v>#VALUE!</v>
      </c>
      <c r="AP56" s="22" t="e">
        <f aca="false">AND(#REF!,"AAAAAG//+yk=")</f>
        <v>#VALUE!</v>
      </c>
      <c r="AQ56" s="22" t="e">
        <f aca="false">AND(#REF!,"AAAAAG//+yo=")</f>
        <v>#VALUE!</v>
      </c>
      <c r="AR56" s="22" t="e">
        <f aca="false">IF(#REF!,"AAAAAG//+ys=",0)</f>
        <v>#REF!</v>
      </c>
      <c r="AS56" s="22" t="e">
        <f aca="false">AND(#REF!,"AAAAAG//+yw=")</f>
        <v>#VALUE!</v>
      </c>
      <c r="AT56" s="22" t="e">
        <f aca="false">AND(#REF!,"AAAAAG//+y0=")</f>
        <v>#VALUE!</v>
      </c>
      <c r="AU56" s="22" t="e">
        <f aca="false">AND(#REF!,"AAAAAG//+y4=")</f>
        <v>#VALUE!</v>
      </c>
      <c r="AV56" s="22" t="e">
        <f aca="false">AND(#REF!,"AAAAAG//+y8=")</f>
        <v>#VALUE!</v>
      </c>
      <c r="AW56" s="22" t="e">
        <f aca="false">AND(#REF!,"AAAAAG//+zA=")</f>
        <v>#VALUE!</v>
      </c>
      <c r="AX56" s="22" t="e">
        <f aca="false">AND(#REF!,"AAAAAG//+zE=")</f>
        <v>#VALUE!</v>
      </c>
      <c r="AY56" s="22" t="e">
        <f aca="false">IF(#REF!,"AAAAAG//+zI=",0)</f>
        <v>#REF!</v>
      </c>
      <c r="AZ56" s="22" t="e">
        <f aca="false">AND(#REF!,"AAAAAG//+zM=")</f>
        <v>#VALUE!</v>
      </c>
      <c r="BA56" s="22" t="e">
        <f aca="false">AND(#REF!,"AAAAAG//+zQ=")</f>
        <v>#VALUE!</v>
      </c>
      <c r="BB56" s="22" t="e">
        <f aca="false">AND(#REF!,"AAAAAG//+zU=")</f>
        <v>#VALUE!</v>
      </c>
      <c r="BC56" s="22" t="e">
        <f aca="false">AND(#REF!,"AAAAAG//+zY=")</f>
        <v>#VALUE!</v>
      </c>
      <c r="BD56" s="22" t="e">
        <f aca="false">AND(#REF!,"AAAAAG//+zc=")</f>
        <v>#VALUE!</v>
      </c>
      <c r="BE56" s="22" t="e">
        <f aca="false">AND(#REF!,"AAAAAG//+zg=")</f>
        <v>#VALUE!</v>
      </c>
      <c r="BF56" s="22" t="e">
        <f aca="false">IF(#REF!,"AAAAAG//+zk=",0)</f>
        <v>#REF!</v>
      </c>
      <c r="BG56" s="22" t="e">
        <f aca="false">AND(#REF!,"AAAAAG//+zo=")</f>
        <v>#VALUE!</v>
      </c>
      <c r="BH56" s="22" t="e">
        <f aca="false">AND(#REF!,"AAAAAG//+zs=")</f>
        <v>#VALUE!</v>
      </c>
      <c r="BI56" s="22" t="e">
        <f aca="false">AND(#REF!,"AAAAAG//+zw=")</f>
        <v>#VALUE!</v>
      </c>
      <c r="BJ56" s="22" t="e">
        <f aca="false">AND(#REF!,"AAAAAG//+z0=")</f>
        <v>#VALUE!</v>
      </c>
      <c r="BK56" s="22" t="e">
        <f aca="false">AND(#REF!,"AAAAAG//+z4=")</f>
        <v>#VALUE!</v>
      </c>
      <c r="BL56" s="22" t="e">
        <f aca="false">AND(#REF!,"AAAAAG//+z8=")</f>
        <v>#VALUE!</v>
      </c>
      <c r="BM56" s="22" t="e">
        <f aca="false">IF(#REF!,"AAAAAG//+0A=",0)</f>
        <v>#REF!</v>
      </c>
      <c r="BN56" s="22" t="e">
        <f aca="false">AND(#REF!,"AAAAAG//+0E=")</f>
        <v>#VALUE!</v>
      </c>
      <c r="BO56" s="22" t="e">
        <f aca="false">AND(#REF!,"AAAAAG//+0I=")</f>
        <v>#VALUE!</v>
      </c>
      <c r="BP56" s="22" t="e">
        <f aca="false">AND(#REF!,"AAAAAG//+0M=")</f>
        <v>#VALUE!</v>
      </c>
      <c r="BQ56" s="22" t="e">
        <f aca="false">AND(#REF!,"AAAAAG//+0Q=")</f>
        <v>#VALUE!</v>
      </c>
      <c r="BR56" s="22" t="e">
        <f aca="false">AND(#REF!,"AAAAAG//+0U=")</f>
        <v>#VALUE!</v>
      </c>
      <c r="BS56" s="22" t="e">
        <f aca="false">AND(#REF!,"AAAAAG//+0Y=")</f>
        <v>#VALUE!</v>
      </c>
      <c r="BT56" s="22" t="e">
        <f aca="false">IF(#REF!,"AAAAAG//+0c=",0)</f>
        <v>#REF!</v>
      </c>
      <c r="BU56" s="22" t="e">
        <f aca="false">AND(#REF!,"AAAAAG//+0g=")</f>
        <v>#VALUE!</v>
      </c>
      <c r="BV56" s="22" t="e">
        <f aca="false">AND(#REF!,"AAAAAG//+0k=")</f>
        <v>#VALUE!</v>
      </c>
      <c r="BW56" s="22" t="e">
        <f aca="false">AND(#REF!,"AAAAAG//+0o=")</f>
        <v>#VALUE!</v>
      </c>
      <c r="BX56" s="22" t="e">
        <f aca="false">AND(#REF!,"AAAAAG//+0s=")</f>
        <v>#VALUE!</v>
      </c>
      <c r="BY56" s="22" t="e">
        <f aca="false">AND(#REF!,"AAAAAG//+0w=")</f>
        <v>#VALUE!</v>
      </c>
      <c r="BZ56" s="22" t="e">
        <f aca="false">AND(#REF!,"AAAAAG//+00=")</f>
        <v>#VALUE!</v>
      </c>
      <c r="CA56" s="22" t="e">
        <f aca="false">IF(#REF!,"AAAAAG//+04=",0)</f>
        <v>#REF!</v>
      </c>
      <c r="CB56" s="22" t="e">
        <f aca="false">AND(#REF!,"AAAAAG//+08=")</f>
        <v>#VALUE!</v>
      </c>
      <c r="CC56" s="22" t="e">
        <f aca="false">AND(#REF!,"AAAAAG//+1A=")</f>
        <v>#VALUE!</v>
      </c>
      <c r="CD56" s="22" t="e">
        <f aca="false">AND(#REF!,"AAAAAG//+1E=")</f>
        <v>#VALUE!</v>
      </c>
      <c r="CE56" s="22" t="e">
        <f aca="false">AND(#REF!,"AAAAAG//+1I=")</f>
        <v>#VALUE!</v>
      </c>
      <c r="CF56" s="22" t="e">
        <f aca="false">AND(#REF!,"AAAAAG//+1M=")</f>
        <v>#VALUE!</v>
      </c>
      <c r="CG56" s="22" t="e">
        <f aca="false">AND(#REF!,"AAAAAG//+1Q=")</f>
        <v>#VALUE!</v>
      </c>
      <c r="CH56" s="22" t="e">
        <f aca="false">IF(#REF!,"AAAAAG//+1U=",0)</f>
        <v>#REF!</v>
      </c>
      <c r="CI56" s="22" t="e">
        <f aca="false">AND(#REF!,"AAAAAG//+1Y=")</f>
        <v>#VALUE!</v>
      </c>
      <c r="CJ56" s="22" t="e">
        <f aca="false">AND(#REF!,"AAAAAG//+1c=")</f>
        <v>#VALUE!</v>
      </c>
      <c r="CK56" s="22" t="e">
        <f aca="false">AND(#REF!,"AAAAAG//+1g=")</f>
        <v>#VALUE!</v>
      </c>
      <c r="CL56" s="22" t="e">
        <f aca="false">AND(#REF!,"AAAAAG//+1k=")</f>
        <v>#VALUE!</v>
      </c>
      <c r="CM56" s="22" t="e">
        <f aca="false">AND(#REF!,"AAAAAG//+1o=")</f>
        <v>#VALUE!</v>
      </c>
      <c r="CN56" s="22" t="e">
        <f aca="false">AND(#REF!,"AAAAAG//+1s=")</f>
        <v>#VALUE!</v>
      </c>
      <c r="CO56" s="22" t="e">
        <f aca="false">IF(#REF!,"AAAAAG//+1w=",0)</f>
        <v>#REF!</v>
      </c>
      <c r="CP56" s="22" t="e">
        <f aca="false">AND(#REF!,"AAAAAG//+10=")</f>
        <v>#VALUE!</v>
      </c>
      <c r="CQ56" s="22" t="e">
        <f aca="false">AND(#REF!,"AAAAAG//+14=")</f>
        <v>#VALUE!</v>
      </c>
      <c r="CR56" s="22" t="e">
        <f aca="false">AND(#REF!,"AAAAAG//+18=")</f>
        <v>#VALUE!</v>
      </c>
      <c r="CS56" s="22" t="e">
        <f aca="false">AND(#REF!,"AAAAAG//+2A=")</f>
        <v>#VALUE!</v>
      </c>
      <c r="CT56" s="22" t="e">
        <f aca="false">AND(#REF!,"AAAAAG//+2E=")</f>
        <v>#VALUE!</v>
      </c>
      <c r="CU56" s="22" t="e">
        <f aca="false">AND(#REF!,"AAAAAG//+2I=")</f>
        <v>#VALUE!</v>
      </c>
      <c r="CV56" s="22" t="e">
        <f aca="false">IF(#REF!,"AAAAAG//+2M=",0)</f>
        <v>#REF!</v>
      </c>
      <c r="CW56" s="22" t="e">
        <f aca="false">AND(#REF!,"AAAAAG//+2Q=")</f>
        <v>#VALUE!</v>
      </c>
      <c r="CX56" s="22" t="e">
        <f aca="false">AND(#REF!,"AAAAAG//+2U=")</f>
        <v>#VALUE!</v>
      </c>
      <c r="CY56" s="22" t="e">
        <f aca="false">AND(#REF!,"AAAAAG//+2Y=")</f>
        <v>#VALUE!</v>
      </c>
      <c r="CZ56" s="22" t="e">
        <f aca="false">AND(#REF!,"AAAAAG//+2c=")</f>
        <v>#VALUE!</v>
      </c>
      <c r="DA56" s="22" t="e">
        <f aca="false">AND(#REF!,"AAAAAG//+2g=")</f>
        <v>#VALUE!</v>
      </c>
      <c r="DB56" s="22" t="e">
        <f aca="false">AND(#REF!,"AAAAAG//+2k=")</f>
        <v>#VALUE!</v>
      </c>
      <c r="DC56" s="22" t="e">
        <f aca="false">IF(#REF!,"AAAAAG//+2o=",0)</f>
        <v>#REF!</v>
      </c>
      <c r="DD56" s="22" t="e">
        <f aca="false">AND(#REF!,"AAAAAG//+2s=")</f>
        <v>#VALUE!</v>
      </c>
      <c r="DE56" s="22" t="e">
        <f aca="false">AND(#REF!,"AAAAAG//+2w=")</f>
        <v>#VALUE!</v>
      </c>
      <c r="DF56" s="22" t="e">
        <f aca="false">AND(#REF!,"AAAAAG//+20=")</f>
        <v>#VALUE!</v>
      </c>
      <c r="DG56" s="22" t="e">
        <f aca="false">AND(#REF!,"AAAAAG//+24=")</f>
        <v>#VALUE!</v>
      </c>
      <c r="DH56" s="22" t="e">
        <f aca="false">AND(#REF!,"AAAAAG//+28=")</f>
        <v>#VALUE!</v>
      </c>
      <c r="DI56" s="22" t="e">
        <f aca="false">AND(#REF!,"AAAAAG//+3A=")</f>
        <v>#VALUE!</v>
      </c>
      <c r="DJ56" s="22" t="e">
        <f aca="false">IF(#REF!,"AAAAAG//+3E=",0)</f>
        <v>#REF!</v>
      </c>
      <c r="DK56" s="22" t="e">
        <f aca="false">AND(#REF!,"AAAAAG//+3I=")</f>
        <v>#VALUE!</v>
      </c>
      <c r="DL56" s="22" t="e">
        <f aca="false">AND(#REF!,"AAAAAG//+3M=")</f>
        <v>#VALUE!</v>
      </c>
      <c r="DM56" s="22" t="e">
        <f aca="false">AND(#REF!,"AAAAAG//+3Q=")</f>
        <v>#VALUE!</v>
      </c>
      <c r="DN56" s="22" t="e">
        <f aca="false">AND(#REF!,"AAAAAG//+3U=")</f>
        <v>#VALUE!</v>
      </c>
      <c r="DO56" s="22" t="e">
        <f aca="false">AND(#REF!,"AAAAAG//+3Y=")</f>
        <v>#VALUE!</v>
      </c>
      <c r="DP56" s="22" t="e">
        <f aca="false">AND(#REF!,"AAAAAG//+3c=")</f>
        <v>#VALUE!</v>
      </c>
      <c r="DQ56" s="22" t="e">
        <f aca="false">IF(#REF!,"AAAAAG//+3g=",0)</f>
        <v>#REF!</v>
      </c>
      <c r="DR56" s="22" t="e">
        <f aca="false">AND(#REF!,"AAAAAG//+3k=")</f>
        <v>#VALUE!</v>
      </c>
      <c r="DS56" s="22" t="e">
        <f aca="false">AND(#REF!,"AAAAAG//+3o=")</f>
        <v>#VALUE!</v>
      </c>
      <c r="DT56" s="22" t="e">
        <f aca="false">AND(#REF!,"AAAAAG//+3s=")</f>
        <v>#VALUE!</v>
      </c>
      <c r="DU56" s="22" t="e">
        <f aca="false">AND(#REF!,"AAAAAG//+3w=")</f>
        <v>#VALUE!</v>
      </c>
      <c r="DV56" s="22" t="e">
        <f aca="false">AND(#REF!,"AAAAAG//+30=")</f>
        <v>#VALUE!</v>
      </c>
      <c r="DW56" s="22" t="e">
        <f aca="false">AND(#REF!,"AAAAAG//+34=")</f>
        <v>#VALUE!</v>
      </c>
      <c r="DX56" s="22" t="e">
        <f aca="false">IF(#REF!,"AAAAAG//+38=",0)</f>
        <v>#REF!</v>
      </c>
      <c r="DY56" s="22" t="e">
        <f aca="false">AND(#REF!,"AAAAAG//+4A=")</f>
        <v>#VALUE!</v>
      </c>
      <c r="DZ56" s="22" t="e">
        <f aca="false">AND(#REF!,"AAAAAG//+4E=")</f>
        <v>#VALUE!</v>
      </c>
      <c r="EA56" s="22" t="e">
        <f aca="false">AND(#REF!,"AAAAAG//+4I=")</f>
        <v>#VALUE!</v>
      </c>
      <c r="EB56" s="22" t="e">
        <f aca="false">AND(#REF!,"AAAAAG//+4M=")</f>
        <v>#VALUE!</v>
      </c>
      <c r="EC56" s="22" t="e">
        <f aca="false">AND(#REF!,"AAAAAG//+4Q=")</f>
        <v>#VALUE!</v>
      </c>
      <c r="ED56" s="22" t="e">
        <f aca="false">AND(#REF!,"AAAAAG//+4U=")</f>
        <v>#VALUE!</v>
      </c>
      <c r="EE56" s="22" t="e">
        <f aca="false">IF(#REF!,"AAAAAG//+4Y=",0)</f>
        <v>#REF!</v>
      </c>
      <c r="EF56" s="22" t="e">
        <f aca="false">AND(#REF!,"AAAAAG//+4c=")</f>
        <v>#VALUE!</v>
      </c>
      <c r="EG56" s="22" t="e">
        <f aca="false">AND(#REF!,"AAAAAG//+4g=")</f>
        <v>#VALUE!</v>
      </c>
      <c r="EH56" s="22" t="e">
        <f aca="false">AND(#REF!,"AAAAAG//+4k=")</f>
        <v>#VALUE!</v>
      </c>
      <c r="EI56" s="22" t="e">
        <f aca="false">AND(#REF!,"AAAAAG//+4o=")</f>
        <v>#VALUE!</v>
      </c>
      <c r="EJ56" s="22" t="e">
        <f aca="false">AND(#REF!,"AAAAAG//+4s=")</f>
        <v>#VALUE!</v>
      </c>
      <c r="EK56" s="22" t="e">
        <f aca="false">AND(#REF!,"AAAAAG//+4w=")</f>
        <v>#VALUE!</v>
      </c>
      <c r="EL56" s="22" t="e">
        <f aca="false">IF(#REF!,"AAAAAG//+40=",0)</f>
        <v>#REF!</v>
      </c>
      <c r="EM56" s="22" t="e">
        <f aca="false">AND(#REF!,"AAAAAG//+44=")</f>
        <v>#VALUE!</v>
      </c>
      <c r="EN56" s="22" t="e">
        <f aca="false">AND(#REF!,"AAAAAG//+48=")</f>
        <v>#VALUE!</v>
      </c>
      <c r="EO56" s="22" t="e">
        <f aca="false">AND(#REF!,"AAAAAG//+5A=")</f>
        <v>#VALUE!</v>
      </c>
      <c r="EP56" s="22" t="e">
        <f aca="false">AND(#REF!,"AAAAAG//+5E=")</f>
        <v>#VALUE!</v>
      </c>
      <c r="EQ56" s="22" t="e">
        <f aca="false">AND(#REF!,"AAAAAG//+5I=")</f>
        <v>#VALUE!</v>
      </c>
      <c r="ER56" s="22" t="e">
        <f aca="false">AND(#REF!,"AAAAAG//+5M=")</f>
        <v>#VALUE!</v>
      </c>
      <c r="ES56" s="22" t="e">
        <f aca="false">IF(#REF!,"AAAAAG//+5Q=",0)</f>
        <v>#REF!</v>
      </c>
      <c r="ET56" s="22" t="e">
        <f aca="false">AND(#REF!,"AAAAAG//+5U=")</f>
        <v>#VALUE!</v>
      </c>
      <c r="EU56" s="22" t="e">
        <f aca="false">AND(#REF!,"AAAAAG//+5Y=")</f>
        <v>#VALUE!</v>
      </c>
      <c r="EV56" s="22" t="e">
        <f aca="false">AND(#REF!,"AAAAAG//+5c=")</f>
        <v>#VALUE!</v>
      </c>
      <c r="EW56" s="22" t="e">
        <f aca="false">AND(#REF!,"AAAAAG//+5g=")</f>
        <v>#VALUE!</v>
      </c>
      <c r="EX56" s="22" t="e">
        <f aca="false">AND(#REF!,"AAAAAG//+5k=")</f>
        <v>#VALUE!</v>
      </c>
      <c r="EY56" s="22" t="e">
        <f aca="false">AND(#REF!,"AAAAAG//+5o=")</f>
        <v>#VALUE!</v>
      </c>
      <c r="EZ56" s="22" t="e">
        <f aca="false">IF(#REF!,"AAAAAG//+5s=",0)</f>
        <v>#REF!</v>
      </c>
      <c r="FA56" s="22" t="e">
        <f aca="false">AND(#REF!,"AAAAAG//+5w=")</f>
        <v>#VALUE!</v>
      </c>
      <c r="FB56" s="22" t="e">
        <f aca="false">AND(#REF!,"AAAAAG//+50=")</f>
        <v>#VALUE!</v>
      </c>
      <c r="FC56" s="22" t="e">
        <f aca="false">AND(#REF!,"AAAAAG//+54=")</f>
        <v>#VALUE!</v>
      </c>
      <c r="FD56" s="22" t="e">
        <f aca="false">AND(#REF!,"AAAAAG//+58=")</f>
        <v>#VALUE!</v>
      </c>
      <c r="FE56" s="22" t="e">
        <f aca="false">AND(#REF!,"AAAAAG//+6A=")</f>
        <v>#VALUE!</v>
      </c>
      <c r="FF56" s="22" t="e">
        <f aca="false">AND(#REF!,"AAAAAG//+6E=")</f>
        <v>#VALUE!</v>
      </c>
      <c r="FG56" s="22" t="e">
        <f aca="false">IF(#REF!,"AAAAAG//+6I=",0)</f>
        <v>#REF!</v>
      </c>
      <c r="FH56" s="22" t="e">
        <f aca="false">AND(#REF!,"AAAAAG//+6M=")</f>
        <v>#VALUE!</v>
      </c>
      <c r="FI56" s="22" t="e">
        <f aca="false">AND(#REF!,"AAAAAG//+6Q=")</f>
        <v>#VALUE!</v>
      </c>
      <c r="FJ56" s="22" t="e">
        <f aca="false">AND(#REF!,"AAAAAG//+6U=")</f>
        <v>#VALUE!</v>
      </c>
      <c r="FK56" s="22" t="e">
        <f aca="false">AND(#REF!,"AAAAAG//+6Y=")</f>
        <v>#VALUE!</v>
      </c>
      <c r="FL56" s="22" t="e">
        <f aca="false">AND(#REF!,"AAAAAG//+6c=")</f>
        <v>#VALUE!</v>
      </c>
      <c r="FM56" s="22" t="e">
        <f aca="false">AND(#REF!,"AAAAAG//+6g=")</f>
        <v>#VALUE!</v>
      </c>
      <c r="FN56" s="22" t="e">
        <f aca="false">IF(#REF!,"AAAAAG//+6k=",0)</f>
        <v>#REF!</v>
      </c>
      <c r="FO56" s="22" t="e">
        <f aca="false">AND(#REF!,"AAAAAG//+6o=")</f>
        <v>#VALUE!</v>
      </c>
      <c r="FP56" s="22" t="e">
        <f aca="false">AND(#REF!,"AAAAAG//+6s=")</f>
        <v>#VALUE!</v>
      </c>
      <c r="FQ56" s="22" t="e">
        <f aca="false">AND(#REF!,"AAAAAG//+6w=")</f>
        <v>#VALUE!</v>
      </c>
      <c r="FR56" s="22" t="e">
        <f aca="false">AND(#REF!,"AAAAAG//+60=")</f>
        <v>#VALUE!</v>
      </c>
      <c r="FS56" s="22" t="e">
        <f aca="false">AND(#REF!,"AAAAAG//+64=")</f>
        <v>#VALUE!</v>
      </c>
      <c r="FT56" s="22" t="e">
        <f aca="false">AND(#REF!,"AAAAAG//+68=")</f>
        <v>#VALUE!</v>
      </c>
      <c r="FU56" s="22" t="e">
        <f aca="false">IF(#REF!,"AAAAAG//+7A=",0)</f>
        <v>#REF!</v>
      </c>
      <c r="FV56" s="22" t="e">
        <f aca="false">AND(#REF!,"AAAAAG//+7E=")</f>
        <v>#VALUE!</v>
      </c>
      <c r="FW56" s="22" t="e">
        <f aca="false">AND(#REF!,"AAAAAG//+7I=")</f>
        <v>#VALUE!</v>
      </c>
      <c r="FX56" s="22" t="e">
        <f aca="false">AND(#REF!,"AAAAAG//+7M=")</f>
        <v>#VALUE!</v>
      </c>
      <c r="FY56" s="22" t="e">
        <f aca="false">AND(#REF!,"AAAAAG//+7Q=")</f>
        <v>#VALUE!</v>
      </c>
      <c r="FZ56" s="22" t="e">
        <f aca="false">AND(#REF!,"AAAAAG//+7U=")</f>
        <v>#VALUE!</v>
      </c>
      <c r="GA56" s="22" t="e">
        <f aca="false">AND(#REF!,"AAAAAG//+7Y=")</f>
        <v>#VALUE!</v>
      </c>
      <c r="GB56" s="22" t="e">
        <f aca="false">IF(#REF!,"AAAAAG//+7c=",0)</f>
        <v>#REF!</v>
      </c>
      <c r="GC56" s="22" t="e">
        <f aca="false">AND(#REF!,"AAAAAG//+7g=")</f>
        <v>#VALUE!</v>
      </c>
      <c r="GD56" s="22" t="e">
        <f aca="false">AND(#REF!,"AAAAAG//+7k=")</f>
        <v>#VALUE!</v>
      </c>
      <c r="GE56" s="22" t="e">
        <f aca="false">AND(#REF!,"AAAAAG//+7o=")</f>
        <v>#VALUE!</v>
      </c>
      <c r="GF56" s="22" t="e">
        <f aca="false">AND(#REF!,"AAAAAG//+7s=")</f>
        <v>#VALUE!</v>
      </c>
      <c r="GG56" s="22" t="e">
        <f aca="false">AND(#REF!,"AAAAAG//+7w=")</f>
        <v>#VALUE!</v>
      </c>
      <c r="GH56" s="22" t="e">
        <f aca="false">AND(#REF!,"AAAAAG//+70=")</f>
        <v>#VALUE!</v>
      </c>
      <c r="GI56" s="22" t="e">
        <f aca="false">IF(#REF!,"AAAAAG//+74=",0)</f>
        <v>#REF!</v>
      </c>
      <c r="GJ56" s="22" t="e">
        <f aca="false">AND(#REF!,"AAAAAG//+78=")</f>
        <v>#VALUE!</v>
      </c>
      <c r="GK56" s="22" t="e">
        <f aca="false">AND(#REF!,"AAAAAG//+8A=")</f>
        <v>#VALUE!</v>
      </c>
      <c r="GL56" s="22" t="e">
        <f aca="false">AND(#REF!,"AAAAAG//+8E=")</f>
        <v>#VALUE!</v>
      </c>
      <c r="GM56" s="22" t="e">
        <f aca="false">AND(#REF!,"AAAAAG//+8I=")</f>
        <v>#VALUE!</v>
      </c>
      <c r="GN56" s="22" t="e">
        <f aca="false">AND(#REF!,"AAAAAG//+8M=")</f>
        <v>#VALUE!</v>
      </c>
      <c r="GO56" s="22" t="e">
        <f aca="false">AND(#REF!,"AAAAAG//+8Q=")</f>
        <v>#VALUE!</v>
      </c>
      <c r="GP56" s="22" t="e">
        <f aca="false">IF(#REF!,"AAAAAG//+8U=",0)</f>
        <v>#REF!</v>
      </c>
      <c r="GQ56" s="22" t="e">
        <f aca="false">AND(#REF!,"AAAAAG//+8Y=")</f>
        <v>#VALUE!</v>
      </c>
      <c r="GR56" s="22" t="e">
        <f aca="false">AND(#REF!,"AAAAAG//+8c=")</f>
        <v>#VALUE!</v>
      </c>
      <c r="GS56" s="22" t="e">
        <f aca="false">AND(#REF!,"AAAAAG//+8g=")</f>
        <v>#VALUE!</v>
      </c>
      <c r="GT56" s="22" t="e">
        <f aca="false">AND(#REF!,"AAAAAG//+8k=")</f>
        <v>#VALUE!</v>
      </c>
      <c r="GU56" s="22" t="e">
        <f aca="false">AND(#REF!,"AAAAAG//+8o=")</f>
        <v>#VALUE!</v>
      </c>
      <c r="GV56" s="22" t="e">
        <f aca="false">AND(#REF!,"AAAAAG//+8s=")</f>
        <v>#VALUE!</v>
      </c>
      <c r="GW56" s="22" t="e">
        <f aca="false">IF(#REF!,"AAAAAG//+8w=",0)</f>
        <v>#REF!</v>
      </c>
      <c r="GX56" s="22" t="e">
        <f aca="false">AND(#REF!,"AAAAAG//+80=")</f>
        <v>#VALUE!</v>
      </c>
      <c r="GY56" s="22" t="e">
        <f aca="false">AND(#REF!,"AAAAAG//+84=")</f>
        <v>#VALUE!</v>
      </c>
      <c r="GZ56" s="22" t="e">
        <f aca="false">AND(#REF!,"AAAAAG//+88=")</f>
        <v>#VALUE!</v>
      </c>
      <c r="HA56" s="22" t="e">
        <f aca="false">AND(#REF!,"AAAAAG//+9A=")</f>
        <v>#VALUE!</v>
      </c>
      <c r="HB56" s="22" t="e">
        <f aca="false">AND(#REF!,"AAAAAG//+9E=")</f>
        <v>#VALUE!</v>
      </c>
      <c r="HC56" s="22" t="e">
        <f aca="false">AND(#REF!,"AAAAAG//+9I=")</f>
        <v>#VALUE!</v>
      </c>
      <c r="HD56" s="22" t="e">
        <f aca="false">IF(#REF!,"AAAAAG//+9M=",0)</f>
        <v>#REF!</v>
      </c>
      <c r="HE56" s="22" t="e">
        <f aca="false">AND(#REF!,"AAAAAG//+9Q=")</f>
        <v>#VALUE!</v>
      </c>
      <c r="HF56" s="22" t="e">
        <f aca="false">AND(#REF!,"AAAAAG//+9U=")</f>
        <v>#VALUE!</v>
      </c>
      <c r="HG56" s="22" t="e">
        <f aca="false">AND(#REF!,"AAAAAG//+9Y=")</f>
        <v>#VALUE!</v>
      </c>
      <c r="HH56" s="22" t="e">
        <f aca="false">AND(#REF!,"AAAAAG//+9c=")</f>
        <v>#VALUE!</v>
      </c>
      <c r="HI56" s="22" t="e">
        <f aca="false">AND(#REF!,"AAAAAG//+9g=")</f>
        <v>#VALUE!</v>
      </c>
      <c r="HJ56" s="22" t="e">
        <f aca="false">AND(#REF!,"AAAAAG//+9k=")</f>
        <v>#VALUE!</v>
      </c>
      <c r="HK56" s="22" t="e">
        <f aca="false">IF(#REF!,"AAAAAG//+9o=",0)</f>
        <v>#REF!</v>
      </c>
      <c r="HL56" s="22" t="e">
        <f aca="false">AND(#REF!,"AAAAAG//+9s=")</f>
        <v>#VALUE!</v>
      </c>
      <c r="HM56" s="22" t="e">
        <f aca="false">AND(#REF!,"AAAAAG//+9w=")</f>
        <v>#VALUE!</v>
      </c>
      <c r="HN56" s="22" t="e">
        <f aca="false">AND(#REF!,"AAAAAG//+90=")</f>
        <v>#VALUE!</v>
      </c>
      <c r="HO56" s="22" t="e">
        <f aca="false">AND(#REF!,"AAAAAG//+94=")</f>
        <v>#VALUE!</v>
      </c>
      <c r="HP56" s="22" t="e">
        <f aca="false">AND(#REF!,"AAAAAG//+98=")</f>
        <v>#VALUE!</v>
      </c>
      <c r="HQ56" s="22" t="e">
        <f aca="false">AND(#REF!,"AAAAAG//++A=")</f>
        <v>#VALUE!</v>
      </c>
      <c r="HR56" s="22" t="e">
        <f aca="false">IF(#REF!,"AAAAAG//++E=",0)</f>
        <v>#REF!</v>
      </c>
      <c r="HS56" s="22" t="e">
        <f aca="false">AND(#REF!,"AAAAAG//++I=")</f>
        <v>#VALUE!</v>
      </c>
      <c r="HT56" s="22" t="e">
        <f aca="false">AND(#REF!,"AAAAAG//++M=")</f>
        <v>#VALUE!</v>
      </c>
      <c r="HU56" s="22" t="e">
        <f aca="false">AND(#REF!,"AAAAAG//++Q=")</f>
        <v>#VALUE!</v>
      </c>
      <c r="HV56" s="22" t="e">
        <f aca="false">AND(#REF!,"AAAAAG//++U=")</f>
        <v>#VALUE!</v>
      </c>
      <c r="HW56" s="22" t="e">
        <f aca="false">AND(#REF!,"AAAAAG//++Y=")</f>
        <v>#VALUE!</v>
      </c>
      <c r="HX56" s="22" t="e">
        <f aca="false">AND(#REF!,"AAAAAG//++c=")</f>
        <v>#VALUE!</v>
      </c>
      <c r="HY56" s="22" t="e">
        <f aca="false">IF(#REF!,"AAAAAG//++g=",0)</f>
        <v>#REF!</v>
      </c>
      <c r="HZ56" s="22" t="e">
        <f aca="false">AND(#REF!,"AAAAAG//++k=")</f>
        <v>#VALUE!</v>
      </c>
      <c r="IA56" s="22" t="e">
        <f aca="false">AND(#REF!,"AAAAAG//++o=")</f>
        <v>#VALUE!</v>
      </c>
      <c r="IB56" s="22" t="e">
        <f aca="false">AND(#REF!,"AAAAAG//++s=")</f>
        <v>#VALUE!</v>
      </c>
      <c r="IC56" s="22" t="e">
        <f aca="false">AND(#REF!,"AAAAAG//++w=")</f>
        <v>#VALUE!</v>
      </c>
      <c r="ID56" s="22" t="e">
        <f aca="false">AND(#REF!,"AAAAAG//++0=")</f>
        <v>#VALUE!</v>
      </c>
      <c r="IE56" s="22" t="e">
        <f aca="false">AND(#REF!,"AAAAAG//++4=")</f>
        <v>#VALUE!</v>
      </c>
      <c r="IF56" s="22" t="e">
        <f aca="false">IF(#REF!,"AAAAAG//++8=",0)</f>
        <v>#REF!</v>
      </c>
      <c r="IG56" s="22" t="e">
        <f aca="false">AND(#REF!,"AAAAAG//+/A=")</f>
        <v>#VALUE!</v>
      </c>
      <c r="IH56" s="22" t="e">
        <f aca="false">AND(#REF!,"AAAAAG//+/E=")</f>
        <v>#VALUE!</v>
      </c>
      <c r="II56" s="22" t="e">
        <f aca="false">AND(#REF!,"AAAAAG//+/I=")</f>
        <v>#VALUE!</v>
      </c>
      <c r="IJ56" s="22" t="e">
        <f aca="false">AND(#REF!,"AAAAAG//+/M=")</f>
        <v>#VALUE!</v>
      </c>
      <c r="IK56" s="22" t="e">
        <f aca="false">AND(#REF!,"AAAAAG//+/Q=")</f>
        <v>#VALUE!</v>
      </c>
      <c r="IL56" s="22" t="e">
        <f aca="false">AND(#REF!,"AAAAAG//+/U=")</f>
        <v>#VALUE!</v>
      </c>
      <c r="IM56" s="22" t="e">
        <f aca="false">IF(#REF!,"AAAAAG//+/Y=",0)</f>
        <v>#REF!</v>
      </c>
      <c r="IN56" s="22" t="e">
        <f aca="false">AND(#REF!,"AAAAAG//+/c=")</f>
        <v>#VALUE!</v>
      </c>
      <c r="IO56" s="22" t="e">
        <f aca="false">AND(#REF!,"AAAAAG//+/g=")</f>
        <v>#VALUE!</v>
      </c>
      <c r="IP56" s="22" t="e">
        <f aca="false">AND(#REF!,"AAAAAG//+/k=")</f>
        <v>#VALUE!</v>
      </c>
      <c r="IQ56" s="22" t="e">
        <f aca="false">AND(#REF!,"AAAAAG//+/o=")</f>
        <v>#VALUE!</v>
      </c>
      <c r="IR56" s="22" t="e">
        <f aca="false">AND(#REF!,"AAAAAG//+/s=")</f>
        <v>#VALUE!</v>
      </c>
      <c r="IS56" s="22" t="e">
        <f aca="false">AND(#REF!,"AAAAAG//+/w=")</f>
        <v>#VALUE!</v>
      </c>
      <c r="IT56" s="22" t="e">
        <f aca="false">IF(#REF!,"AAAAAG//+/0=",0)</f>
        <v>#REF!</v>
      </c>
      <c r="IU56" s="22" t="e">
        <f aca="false">AND(#REF!,"AAAAAG//+/4=")</f>
        <v>#VALUE!</v>
      </c>
      <c r="IV56" s="22" t="e">
        <f aca="false">AND(#REF!,"AAAAAG//+/8=")</f>
        <v>#VALUE!</v>
      </c>
    </row>
    <row r="57" customFormat="false" ht="12.75" hidden="false" customHeight="false" outlineLevel="0" collapsed="false">
      <c r="A57" s="22" t="e">
        <f aca="false">AND(#REF!,"AAAAAF//6wA=")</f>
        <v>#VALUE!</v>
      </c>
      <c r="B57" s="22" t="e">
        <f aca="false">AND(#REF!,"AAAAAF//6wE=")</f>
        <v>#VALUE!</v>
      </c>
      <c r="C57" s="22" t="e">
        <f aca="false">AND(#REF!,"AAAAAF//6wI=")</f>
        <v>#VALUE!</v>
      </c>
      <c r="D57" s="22" t="e">
        <f aca="false">AND(#REF!,"AAAAAF//6wM=")</f>
        <v>#VALUE!</v>
      </c>
      <c r="E57" s="22" t="e">
        <f aca="false">IF(#REF!,"AAAAAF//6wQ=",0)</f>
        <v>#REF!</v>
      </c>
      <c r="F57" s="22" t="e">
        <f aca="false">AND(#REF!,"AAAAAF//6wU=")</f>
        <v>#VALUE!</v>
      </c>
      <c r="G57" s="22" t="e">
        <f aca="false">AND(#REF!,"AAAAAF//6wY=")</f>
        <v>#VALUE!</v>
      </c>
      <c r="H57" s="22" t="e">
        <f aca="false">AND(#REF!,"AAAAAF//6wc=")</f>
        <v>#VALUE!</v>
      </c>
      <c r="I57" s="22" t="e">
        <f aca="false">AND(#REF!,"AAAAAF//6wg=")</f>
        <v>#VALUE!</v>
      </c>
      <c r="J57" s="22" t="e">
        <f aca="false">AND(#REF!,"AAAAAF//6wk=")</f>
        <v>#VALUE!</v>
      </c>
      <c r="K57" s="22" t="e">
        <f aca="false">AND(#REF!,"AAAAAF//6wo=")</f>
        <v>#VALUE!</v>
      </c>
      <c r="L57" s="22" t="e">
        <f aca="false">IF(#REF!,"AAAAAF//6ws=",0)</f>
        <v>#REF!</v>
      </c>
      <c r="M57" s="22" t="e">
        <f aca="false">AND(#REF!,"AAAAAF//6ww=")</f>
        <v>#VALUE!</v>
      </c>
      <c r="N57" s="22" t="e">
        <f aca="false">AND(#REF!,"AAAAAF//6w0=")</f>
        <v>#VALUE!</v>
      </c>
      <c r="O57" s="22" t="e">
        <f aca="false">AND(#REF!,"AAAAAF//6w4=")</f>
        <v>#VALUE!</v>
      </c>
      <c r="P57" s="22" t="e">
        <f aca="false">AND(#REF!,"AAAAAF//6w8=")</f>
        <v>#VALUE!</v>
      </c>
      <c r="Q57" s="22" t="e">
        <f aca="false">AND(#REF!,"AAAAAF//6xA=")</f>
        <v>#VALUE!</v>
      </c>
      <c r="R57" s="22" t="e">
        <f aca="false">AND(#REF!,"AAAAAF//6xE=")</f>
        <v>#VALUE!</v>
      </c>
      <c r="S57" s="22" t="e">
        <f aca="false">IF(#REF!,"AAAAAF//6xI=",0)</f>
        <v>#REF!</v>
      </c>
      <c r="T57" s="22" t="e">
        <f aca="false">AND(#REF!,"AAAAAF//6xM=")</f>
        <v>#VALUE!</v>
      </c>
      <c r="U57" s="22" t="e">
        <f aca="false">AND(#REF!,"AAAAAF//6xQ=")</f>
        <v>#VALUE!</v>
      </c>
      <c r="V57" s="22" t="e">
        <f aca="false">AND(#REF!,"AAAAAF//6xU=")</f>
        <v>#VALUE!</v>
      </c>
      <c r="W57" s="22" t="e">
        <f aca="false">AND(#REF!,"AAAAAF//6xY=")</f>
        <v>#VALUE!</v>
      </c>
      <c r="X57" s="22" t="e">
        <f aca="false">AND(#REF!,"AAAAAF//6xc=")</f>
        <v>#VALUE!</v>
      </c>
      <c r="Y57" s="22" t="e">
        <f aca="false">AND(#REF!,"AAAAAF//6xg=")</f>
        <v>#VALUE!</v>
      </c>
      <c r="Z57" s="22" t="e">
        <f aca="false">IF(#REF!,"AAAAAF//6xk=",0)</f>
        <v>#REF!</v>
      </c>
      <c r="AA57" s="22" t="e">
        <f aca="false">AND(#REF!,"AAAAAF//6xo=")</f>
        <v>#VALUE!</v>
      </c>
      <c r="AB57" s="22" t="e">
        <f aca="false">AND(#REF!,"AAAAAF//6xs=")</f>
        <v>#VALUE!</v>
      </c>
      <c r="AC57" s="22" t="e">
        <f aca="false">AND(#REF!,"AAAAAF//6xw=")</f>
        <v>#VALUE!</v>
      </c>
      <c r="AD57" s="22" t="e">
        <f aca="false">AND(#REF!,"AAAAAF//6x0=")</f>
        <v>#VALUE!</v>
      </c>
      <c r="AE57" s="22" t="e">
        <f aca="false">AND(#REF!,"AAAAAF//6x4=")</f>
        <v>#VALUE!</v>
      </c>
      <c r="AF57" s="22" t="e">
        <f aca="false">AND(#REF!,"AAAAAF//6x8=")</f>
        <v>#VALUE!</v>
      </c>
      <c r="AG57" s="22" t="e">
        <f aca="false">IF(#REF!,"AAAAAF//6yA=",0)</f>
        <v>#REF!</v>
      </c>
      <c r="AH57" s="22" t="e">
        <f aca="false">AND(#REF!,"AAAAAF//6yE=")</f>
        <v>#VALUE!</v>
      </c>
      <c r="AI57" s="22" t="e">
        <f aca="false">AND(#REF!,"AAAAAF//6yI=")</f>
        <v>#VALUE!</v>
      </c>
      <c r="AJ57" s="22" t="e">
        <f aca="false">AND(#REF!,"AAAAAF//6yM=")</f>
        <v>#VALUE!</v>
      </c>
      <c r="AK57" s="22" t="e">
        <f aca="false">AND(#REF!,"AAAAAF//6yQ=")</f>
        <v>#VALUE!</v>
      </c>
      <c r="AL57" s="22" t="e">
        <f aca="false">AND(#REF!,"AAAAAF//6yU=")</f>
        <v>#VALUE!</v>
      </c>
      <c r="AM57" s="22" t="e">
        <f aca="false">AND(#REF!,"AAAAAF//6yY=")</f>
        <v>#VALUE!</v>
      </c>
      <c r="AN57" s="22" t="e">
        <f aca="false">IF(#REF!,"AAAAAF//6yc=",0)</f>
        <v>#REF!</v>
      </c>
      <c r="AO57" s="22" t="e">
        <f aca="false">AND(#REF!,"AAAAAF//6yg=")</f>
        <v>#VALUE!</v>
      </c>
      <c r="AP57" s="22" t="e">
        <f aca="false">AND(#REF!,"AAAAAF//6yk=")</f>
        <v>#VALUE!</v>
      </c>
      <c r="AQ57" s="22" t="e">
        <f aca="false">AND(#REF!,"AAAAAF//6yo=")</f>
        <v>#VALUE!</v>
      </c>
      <c r="AR57" s="22" t="e">
        <f aca="false">AND(#REF!,"AAAAAF//6ys=")</f>
        <v>#VALUE!</v>
      </c>
      <c r="AS57" s="22" t="e">
        <f aca="false">AND(#REF!,"AAAAAF//6yw=")</f>
        <v>#VALUE!</v>
      </c>
      <c r="AT57" s="22" t="e">
        <f aca="false">AND(#REF!,"AAAAAF//6y0=")</f>
        <v>#VALUE!</v>
      </c>
      <c r="AU57" s="22" t="e">
        <f aca="false">IF(#REF!,"AAAAAF//6y4=",0)</f>
        <v>#REF!</v>
      </c>
      <c r="AV57" s="22" t="e">
        <f aca="false">AND(#REF!,"AAAAAF//6y8=")</f>
        <v>#VALUE!</v>
      </c>
      <c r="AW57" s="22" t="e">
        <f aca="false">AND(#REF!,"AAAAAF//6zA=")</f>
        <v>#VALUE!</v>
      </c>
      <c r="AX57" s="22" t="e">
        <f aca="false">AND(#REF!,"AAAAAF//6zE=")</f>
        <v>#VALUE!</v>
      </c>
      <c r="AY57" s="22" t="e">
        <f aca="false">AND(#REF!,"AAAAAF//6zI=")</f>
        <v>#VALUE!</v>
      </c>
      <c r="AZ57" s="22" t="e">
        <f aca="false">AND(#REF!,"AAAAAF//6zM=")</f>
        <v>#VALUE!</v>
      </c>
      <c r="BA57" s="22" t="e">
        <f aca="false">AND(#REF!,"AAAAAF//6zQ=")</f>
        <v>#VALUE!</v>
      </c>
      <c r="BB57" s="22" t="e">
        <f aca="false">IF(#REF!,"AAAAAF//6zU=",0)</f>
        <v>#REF!</v>
      </c>
      <c r="BC57" s="22" t="e">
        <f aca="false">AND(#REF!,"AAAAAF//6zY=")</f>
        <v>#VALUE!</v>
      </c>
      <c r="BD57" s="22" t="e">
        <f aca="false">AND(#REF!,"AAAAAF//6zc=")</f>
        <v>#VALUE!</v>
      </c>
      <c r="BE57" s="22" t="e">
        <f aca="false">AND(#REF!,"AAAAAF//6zg=")</f>
        <v>#VALUE!</v>
      </c>
      <c r="BF57" s="22" t="e">
        <f aca="false">AND(#REF!,"AAAAAF//6zk=")</f>
        <v>#VALUE!</v>
      </c>
      <c r="BG57" s="22" t="e">
        <f aca="false">AND(#REF!,"AAAAAF//6zo=")</f>
        <v>#VALUE!</v>
      </c>
      <c r="BH57" s="22" t="e">
        <f aca="false">AND(#REF!,"AAAAAF//6zs=")</f>
        <v>#VALUE!</v>
      </c>
      <c r="BI57" s="22" t="e">
        <f aca="false">IF(#REF!,"AAAAAF//6zw=",0)</f>
        <v>#REF!</v>
      </c>
      <c r="BJ57" s="22" t="e">
        <f aca="false">AND(#REF!,"AAAAAF//6z0=")</f>
        <v>#VALUE!</v>
      </c>
      <c r="BK57" s="22" t="e">
        <f aca="false">AND(#REF!,"AAAAAF//6z4=")</f>
        <v>#VALUE!</v>
      </c>
      <c r="BL57" s="22" t="e">
        <f aca="false">AND(#REF!,"AAAAAF//6z8=")</f>
        <v>#VALUE!</v>
      </c>
      <c r="BM57" s="22" t="e">
        <f aca="false">AND(#REF!,"AAAAAF//60A=")</f>
        <v>#VALUE!</v>
      </c>
      <c r="BN57" s="22" t="e">
        <f aca="false">AND(#REF!,"AAAAAF//60E=")</f>
        <v>#VALUE!</v>
      </c>
      <c r="BO57" s="22" t="e">
        <f aca="false">AND(#REF!,"AAAAAF//60I=")</f>
        <v>#VALUE!</v>
      </c>
      <c r="BP57" s="22" t="e">
        <f aca="false">IF(#REF!,"AAAAAF//60M=",0)</f>
        <v>#REF!</v>
      </c>
      <c r="BQ57" s="22" t="e">
        <f aca="false">AND(#REF!,"AAAAAF//60Q=")</f>
        <v>#VALUE!</v>
      </c>
      <c r="BR57" s="22" t="e">
        <f aca="false">AND(#REF!,"AAAAAF//60U=")</f>
        <v>#VALUE!</v>
      </c>
      <c r="BS57" s="22" t="e">
        <f aca="false">AND(#REF!,"AAAAAF//60Y=")</f>
        <v>#VALUE!</v>
      </c>
      <c r="BT57" s="22" t="e">
        <f aca="false">AND(#REF!,"AAAAAF//60c=")</f>
        <v>#VALUE!</v>
      </c>
      <c r="BU57" s="22" t="e">
        <f aca="false">AND(#REF!,"AAAAAF//60g=")</f>
        <v>#VALUE!</v>
      </c>
      <c r="BV57" s="22" t="e">
        <f aca="false">AND(#REF!,"AAAAAF//60k=")</f>
        <v>#VALUE!</v>
      </c>
      <c r="BW57" s="22" t="e">
        <f aca="false">IF(#REF!,"AAAAAF//60o=",0)</f>
        <v>#REF!</v>
      </c>
      <c r="BX57" s="22" t="e">
        <f aca="false">AND(#REF!,"AAAAAF//60s=")</f>
        <v>#VALUE!</v>
      </c>
      <c r="BY57" s="22" t="e">
        <f aca="false">AND(#REF!,"AAAAAF//60w=")</f>
        <v>#VALUE!</v>
      </c>
      <c r="BZ57" s="22" t="e">
        <f aca="false">AND(#REF!,"AAAAAF//600=")</f>
        <v>#VALUE!</v>
      </c>
      <c r="CA57" s="22" t="e">
        <f aca="false">AND(#REF!,"AAAAAF//604=")</f>
        <v>#VALUE!</v>
      </c>
      <c r="CB57" s="22" t="e">
        <f aca="false">AND(#REF!,"AAAAAF//608=")</f>
        <v>#VALUE!</v>
      </c>
      <c r="CC57" s="22" t="e">
        <f aca="false">AND(#REF!,"AAAAAF//61A=")</f>
        <v>#VALUE!</v>
      </c>
      <c r="CD57" s="22" t="e">
        <f aca="false">IF(#REF!,"AAAAAF//61E=",0)</f>
        <v>#REF!</v>
      </c>
      <c r="CE57" s="22" t="e">
        <f aca="false">AND(#REF!,"AAAAAF//61I=")</f>
        <v>#VALUE!</v>
      </c>
      <c r="CF57" s="22" t="e">
        <f aca="false">AND(#REF!,"AAAAAF//61M=")</f>
        <v>#VALUE!</v>
      </c>
      <c r="CG57" s="22" t="e">
        <f aca="false">AND(#REF!,"AAAAAF//61Q=")</f>
        <v>#VALUE!</v>
      </c>
      <c r="CH57" s="22" t="e">
        <f aca="false">AND(#REF!,"AAAAAF//61U=")</f>
        <v>#VALUE!</v>
      </c>
      <c r="CI57" s="22" t="e">
        <f aca="false">AND(#REF!,"AAAAAF//61Y=")</f>
        <v>#VALUE!</v>
      </c>
      <c r="CJ57" s="22" t="e">
        <f aca="false">AND(#REF!,"AAAAAF//61c=")</f>
        <v>#VALUE!</v>
      </c>
      <c r="CK57" s="22" t="e">
        <f aca="false">IF(#REF!,"AAAAAF//61g=",0)</f>
        <v>#REF!</v>
      </c>
      <c r="CL57" s="22" t="e">
        <f aca="false">AND(#REF!,"AAAAAF//61k=")</f>
        <v>#VALUE!</v>
      </c>
      <c r="CM57" s="22" t="e">
        <f aca="false">AND(#REF!,"AAAAAF//61o=")</f>
        <v>#VALUE!</v>
      </c>
      <c r="CN57" s="22" t="e">
        <f aca="false">AND(#REF!,"AAAAAF//61s=")</f>
        <v>#VALUE!</v>
      </c>
      <c r="CO57" s="22" t="e">
        <f aca="false">AND(#REF!,"AAAAAF//61w=")</f>
        <v>#VALUE!</v>
      </c>
      <c r="CP57" s="22" t="e">
        <f aca="false">AND(#REF!,"AAAAAF//610=")</f>
        <v>#VALUE!</v>
      </c>
      <c r="CQ57" s="22" t="e">
        <f aca="false">AND(#REF!,"AAAAAF//614=")</f>
        <v>#VALUE!</v>
      </c>
      <c r="CR57" s="22" t="e">
        <f aca="false">IF(#REF!,"AAAAAF//618=",0)</f>
        <v>#REF!</v>
      </c>
      <c r="CS57" s="22" t="e">
        <f aca="false">AND(#REF!,"AAAAAF//62A=")</f>
        <v>#VALUE!</v>
      </c>
      <c r="CT57" s="22" t="e">
        <f aca="false">AND(#REF!,"AAAAAF//62E=")</f>
        <v>#VALUE!</v>
      </c>
      <c r="CU57" s="22" t="e">
        <f aca="false">AND(#REF!,"AAAAAF//62I=")</f>
        <v>#VALUE!</v>
      </c>
      <c r="CV57" s="22" t="e">
        <f aca="false">AND(#REF!,"AAAAAF//62M=")</f>
        <v>#VALUE!</v>
      </c>
      <c r="CW57" s="22" t="e">
        <f aca="false">AND(#REF!,"AAAAAF//62Q=")</f>
        <v>#VALUE!</v>
      </c>
      <c r="CX57" s="22" t="e">
        <f aca="false">AND(#REF!,"AAAAAF//62U=")</f>
        <v>#VALUE!</v>
      </c>
      <c r="CY57" s="22" t="e">
        <f aca="false">IF(#REF!,"AAAAAF//62Y=",0)</f>
        <v>#REF!</v>
      </c>
      <c r="CZ57" s="22" t="e">
        <f aca="false">AND(#REF!,"AAAAAF//62c=")</f>
        <v>#VALUE!</v>
      </c>
      <c r="DA57" s="22" t="e">
        <f aca="false">AND(#REF!,"AAAAAF//62g=")</f>
        <v>#VALUE!</v>
      </c>
      <c r="DB57" s="22" t="e">
        <f aca="false">AND(#REF!,"AAAAAF//62k=")</f>
        <v>#VALUE!</v>
      </c>
      <c r="DC57" s="22" t="e">
        <f aca="false">AND(#REF!,"AAAAAF//62o=")</f>
        <v>#VALUE!</v>
      </c>
      <c r="DD57" s="22" t="e">
        <f aca="false">AND(#REF!,"AAAAAF//62s=")</f>
        <v>#VALUE!</v>
      </c>
      <c r="DE57" s="22" t="e">
        <f aca="false">AND(#REF!,"AAAAAF//62w=")</f>
        <v>#VALUE!</v>
      </c>
      <c r="DF57" s="22" t="e">
        <f aca="false">IF(#REF!,"AAAAAF//620=",0)</f>
        <v>#REF!</v>
      </c>
      <c r="DG57" s="22" t="e">
        <f aca="false">AND(#REF!,"AAAAAF//624=")</f>
        <v>#VALUE!</v>
      </c>
      <c r="DH57" s="22" t="e">
        <f aca="false">AND(#REF!,"AAAAAF//628=")</f>
        <v>#VALUE!</v>
      </c>
      <c r="DI57" s="22" t="e">
        <f aca="false">AND(#REF!,"AAAAAF//63A=")</f>
        <v>#VALUE!</v>
      </c>
      <c r="DJ57" s="22" t="e">
        <f aca="false">AND(#REF!,"AAAAAF//63E=")</f>
        <v>#VALUE!</v>
      </c>
      <c r="DK57" s="22" t="e">
        <f aca="false">AND(#REF!,"AAAAAF//63I=")</f>
        <v>#VALUE!</v>
      </c>
      <c r="DL57" s="22" t="e">
        <f aca="false">AND(#REF!,"AAAAAF//63M=")</f>
        <v>#VALUE!</v>
      </c>
      <c r="DM57" s="22" t="e">
        <f aca="false">IF(#REF!,"AAAAAF//63Q=",0)</f>
        <v>#REF!</v>
      </c>
      <c r="DN57" s="22" t="e">
        <f aca="false">AND(#REF!,"AAAAAF//63U=")</f>
        <v>#VALUE!</v>
      </c>
      <c r="DO57" s="22" t="e">
        <f aca="false">AND(#REF!,"AAAAAF//63Y=")</f>
        <v>#VALUE!</v>
      </c>
      <c r="DP57" s="22" t="e">
        <f aca="false">AND(#REF!,"AAAAAF//63c=")</f>
        <v>#VALUE!</v>
      </c>
      <c r="DQ57" s="22" t="e">
        <f aca="false">AND(#REF!,"AAAAAF//63g=")</f>
        <v>#VALUE!</v>
      </c>
      <c r="DR57" s="22" t="e">
        <f aca="false">AND(#REF!,"AAAAAF//63k=")</f>
        <v>#VALUE!</v>
      </c>
      <c r="DS57" s="22" t="e">
        <f aca="false">AND(#REF!,"AAAAAF//63o=")</f>
        <v>#VALUE!</v>
      </c>
      <c r="DT57" s="22" t="e">
        <f aca="false">IF(#REF!,"AAAAAF//63s=",0)</f>
        <v>#REF!</v>
      </c>
      <c r="DU57" s="22" t="e">
        <f aca="false">AND(#REF!,"AAAAAF//63w=")</f>
        <v>#VALUE!</v>
      </c>
      <c r="DV57" s="22" t="e">
        <f aca="false">AND(#REF!,"AAAAAF//630=")</f>
        <v>#VALUE!</v>
      </c>
      <c r="DW57" s="22" t="e">
        <f aca="false">AND(#REF!,"AAAAAF//634=")</f>
        <v>#VALUE!</v>
      </c>
      <c r="DX57" s="22" t="e">
        <f aca="false">AND(#REF!,"AAAAAF//638=")</f>
        <v>#VALUE!</v>
      </c>
      <c r="DY57" s="22" t="e">
        <f aca="false">AND(#REF!,"AAAAAF//64A=")</f>
        <v>#VALUE!</v>
      </c>
      <c r="DZ57" s="22" t="e">
        <f aca="false">AND(#REF!,"AAAAAF//64E=")</f>
        <v>#VALUE!</v>
      </c>
      <c r="EA57" s="22" t="e">
        <f aca="false">IF(#REF!,"AAAAAF//64I=",0)</f>
        <v>#REF!</v>
      </c>
      <c r="EB57" s="22" t="e">
        <f aca="false">AND(#REF!,"AAAAAF//64M=")</f>
        <v>#VALUE!</v>
      </c>
      <c r="EC57" s="22" t="e">
        <f aca="false">AND(#REF!,"AAAAAF//64Q=")</f>
        <v>#VALUE!</v>
      </c>
      <c r="ED57" s="22" t="e">
        <f aca="false">AND(#REF!,"AAAAAF//64U=")</f>
        <v>#VALUE!</v>
      </c>
      <c r="EE57" s="22" t="e">
        <f aca="false">AND(#REF!,"AAAAAF//64Y=")</f>
        <v>#VALUE!</v>
      </c>
      <c r="EF57" s="22" t="e">
        <f aca="false">AND(#REF!,"AAAAAF//64c=")</f>
        <v>#VALUE!</v>
      </c>
      <c r="EG57" s="22" t="e">
        <f aca="false">AND(#REF!,"AAAAAF//64g=")</f>
        <v>#VALUE!</v>
      </c>
      <c r="EH57" s="22" t="e">
        <f aca="false">IF(#REF!,"AAAAAF//64k=",0)</f>
        <v>#REF!</v>
      </c>
      <c r="EI57" s="22" t="e">
        <f aca="false">AND(#REF!,"AAAAAF//64o=")</f>
        <v>#VALUE!</v>
      </c>
      <c r="EJ57" s="22" t="e">
        <f aca="false">AND(#REF!,"AAAAAF//64s=")</f>
        <v>#VALUE!</v>
      </c>
      <c r="EK57" s="22" t="e">
        <f aca="false">AND(#REF!,"AAAAAF//64w=")</f>
        <v>#VALUE!</v>
      </c>
      <c r="EL57" s="22" t="e">
        <f aca="false">AND(#REF!,"AAAAAF//640=")</f>
        <v>#VALUE!</v>
      </c>
      <c r="EM57" s="22" t="e">
        <f aca="false">AND(#REF!,"AAAAAF//644=")</f>
        <v>#VALUE!</v>
      </c>
      <c r="EN57" s="22" t="e">
        <f aca="false">AND(#REF!,"AAAAAF//648=")</f>
        <v>#VALUE!</v>
      </c>
      <c r="EO57" s="22" t="e">
        <f aca="false">IF(#REF!,"AAAAAF//65A=",0)</f>
        <v>#REF!</v>
      </c>
      <c r="EP57" s="22" t="e">
        <f aca="false">AND(#REF!,"AAAAAF//65E=")</f>
        <v>#VALUE!</v>
      </c>
      <c r="EQ57" s="22" t="e">
        <f aca="false">AND(#REF!,"AAAAAF//65I=")</f>
        <v>#VALUE!</v>
      </c>
      <c r="ER57" s="22" t="e">
        <f aca="false">AND(#REF!,"AAAAAF//65M=")</f>
        <v>#VALUE!</v>
      </c>
      <c r="ES57" s="22" t="e">
        <f aca="false">AND(#REF!,"AAAAAF//65Q=")</f>
        <v>#VALUE!</v>
      </c>
      <c r="ET57" s="22" t="e">
        <f aca="false">AND(#REF!,"AAAAAF//65U=")</f>
        <v>#VALUE!</v>
      </c>
      <c r="EU57" s="22" t="e">
        <f aca="false">AND(#REF!,"AAAAAF//65Y=")</f>
        <v>#VALUE!</v>
      </c>
      <c r="EV57" s="22" t="e">
        <f aca="false">IF(#REF!,"AAAAAF//65c=",0)</f>
        <v>#REF!</v>
      </c>
      <c r="EW57" s="22" t="e">
        <f aca="false">AND(#REF!,"AAAAAF//65g=")</f>
        <v>#VALUE!</v>
      </c>
      <c r="EX57" s="22" t="e">
        <f aca="false">AND(#REF!,"AAAAAF//65k=")</f>
        <v>#VALUE!</v>
      </c>
      <c r="EY57" s="22" t="e">
        <f aca="false">AND(#REF!,"AAAAAF//65o=")</f>
        <v>#VALUE!</v>
      </c>
      <c r="EZ57" s="22" t="e">
        <f aca="false">AND(#REF!,"AAAAAF//65s=")</f>
        <v>#VALUE!</v>
      </c>
      <c r="FA57" s="22" t="e">
        <f aca="false">AND(#REF!,"AAAAAF//65w=")</f>
        <v>#VALUE!</v>
      </c>
      <c r="FB57" s="22" t="e">
        <f aca="false">AND(#REF!,"AAAAAF//650=")</f>
        <v>#VALUE!</v>
      </c>
      <c r="FC57" s="22" t="e">
        <f aca="false">IF(#REF!,"AAAAAF//654=",0)</f>
        <v>#REF!</v>
      </c>
      <c r="FD57" s="22" t="e">
        <f aca="false">AND(#REF!,"AAAAAF//658=")</f>
        <v>#VALUE!</v>
      </c>
      <c r="FE57" s="22" t="e">
        <f aca="false">AND(#REF!,"AAAAAF//66A=")</f>
        <v>#VALUE!</v>
      </c>
      <c r="FF57" s="22" t="e">
        <f aca="false">AND(#REF!,"AAAAAF//66E=")</f>
        <v>#VALUE!</v>
      </c>
      <c r="FG57" s="22" t="e">
        <f aca="false">AND(#REF!,"AAAAAF//66I=")</f>
        <v>#VALUE!</v>
      </c>
      <c r="FH57" s="22" t="e">
        <f aca="false">AND(#REF!,"AAAAAF//66M=")</f>
        <v>#VALUE!</v>
      </c>
      <c r="FI57" s="22" t="e">
        <f aca="false">AND(#REF!,"AAAAAF//66Q=")</f>
        <v>#VALUE!</v>
      </c>
      <c r="FJ57" s="22" t="e">
        <f aca="false">IF(#REF!,"AAAAAF//66U=",0)</f>
        <v>#REF!</v>
      </c>
      <c r="FK57" s="22" t="e">
        <f aca="false">AND(#REF!,"AAAAAF//66Y=")</f>
        <v>#VALUE!</v>
      </c>
      <c r="FL57" s="22" t="e">
        <f aca="false">AND(#REF!,"AAAAAF//66c=")</f>
        <v>#VALUE!</v>
      </c>
      <c r="FM57" s="22" t="e">
        <f aca="false">AND(#REF!,"AAAAAF//66g=")</f>
        <v>#VALUE!</v>
      </c>
      <c r="FN57" s="22" t="e">
        <f aca="false">AND(#REF!,"AAAAAF//66k=")</f>
        <v>#VALUE!</v>
      </c>
      <c r="FO57" s="22" t="e">
        <f aca="false">AND(#REF!,"AAAAAF//66o=")</f>
        <v>#VALUE!</v>
      </c>
      <c r="FP57" s="22" t="e">
        <f aca="false">AND(#REF!,"AAAAAF//66s=")</f>
        <v>#VALUE!</v>
      </c>
      <c r="FQ57" s="22" t="e">
        <f aca="false">IF(#REF!,"AAAAAF//66w=",0)</f>
        <v>#REF!</v>
      </c>
      <c r="FR57" s="22" t="e">
        <f aca="false">AND(#REF!,"AAAAAF//660=")</f>
        <v>#VALUE!</v>
      </c>
      <c r="FS57" s="22" t="e">
        <f aca="false">AND(#REF!,"AAAAAF//664=")</f>
        <v>#VALUE!</v>
      </c>
      <c r="FT57" s="22" t="e">
        <f aca="false">AND(#REF!,"AAAAAF//668=")</f>
        <v>#VALUE!</v>
      </c>
      <c r="FU57" s="22" t="e">
        <f aca="false">AND(#REF!,"AAAAAF//67A=")</f>
        <v>#VALUE!</v>
      </c>
      <c r="FV57" s="22" t="e">
        <f aca="false">AND(#REF!,"AAAAAF//67E=")</f>
        <v>#VALUE!</v>
      </c>
      <c r="FW57" s="22" t="e">
        <f aca="false">AND(#REF!,"AAAAAF//67I=")</f>
        <v>#VALUE!</v>
      </c>
      <c r="FX57" s="22" t="e">
        <f aca="false">IF(#REF!,"AAAAAF//67M=",0)</f>
        <v>#REF!</v>
      </c>
      <c r="FY57" s="22" t="e">
        <f aca="false">AND(#REF!,"AAAAAF//67Q=")</f>
        <v>#VALUE!</v>
      </c>
      <c r="FZ57" s="22" t="e">
        <f aca="false">AND(#REF!,"AAAAAF//67U=")</f>
        <v>#VALUE!</v>
      </c>
      <c r="GA57" s="22" t="e">
        <f aca="false">AND(#REF!,"AAAAAF//67Y=")</f>
        <v>#VALUE!</v>
      </c>
      <c r="GB57" s="22" t="e">
        <f aca="false">AND(#REF!,"AAAAAF//67c=")</f>
        <v>#VALUE!</v>
      </c>
      <c r="GC57" s="22" t="e">
        <f aca="false">AND(#REF!,"AAAAAF//67g=")</f>
        <v>#VALUE!</v>
      </c>
      <c r="GD57" s="22" t="e">
        <f aca="false">AND(#REF!,"AAAAAF//67k=")</f>
        <v>#VALUE!</v>
      </c>
      <c r="GE57" s="22" t="e">
        <f aca="false">IF(#REF!,"AAAAAF//67o=",0)</f>
        <v>#REF!</v>
      </c>
      <c r="GF57" s="22" t="e">
        <f aca="false">AND(#REF!,"AAAAAF//67s=")</f>
        <v>#VALUE!</v>
      </c>
      <c r="GG57" s="22" t="e">
        <f aca="false">AND(#REF!,"AAAAAF//67w=")</f>
        <v>#VALUE!</v>
      </c>
      <c r="GH57" s="22" t="e">
        <f aca="false">AND(#REF!,"AAAAAF//670=")</f>
        <v>#VALUE!</v>
      </c>
      <c r="GI57" s="22" t="e">
        <f aca="false">AND(#REF!,"AAAAAF//674=")</f>
        <v>#VALUE!</v>
      </c>
      <c r="GJ57" s="22" t="e">
        <f aca="false">AND(#REF!,"AAAAAF//678=")</f>
        <v>#VALUE!</v>
      </c>
      <c r="GK57" s="22" t="e">
        <f aca="false">AND(#REF!,"AAAAAF//68A=")</f>
        <v>#VALUE!</v>
      </c>
      <c r="GL57" s="22" t="e">
        <f aca="false">IF(#REF!,"AAAAAF//68E=",0)</f>
        <v>#REF!</v>
      </c>
      <c r="GM57" s="22" t="e">
        <f aca="false">AND(#REF!,"AAAAAF//68I=")</f>
        <v>#VALUE!</v>
      </c>
      <c r="GN57" s="22" t="e">
        <f aca="false">AND(#REF!,"AAAAAF//68M=")</f>
        <v>#VALUE!</v>
      </c>
      <c r="GO57" s="22" t="e">
        <f aca="false">AND(#REF!,"AAAAAF//68Q=")</f>
        <v>#VALUE!</v>
      </c>
      <c r="GP57" s="22" t="e">
        <f aca="false">AND(#REF!,"AAAAAF//68U=")</f>
        <v>#VALUE!</v>
      </c>
      <c r="GQ57" s="22" t="e">
        <f aca="false">AND(#REF!,"AAAAAF//68Y=")</f>
        <v>#VALUE!</v>
      </c>
      <c r="GR57" s="22" t="e">
        <f aca="false">AND(#REF!,"AAAAAF//68c=")</f>
        <v>#VALUE!</v>
      </c>
      <c r="GS57" s="22" t="e">
        <f aca="false">IF(#REF!,"AAAAAF//68g=",0)</f>
        <v>#REF!</v>
      </c>
      <c r="GT57" s="22" t="e">
        <f aca="false">AND(#REF!,"AAAAAF//68k=")</f>
        <v>#VALUE!</v>
      </c>
      <c r="GU57" s="22" t="e">
        <f aca="false">AND(#REF!,"AAAAAF//68o=")</f>
        <v>#VALUE!</v>
      </c>
      <c r="GV57" s="22" t="e">
        <f aca="false">AND(#REF!,"AAAAAF//68s=")</f>
        <v>#VALUE!</v>
      </c>
      <c r="GW57" s="22" t="e">
        <f aca="false">AND(#REF!,"AAAAAF//68w=")</f>
        <v>#VALUE!</v>
      </c>
      <c r="GX57" s="22" t="e">
        <f aca="false">AND(#REF!,"AAAAAF//680=")</f>
        <v>#VALUE!</v>
      </c>
      <c r="GY57" s="22" t="e">
        <f aca="false">AND(#REF!,"AAAAAF//684=")</f>
        <v>#VALUE!</v>
      </c>
      <c r="GZ57" s="22" t="e">
        <f aca="false">IF(#REF!,"AAAAAF//688=",0)</f>
        <v>#REF!</v>
      </c>
      <c r="HA57" s="22" t="e">
        <f aca="false">AND(#REF!,"AAAAAF//69A=")</f>
        <v>#VALUE!</v>
      </c>
      <c r="HB57" s="22" t="e">
        <f aca="false">AND(#REF!,"AAAAAF//69E=")</f>
        <v>#VALUE!</v>
      </c>
      <c r="HC57" s="22" t="e">
        <f aca="false">AND(#REF!,"AAAAAF//69I=")</f>
        <v>#VALUE!</v>
      </c>
      <c r="HD57" s="22" t="e">
        <f aca="false">AND(#REF!,"AAAAAF//69M=")</f>
        <v>#VALUE!</v>
      </c>
      <c r="HE57" s="22" t="e">
        <f aca="false">AND(#REF!,"AAAAAF//69Q=")</f>
        <v>#VALUE!</v>
      </c>
      <c r="HF57" s="22" t="e">
        <f aca="false">AND(#REF!,"AAAAAF//69U=")</f>
        <v>#VALUE!</v>
      </c>
      <c r="HG57" s="22" t="e">
        <f aca="false">IF(#REF!,"AAAAAF//69Y=",0)</f>
        <v>#REF!</v>
      </c>
      <c r="HH57" s="22" t="e">
        <f aca="false">AND(#REF!,"AAAAAF//69c=")</f>
        <v>#VALUE!</v>
      </c>
      <c r="HI57" s="22" t="e">
        <f aca="false">AND(#REF!,"AAAAAF//69g=")</f>
        <v>#VALUE!</v>
      </c>
      <c r="HJ57" s="22" t="e">
        <f aca="false">AND(#REF!,"AAAAAF//69k=")</f>
        <v>#VALUE!</v>
      </c>
      <c r="HK57" s="22" t="e">
        <f aca="false">AND(#REF!,"AAAAAF//69o=")</f>
        <v>#VALUE!</v>
      </c>
      <c r="HL57" s="22" t="e">
        <f aca="false">AND(#REF!,"AAAAAF//69s=")</f>
        <v>#VALUE!</v>
      </c>
      <c r="HM57" s="22" t="e">
        <f aca="false">AND(#REF!,"AAAAAF//69w=")</f>
        <v>#VALUE!</v>
      </c>
      <c r="HN57" s="22" t="e">
        <f aca="false">IF(#REF!,"AAAAAF//690=",0)</f>
        <v>#REF!</v>
      </c>
      <c r="HO57" s="22" t="e">
        <f aca="false">AND(#REF!,"AAAAAF//694=")</f>
        <v>#VALUE!</v>
      </c>
      <c r="HP57" s="22" t="e">
        <f aca="false">AND(#REF!,"AAAAAF//698=")</f>
        <v>#VALUE!</v>
      </c>
      <c r="HQ57" s="22" t="e">
        <f aca="false">AND(#REF!,"AAAAAF//6+A=")</f>
        <v>#VALUE!</v>
      </c>
      <c r="HR57" s="22" t="e">
        <f aca="false">AND(#REF!,"AAAAAF//6+E=")</f>
        <v>#VALUE!</v>
      </c>
      <c r="HS57" s="22" t="e">
        <f aca="false">AND(#REF!,"AAAAAF//6+I=")</f>
        <v>#VALUE!</v>
      </c>
      <c r="HT57" s="22" t="e">
        <f aca="false">AND(#REF!,"AAAAAF//6+M=")</f>
        <v>#VALUE!</v>
      </c>
      <c r="HU57" s="22" t="e">
        <f aca="false">IF(#REF!,"AAAAAF//6+Q=",0)</f>
        <v>#REF!</v>
      </c>
      <c r="HV57" s="22" t="e">
        <f aca="false">AND(#REF!,"AAAAAF//6+U=")</f>
        <v>#VALUE!</v>
      </c>
      <c r="HW57" s="22" t="e">
        <f aca="false">AND(#REF!,"AAAAAF//6+Y=")</f>
        <v>#VALUE!</v>
      </c>
      <c r="HX57" s="22" t="e">
        <f aca="false">AND(#REF!,"AAAAAF//6+c=")</f>
        <v>#VALUE!</v>
      </c>
      <c r="HY57" s="22" t="e">
        <f aca="false">AND(#REF!,"AAAAAF//6+g=")</f>
        <v>#VALUE!</v>
      </c>
      <c r="HZ57" s="22" t="e">
        <f aca="false">AND(#REF!,"AAAAAF//6+k=")</f>
        <v>#VALUE!</v>
      </c>
      <c r="IA57" s="22" t="e">
        <f aca="false">AND(#REF!,"AAAAAF//6+o=")</f>
        <v>#VALUE!</v>
      </c>
      <c r="IB57" s="22" t="e">
        <f aca="false">IF(#REF!,"AAAAAF//6+s=",0)</f>
        <v>#REF!</v>
      </c>
      <c r="IC57" s="22" t="e">
        <f aca="false">AND(#REF!,"AAAAAF//6+w=")</f>
        <v>#VALUE!</v>
      </c>
      <c r="ID57" s="22" t="e">
        <f aca="false">AND(#REF!,"AAAAAF//6+0=")</f>
        <v>#VALUE!</v>
      </c>
      <c r="IE57" s="22" t="e">
        <f aca="false">AND(#REF!,"AAAAAF//6+4=")</f>
        <v>#VALUE!</v>
      </c>
      <c r="IF57" s="22" t="e">
        <f aca="false">AND(#REF!,"AAAAAF//6+8=")</f>
        <v>#VALUE!</v>
      </c>
      <c r="IG57" s="22" t="e">
        <f aca="false">AND(#REF!,"AAAAAF//6/A=")</f>
        <v>#VALUE!</v>
      </c>
      <c r="IH57" s="22" t="e">
        <f aca="false">AND(#REF!,"AAAAAF//6/E=")</f>
        <v>#VALUE!</v>
      </c>
      <c r="II57" s="22" t="e">
        <f aca="false">IF(#REF!,"AAAAAF//6/I=",0)</f>
        <v>#REF!</v>
      </c>
      <c r="IJ57" s="22" t="e">
        <f aca="false">AND(#REF!,"AAAAAF//6/M=")</f>
        <v>#VALUE!</v>
      </c>
      <c r="IK57" s="22" t="e">
        <f aca="false">AND(#REF!,"AAAAAF//6/Q=")</f>
        <v>#VALUE!</v>
      </c>
      <c r="IL57" s="22" t="e">
        <f aca="false">AND(#REF!,"AAAAAF//6/U=")</f>
        <v>#VALUE!</v>
      </c>
      <c r="IM57" s="22" t="e">
        <f aca="false">AND(#REF!,"AAAAAF//6/Y=")</f>
        <v>#VALUE!</v>
      </c>
      <c r="IN57" s="22" t="e">
        <f aca="false">AND(#REF!,"AAAAAF//6/c=")</f>
        <v>#VALUE!</v>
      </c>
      <c r="IO57" s="22" t="e">
        <f aca="false">AND(#REF!,"AAAAAF//6/g=")</f>
        <v>#VALUE!</v>
      </c>
      <c r="IP57" s="22" t="e">
        <f aca="false">IF(#REF!,"AAAAAF//6/k=",0)</f>
        <v>#REF!</v>
      </c>
      <c r="IQ57" s="22" t="e">
        <f aca="false">AND(#REF!,"AAAAAF//6/o=")</f>
        <v>#VALUE!</v>
      </c>
      <c r="IR57" s="22" t="e">
        <f aca="false">AND(#REF!,"AAAAAF//6/s=")</f>
        <v>#VALUE!</v>
      </c>
      <c r="IS57" s="22" t="e">
        <f aca="false">AND(#REF!,"AAAAAF//6/w=")</f>
        <v>#VALUE!</v>
      </c>
      <c r="IT57" s="22" t="e">
        <f aca="false">AND(#REF!,"AAAAAF//6/0=")</f>
        <v>#VALUE!</v>
      </c>
      <c r="IU57" s="22" t="e">
        <f aca="false">AND(#REF!,"AAAAAF//6/4=")</f>
        <v>#VALUE!</v>
      </c>
      <c r="IV57" s="22" t="e">
        <f aca="false">AND(#REF!,"AAAAAF//6/8=")</f>
        <v>#VALUE!</v>
      </c>
    </row>
    <row r="58" customFormat="false" ht="12.75" hidden="false" customHeight="false" outlineLevel="0" collapsed="false">
      <c r="A58" s="22" t="e">
        <f aca="false">IF(#REF!,"AAAAAF/dTwA=",0)</f>
        <v>#REF!</v>
      </c>
      <c r="B58" s="22" t="e">
        <f aca="false">AND(#REF!,"AAAAAF/dTwE=")</f>
        <v>#VALUE!</v>
      </c>
      <c r="C58" s="22" t="e">
        <f aca="false">AND(#REF!,"AAAAAF/dTwI=")</f>
        <v>#VALUE!</v>
      </c>
      <c r="D58" s="22" t="e">
        <f aca="false">AND(#REF!,"AAAAAF/dTwM=")</f>
        <v>#VALUE!</v>
      </c>
      <c r="E58" s="22" t="e">
        <f aca="false">AND(#REF!,"AAAAAF/dTwQ=")</f>
        <v>#VALUE!</v>
      </c>
      <c r="F58" s="22" t="e">
        <f aca="false">AND(#REF!,"AAAAAF/dTwU=")</f>
        <v>#VALUE!</v>
      </c>
      <c r="G58" s="22" t="e">
        <f aca="false">AND(#REF!,"AAAAAF/dTwY=")</f>
        <v>#VALUE!</v>
      </c>
      <c r="H58" s="22" t="e">
        <f aca="false">IF(#REF!,"AAAAAF/dTwc=",0)</f>
        <v>#REF!</v>
      </c>
      <c r="I58" s="22" t="e">
        <f aca="false">AND(#REF!,"AAAAAF/dTwg=")</f>
        <v>#VALUE!</v>
      </c>
      <c r="J58" s="22" t="e">
        <f aca="false">AND(#REF!,"AAAAAF/dTwk=")</f>
        <v>#VALUE!</v>
      </c>
      <c r="K58" s="22" t="e">
        <f aca="false">AND(#REF!,"AAAAAF/dTwo=")</f>
        <v>#VALUE!</v>
      </c>
      <c r="L58" s="22" t="e">
        <f aca="false">AND(#REF!,"AAAAAF/dTws=")</f>
        <v>#VALUE!</v>
      </c>
      <c r="M58" s="22" t="e">
        <f aca="false">AND(#REF!,"AAAAAF/dTww=")</f>
        <v>#VALUE!</v>
      </c>
      <c r="N58" s="22" t="e">
        <f aca="false">AND(#REF!,"AAAAAF/dTw0=")</f>
        <v>#VALUE!</v>
      </c>
      <c r="O58" s="22" t="e">
        <f aca="false">IF(#REF!,"AAAAAF/dTw4=",0)</f>
        <v>#REF!</v>
      </c>
      <c r="P58" s="22" t="e">
        <f aca="false">AND(#REF!,"AAAAAF/dTw8=")</f>
        <v>#VALUE!</v>
      </c>
      <c r="Q58" s="22" t="e">
        <f aca="false">AND(#REF!,"AAAAAF/dTxA=")</f>
        <v>#VALUE!</v>
      </c>
      <c r="R58" s="22" t="e">
        <f aca="false">AND(#REF!,"AAAAAF/dTxE=")</f>
        <v>#VALUE!</v>
      </c>
      <c r="S58" s="22" t="e">
        <f aca="false">AND(#REF!,"AAAAAF/dTxI=")</f>
        <v>#VALUE!</v>
      </c>
      <c r="T58" s="22" t="e">
        <f aca="false">AND(#REF!,"AAAAAF/dTxM=")</f>
        <v>#VALUE!</v>
      </c>
      <c r="U58" s="22" t="e">
        <f aca="false">AND(#REF!,"AAAAAF/dTxQ=")</f>
        <v>#VALUE!</v>
      </c>
      <c r="V58" s="22" t="e">
        <f aca="false">IF(#REF!,"AAAAAF/dTxU=",0)</f>
        <v>#REF!</v>
      </c>
      <c r="W58" s="22" t="e">
        <f aca="false">AND(#REF!,"AAAAAF/dTxY=")</f>
        <v>#VALUE!</v>
      </c>
      <c r="X58" s="22" t="e">
        <f aca="false">AND(#REF!,"AAAAAF/dTxc=")</f>
        <v>#VALUE!</v>
      </c>
      <c r="Y58" s="22" t="e">
        <f aca="false">AND(#REF!,"AAAAAF/dTxg=")</f>
        <v>#VALUE!</v>
      </c>
      <c r="Z58" s="22" t="e">
        <f aca="false">AND(#REF!,"AAAAAF/dTxk=")</f>
        <v>#VALUE!</v>
      </c>
      <c r="AA58" s="22" t="e">
        <f aca="false">AND(#REF!,"AAAAAF/dTxo=")</f>
        <v>#VALUE!</v>
      </c>
      <c r="AB58" s="22" t="e">
        <f aca="false">AND(#REF!,"AAAAAF/dTxs=")</f>
        <v>#VALUE!</v>
      </c>
      <c r="AC58" s="22" t="e">
        <f aca="false">IF(#REF!,"AAAAAF/dTxw=",0)</f>
        <v>#REF!</v>
      </c>
      <c r="AD58" s="22" t="e">
        <f aca="false">AND(#REF!,"AAAAAF/dTx0=")</f>
        <v>#VALUE!</v>
      </c>
      <c r="AE58" s="22" t="e">
        <f aca="false">AND(#REF!,"AAAAAF/dTx4=")</f>
        <v>#VALUE!</v>
      </c>
      <c r="AF58" s="22" t="e">
        <f aca="false">AND(#REF!,"AAAAAF/dTx8=")</f>
        <v>#VALUE!</v>
      </c>
      <c r="AG58" s="22" t="e">
        <f aca="false">AND(#REF!,"AAAAAF/dTyA=")</f>
        <v>#VALUE!</v>
      </c>
      <c r="AH58" s="22" t="e">
        <f aca="false">AND(#REF!,"AAAAAF/dTyE=")</f>
        <v>#VALUE!</v>
      </c>
      <c r="AI58" s="22" t="e">
        <f aca="false">AND(#REF!,"AAAAAF/dTyI=")</f>
        <v>#VALUE!</v>
      </c>
      <c r="AJ58" s="22" t="e">
        <f aca="false">IF(#REF!,"AAAAAF/dTyM=",0)</f>
        <v>#REF!</v>
      </c>
      <c r="AK58" s="22" t="e">
        <f aca="false">AND(#REF!,"AAAAAF/dTyQ=")</f>
        <v>#VALUE!</v>
      </c>
      <c r="AL58" s="22" t="e">
        <f aca="false">AND(#REF!,"AAAAAF/dTyU=")</f>
        <v>#VALUE!</v>
      </c>
      <c r="AM58" s="22" t="e">
        <f aca="false">AND(#REF!,"AAAAAF/dTyY=")</f>
        <v>#VALUE!</v>
      </c>
      <c r="AN58" s="22" t="e">
        <f aca="false">AND(#REF!,"AAAAAF/dTyc=")</f>
        <v>#VALUE!</v>
      </c>
      <c r="AO58" s="22" t="e">
        <f aca="false">AND(#REF!,"AAAAAF/dTyg=")</f>
        <v>#VALUE!</v>
      </c>
      <c r="AP58" s="22" t="e">
        <f aca="false">AND(#REF!,"AAAAAF/dTyk=")</f>
        <v>#VALUE!</v>
      </c>
      <c r="AQ58" s="22" t="e">
        <f aca="false">IF(#REF!,"AAAAAF/dTyo=",0)</f>
        <v>#REF!</v>
      </c>
      <c r="AR58" s="22" t="e">
        <f aca="false">AND(#REF!,"AAAAAF/dTys=")</f>
        <v>#VALUE!</v>
      </c>
      <c r="AS58" s="22" t="e">
        <f aca="false">AND(#REF!,"AAAAAF/dTyw=")</f>
        <v>#VALUE!</v>
      </c>
      <c r="AT58" s="22" t="e">
        <f aca="false">AND(#REF!,"AAAAAF/dTy0=")</f>
        <v>#VALUE!</v>
      </c>
      <c r="AU58" s="22" t="e">
        <f aca="false">AND(#REF!,"AAAAAF/dTy4=")</f>
        <v>#VALUE!</v>
      </c>
      <c r="AV58" s="22" t="e">
        <f aca="false">AND(#REF!,"AAAAAF/dTy8=")</f>
        <v>#VALUE!</v>
      </c>
      <c r="AW58" s="22" t="e">
        <f aca="false">AND(#REF!,"AAAAAF/dTzA=")</f>
        <v>#VALUE!</v>
      </c>
      <c r="AX58" s="22" t="e">
        <f aca="false">IF(#REF!,"AAAAAF/dTzE=",0)</f>
        <v>#REF!</v>
      </c>
      <c r="AY58" s="22" t="e">
        <f aca="false">AND(#REF!,"AAAAAF/dTzI=")</f>
        <v>#VALUE!</v>
      </c>
      <c r="AZ58" s="22" t="e">
        <f aca="false">AND(#REF!,"AAAAAF/dTzM=")</f>
        <v>#VALUE!</v>
      </c>
      <c r="BA58" s="22" t="e">
        <f aca="false">AND(#REF!,"AAAAAF/dTzQ=")</f>
        <v>#VALUE!</v>
      </c>
      <c r="BB58" s="22" t="e">
        <f aca="false">AND(#REF!,"AAAAAF/dTzU=")</f>
        <v>#VALUE!</v>
      </c>
      <c r="BC58" s="22" t="e">
        <f aca="false">AND(#REF!,"AAAAAF/dTzY=")</f>
        <v>#VALUE!</v>
      </c>
      <c r="BD58" s="22" t="e">
        <f aca="false">AND(#REF!,"AAAAAF/dTzc=")</f>
        <v>#VALUE!</v>
      </c>
      <c r="BE58" s="22" t="e">
        <f aca="false">IF(#REF!,"AAAAAF/dTzg=",0)</f>
        <v>#REF!</v>
      </c>
      <c r="BF58" s="22" t="e">
        <f aca="false">AND(#REF!,"AAAAAF/dTzk=")</f>
        <v>#VALUE!</v>
      </c>
      <c r="BG58" s="22" t="e">
        <f aca="false">AND(#REF!,"AAAAAF/dTzo=")</f>
        <v>#VALUE!</v>
      </c>
      <c r="BH58" s="22" t="e">
        <f aca="false">AND(#REF!,"AAAAAF/dTzs=")</f>
        <v>#VALUE!</v>
      </c>
      <c r="BI58" s="22" t="e">
        <f aca="false">AND(#REF!,"AAAAAF/dTzw=")</f>
        <v>#VALUE!</v>
      </c>
      <c r="BJ58" s="22" t="e">
        <f aca="false">AND(#REF!,"AAAAAF/dTz0=")</f>
        <v>#VALUE!</v>
      </c>
      <c r="BK58" s="22" t="e">
        <f aca="false">AND(#REF!,"AAAAAF/dTz4=")</f>
        <v>#VALUE!</v>
      </c>
      <c r="BL58" s="22" t="e">
        <f aca="false">IF(#REF!,"AAAAAF/dTz8=",0)</f>
        <v>#REF!</v>
      </c>
      <c r="BM58" s="22" t="e">
        <f aca="false">AND(#REF!,"AAAAAF/dT0A=")</f>
        <v>#VALUE!</v>
      </c>
      <c r="BN58" s="22" t="e">
        <f aca="false">AND(#REF!,"AAAAAF/dT0E=")</f>
        <v>#VALUE!</v>
      </c>
      <c r="BO58" s="22" t="e">
        <f aca="false">AND(#REF!,"AAAAAF/dT0I=")</f>
        <v>#VALUE!</v>
      </c>
      <c r="BP58" s="22" t="e">
        <f aca="false">AND(#REF!,"AAAAAF/dT0M=")</f>
        <v>#VALUE!</v>
      </c>
      <c r="BQ58" s="22" t="e">
        <f aca="false">AND(#REF!,"AAAAAF/dT0Q=")</f>
        <v>#VALUE!</v>
      </c>
      <c r="BR58" s="22" t="e">
        <f aca="false">AND(#REF!,"AAAAAF/dT0U=")</f>
        <v>#VALUE!</v>
      </c>
      <c r="BS58" s="22" t="e">
        <f aca="false">IF(#REF!,"AAAAAF/dT0Y=",0)</f>
        <v>#REF!</v>
      </c>
      <c r="BT58" s="22" t="e">
        <f aca="false">AND(#REF!,"AAAAAF/dT0c=")</f>
        <v>#VALUE!</v>
      </c>
      <c r="BU58" s="22" t="e">
        <f aca="false">AND(#REF!,"AAAAAF/dT0g=")</f>
        <v>#VALUE!</v>
      </c>
      <c r="BV58" s="22" t="e">
        <f aca="false">AND(#REF!,"AAAAAF/dT0k=")</f>
        <v>#VALUE!</v>
      </c>
      <c r="BW58" s="22" t="e">
        <f aca="false">AND(#REF!,"AAAAAF/dT0o=")</f>
        <v>#VALUE!</v>
      </c>
      <c r="BX58" s="22" t="e">
        <f aca="false">AND(#REF!,"AAAAAF/dT0s=")</f>
        <v>#VALUE!</v>
      </c>
      <c r="BY58" s="22" t="e">
        <f aca="false">AND(#REF!,"AAAAAF/dT0w=")</f>
        <v>#VALUE!</v>
      </c>
      <c r="BZ58" s="22" t="e">
        <f aca="false">IF(#REF!,"AAAAAF/dT00=",0)</f>
        <v>#REF!</v>
      </c>
      <c r="CA58" s="22" t="e">
        <f aca="false">AND(#REF!,"AAAAAF/dT04=")</f>
        <v>#VALUE!</v>
      </c>
      <c r="CB58" s="22" t="e">
        <f aca="false">AND(#REF!,"AAAAAF/dT08=")</f>
        <v>#VALUE!</v>
      </c>
      <c r="CC58" s="22" t="e">
        <f aca="false">AND(#REF!,"AAAAAF/dT1A=")</f>
        <v>#VALUE!</v>
      </c>
      <c r="CD58" s="22" t="e">
        <f aca="false">AND(#REF!,"AAAAAF/dT1E=")</f>
        <v>#VALUE!</v>
      </c>
      <c r="CE58" s="22" t="e">
        <f aca="false">AND(#REF!,"AAAAAF/dT1I=")</f>
        <v>#VALUE!</v>
      </c>
      <c r="CF58" s="22" t="e">
        <f aca="false">AND(#REF!,"AAAAAF/dT1M=")</f>
        <v>#VALUE!</v>
      </c>
      <c r="CG58" s="22" t="e">
        <f aca="false">IF(#REF!,"AAAAAF/dT1Q=",0)</f>
        <v>#REF!</v>
      </c>
      <c r="CH58" s="22" t="e">
        <f aca="false">AND(#REF!,"AAAAAF/dT1U=")</f>
        <v>#VALUE!</v>
      </c>
      <c r="CI58" s="22" t="e">
        <f aca="false">AND(#REF!,"AAAAAF/dT1Y=")</f>
        <v>#VALUE!</v>
      </c>
      <c r="CJ58" s="22" t="e">
        <f aca="false">AND(#REF!,"AAAAAF/dT1c=")</f>
        <v>#VALUE!</v>
      </c>
      <c r="CK58" s="22" t="e">
        <f aca="false">AND(#REF!,"AAAAAF/dT1g=")</f>
        <v>#VALUE!</v>
      </c>
      <c r="CL58" s="22" t="e">
        <f aca="false">AND(#REF!,"AAAAAF/dT1k=")</f>
        <v>#VALUE!</v>
      </c>
      <c r="CM58" s="22" t="e">
        <f aca="false">AND(#REF!,"AAAAAF/dT1o=")</f>
        <v>#VALUE!</v>
      </c>
      <c r="CN58" s="22" t="e">
        <f aca="false">IF(#REF!,"AAAAAF/dT1s=",0)</f>
        <v>#REF!</v>
      </c>
      <c r="CO58" s="22" t="e">
        <f aca="false">AND(#REF!,"AAAAAF/dT1w=")</f>
        <v>#VALUE!</v>
      </c>
      <c r="CP58" s="22" t="e">
        <f aca="false">AND(#REF!,"AAAAAF/dT10=")</f>
        <v>#VALUE!</v>
      </c>
      <c r="CQ58" s="22" t="e">
        <f aca="false">AND(#REF!,"AAAAAF/dT14=")</f>
        <v>#VALUE!</v>
      </c>
      <c r="CR58" s="22" t="e">
        <f aca="false">AND(#REF!,"AAAAAF/dT18=")</f>
        <v>#VALUE!</v>
      </c>
      <c r="CS58" s="22" t="e">
        <f aca="false">AND(#REF!,"AAAAAF/dT2A=")</f>
        <v>#VALUE!</v>
      </c>
      <c r="CT58" s="22" t="e">
        <f aca="false">AND(#REF!,"AAAAAF/dT2E=")</f>
        <v>#VALUE!</v>
      </c>
      <c r="CU58" s="22" t="e">
        <f aca="false">IF(#REF!,"AAAAAF/dT2I=",0)</f>
        <v>#REF!</v>
      </c>
      <c r="CV58" s="22" t="e">
        <f aca="false">AND(#REF!,"AAAAAF/dT2M=")</f>
        <v>#VALUE!</v>
      </c>
      <c r="CW58" s="22" t="e">
        <f aca="false">AND(#REF!,"AAAAAF/dT2Q=")</f>
        <v>#VALUE!</v>
      </c>
      <c r="CX58" s="22" t="e">
        <f aca="false">AND(#REF!,"AAAAAF/dT2U=")</f>
        <v>#VALUE!</v>
      </c>
      <c r="CY58" s="22" t="e">
        <f aca="false">AND(#REF!,"AAAAAF/dT2Y=")</f>
        <v>#VALUE!</v>
      </c>
      <c r="CZ58" s="22" t="e">
        <f aca="false">AND(#REF!,"AAAAAF/dT2c=")</f>
        <v>#VALUE!</v>
      </c>
      <c r="DA58" s="22" t="e">
        <f aca="false">AND(#REF!,"AAAAAF/dT2g=")</f>
        <v>#VALUE!</v>
      </c>
      <c r="DB58" s="22" t="e">
        <f aca="false">IF(#REF!,"AAAAAF/dT2k=",0)</f>
        <v>#REF!</v>
      </c>
      <c r="DC58" s="22" t="e">
        <f aca="false">AND(#REF!,"AAAAAF/dT2o=")</f>
        <v>#VALUE!</v>
      </c>
      <c r="DD58" s="22" t="e">
        <f aca="false">AND(#REF!,"AAAAAF/dT2s=")</f>
        <v>#VALUE!</v>
      </c>
      <c r="DE58" s="22" t="e">
        <f aca="false">AND(#REF!,"AAAAAF/dT2w=")</f>
        <v>#VALUE!</v>
      </c>
      <c r="DF58" s="22" t="e">
        <f aca="false">AND(#REF!,"AAAAAF/dT20=")</f>
        <v>#VALUE!</v>
      </c>
      <c r="DG58" s="22" t="e">
        <f aca="false">AND(#REF!,"AAAAAF/dT24=")</f>
        <v>#VALUE!</v>
      </c>
      <c r="DH58" s="22" t="e">
        <f aca="false">AND(#REF!,"AAAAAF/dT28=")</f>
        <v>#VALUE!</v>
      </c>
      <c r="DI58" s="22" t="e">
        <f aca="false">IF(#REF!,"AAAAAF/dT3A=",0)</f>
        <v>#REF!</v>
      </c>
      <c r="DJ58" s="22" t="e">
        <f aca="false">AND(#REF!,"AAAAAF/dT3E=")</f>
        <v>#VALUE!</v>
      </c>
      <c r="DK58" s="22" t="e">
        <f aca="false">AND(#REF!,"AAAAAF/dT3I=")</f>
        <v>#VALUE!</v>
      </c>
      <c r="DL58" s="22" t="e">
        <f aca="false">AND(#REF!,"AAAAAF/dT3M=")</f>
        <v>#VALUE!</v>
      </c>
      <c r="DM58" s="22" t="e">
        <f aca="false">AND(#REF!,"AAAAAF/dT3Q=")</f>
        <v>#VALUE!</v>
      </c>
      <c r="DN58" s="22" t="e">
        <f aca="false">AND(#REF!,"AAAAAF/dT3U=")</f>
        <v>#VALUE!</v>
      </c>
      <c r="DO58" s="22" t="e">
        <f aca="false">AND(#REF!,"AAAAAF/dT3Y=")</f>
        <v>#VALUE!</v>
      </c>
      <c r="DP58" s="22" t="e">
        <f aca="false">IF(#REF!,"AAAAAF/dT3c=",0)</f>
        <v>#REF!</v>
      </c>
      <c r="DQ58" s="22" t="e">
        <f aca="false">AND(#REF!,"AAAAAF/dT3g=")</f>
        <v>#VALUE!</v>
      </c>
      <c r="DR58" s="22" t="e">
        <f aca="false">AND(#REF!,"AAAAAF/dT3k=")</f>
        <v>#VALUE!</v>
      </c>
      <c r="DS58" s="22" t="e">
        <f aca="false">AND(#REF!,"AAAAAF/dT3o=")</f>
        <v>#VALUE!</v>
      </c>
      <c r="DT58" s="22" t="e">
        <f aca="false">AND(#REF!,"AAAAAF/dT3s=")</f>
        <v>#VALUE!</v>
      </c>
      <c r="DU58" s="22" t="e">
        <f aca="false">AND(#REF!,"AAAAAF/dT3w=")</f>
        <v>#VALUE!</v>
      </c>
      <c r="DV58" s="22" t="e">
        <f aca="false">AND(#REF!,"AAAAAF/dT30=")</f>
        <v>#VALUE!</v>
      </c>
      <c r="DW58" s="22" t="e">
        <f aca="false">IF(#REF!,"AAAAAF/dT34=",0)</f>
        <v>#REF!</v>
      </c>
      <c r="DX58" s="22" t="e">
        <f aca="false">AND(#REF!,"AAAAAF/dT38=")</f>
        <v>#VALUE!</v>
      </c>
      <c r="DY58" s="22" t="e">
        <f aca="false">AND(#REF!,"AAAAAF/dT4A=")</f>
        <v>#VALUE!</v>
      </c>
      <c r="DZ58" s="22" t="e">
        <f aca="false">AND(#REF!,"AAAAAF/dT4E=")</f>
        <v>#VALUE!</v>
      </c>
      <c r="EA58" s="22" t="e">
        <f aca="false">AND(#REF!,"AAAAAF/dT4I=")</f>
        <v>#VALUE!</v>
      </c>
      <c r="EB58" s="22" t="e">
        <f aca="false">AND(#REF!,"AAAAAF/dT4M=")</f>
        <v>#VALUE!</v>
      </c>
      <c r="EC58" s="22" t="e">
        <f aca="false">AND(#REF!,"AAAAAF/dT4Q=")</f>
        <v>#VALUE!</v>
      </c>
      <c r="ED58" s="22" t="e">
        <f aca="false">IF(#REF!,"AAAAAF/dT4U=",0)</f>
        <v>#REF!</v>
      </c>
      <c r="EE58" s="22" t="e">
        <f aca="false">AND(#REF!,"AAAAAF/dT4Y=")</f>
        <v>#VALUE!</v>
      </c>
      <c r="EF58" s="22" t="e">
        <f aca="false">AND(#REF!,"AAAAAF/dT4c=")</f>
        <v>#VALUE!</v>
      </c>
      <c r="EG58" s="22" t="e">
        <f aca="false">AND(#REF!,"AAAAAF/dT4g=")</f>
        <v>#VALUE!</v>
      </c>
      <c r="EH58" s="22" t="e">
        <f aca="false">AND(#REF!,"AAAAAF/dT4k=")</f>
        <v>#VALUE!</v>
      </c>
      <c r="EI58" s="22" t="e">
        <f aca="false">AND(#REF!,"AAAAAF/dT4o=")</f>
        <v>#VALUE!</v>
      </c>
      <c r="EJ58" s="22" t="e">
        <f aca="false">AND(#REF!,"AAAAAF/dT4s=")</f>
        <v>#VALUE!</v>
      </c>
      <c r="EK58" s="22" t="e">
        <f aca="false">IF(#REF!,"AAAAAF/dT4w=",0)</f>
        <v>#REF!</v>
      </c>
      <c r="EL58" s="22" t="e">
        <f aca="false">AND(#REF!,"AAAAAF/dT40=")</f>
        <v>#VALUE!</v>
      </c>
      <c r="EM58" s="22" t="e">
        <f aca="false">AND(#REF!,"AAAAAF/dT44=")</f>
        <v>#VALUE!</v>
      </c>
      <c r="EN58" s="22" t="e">
        <f aca="false">AND(#REF!,"AAAAAF/dT48=")</f>
        <v>#VALUE!</v>
      </c>
      <c r="EO58" s="22" t="e">
        <f aca="false">AND(#REF!,"AAAAAF/dT5A=")</f>
        <v>#VALUE!</v>
      </c>
      <c r="EP58" s="22" t="e">
        <f aca="false">AND(#REF!,"AAAAAF/dT5E=")</f>
        <v>#VALUE!</v>
      </c>
      <c r="EQ58" s="22" t="e">
        <f aca="false">AND(#REF!,"AAAAAF/dT5I=")</f>
        <v>#VALUE!</v>
      </c>
      <c r="ER58" s="22" t="e">
        <f aca="false">IF(#REF!,"AAAAAF/dT5M=",0)</f>
        <v>#REF!</v>
      </c>
      <c r="ES58" s="22" t="e">
        <f aca="false">AND(#REF!,"AAAAAF/dT5Q=")</f>
        <v>#VALUE!</v>
      </c>
      <c r="ET58" s="22" t="e">
        <f aca="false">AND(#REF!,"AAAAAF/dT5U=")</f>
        <v>#VALUE!</v>
      </c>
      <c r="EU58" s="22" t="e">
        <f aca="false">AND(#REF!,"AAAAAF/dT5Y=")</f>
        <v>#VALUE!</v>
      </c>
      <c r="EV58" s="22" t="e">
        <f aca="false">AND(#REF!,"AAAAAF/dT5c=")</f>
        <v>#VALUE!</v>
      </c>
      <c r="EW58" s="22" t="e">
        <f aca="false">AND(#REF!,"AAAAAF/dT5g=")</f>
        <v>#VALUE!</v>
      </c>
      <c r="EX58" s="22" t="e">
        <f aca="false">AND(#REF!,"AAAAAF/dT5k=")</f>
        <v>#VALUE!</v>
      </c>
      <c r="EY58" s="22" t="e">
        <f aca="false">IF(#REF!,"AAAAAF/dT5o=",0)</f>
        <v>#REF!</v>
      </c>
      <c r="EZ58" s="22" t="e">
        <f aca="false">AND(#REF!,"AAAAAF/dT5s=")</f>
        <v>#VALUE!</v>
      </c>
      <c r="FA58" s="22" t="e">
        <f aca="false">AND(#REF!,"AAAAAF/dT5w=")</f>
        <v>#VALUE!</v>
      </c>
      <c r="FB58" s="22" t="e">
        <f aca="false">AND(#REF!,"AAAAAF/dT50=")</f>
        <v>#VALUE!</v>
      </c>
      <c r="FC58" s="22" t="e">
        <f aca="false">AND(#REF!,"AAAAAF/dT54=")</f>
        <v>#VALUE!</v>
      </c>
      <c r="FD58" s="22" t="e">
        <f aca="false">AND(#REF!,"AAAAAF/dT58=")</f>
        <v>#VALUE!</v>
      </c>
      <c r="FE58" s="22" t="e">
        <f aca="false">AND(#REF!,"AAAAAF/dT6A=")</f>
        <v>#VALUE!</v>
      </c>
      <c r="FF58" s="22" t="e">
        <f aca="false">IF(#REF!,"AAAAAF/dT6E=",0)</f>
        <v>#REF!</v>
      </c>
      <c r="FG58" s="22" t="e">
        <f aca="false">AND(#REF!,"AAAAAF/dT6I=")</f>
        <v>#VALUE!</v>
      </c>
      <c r="FH58" s="22" t="e">
        <f aca="false">AND(#REF!,"AAAAAF/dT6M=")</f>
        <v>#VALUE!</v>
      </c>
      <c r="FI58" s="22" t="e">
        <f aca="false">AND(#REF!,"AAAAAF/dT6Q=")</f>
        <v>#VALUE!</v>
      </c>
      <c r="FJ58" s="22" t="e">
        <f aca="false">AND(#REF!,"AAAAAF/dT6U=")</f>
        <v>#VALUE!</v>
      </c>
      <c r="FK58" s="22" t="e">
        <f aca="false">AND(#REF!,"AAAAAF/dT6Y=")</f>
        <v>#VALUE!</v>
      </c>
      <c r="FL58" s="22" t="e">
        <f aca="false">AND(#REF!,"AAAAAF/dT6c=")</f>
        <v>#VALUE!</v>
      </c>
      <c r="FM58" s="22" t="e">
        <f aca="false">IF(#REF!,"AAAAAF/dT6g=",0)</f>
        <v>#REF!</v>
      </c>
      <c r="FN58" s="22" t="e">
        <f aca="false">AND(#REF!,"AAAAAF/dT6k=")</f>
        <v>#VALUE!</v>
      </c>
      <c r="FO58" s="22" t="e">
        <f aca="false">AND(#REF!,"AAAAAF/dT6o=")</f>
        <v>#VALUE!</v>
      </c>
      <c r="FP58" s="22" t="e">
        <f aca="false">AND(#REF!,"AAAAAF/dT6s=")</f>
        <v>#VALUE!</v>
      </c>
      <c r="FQ58" s="22" t="e">
        <f aca="false">AND(#REF!,"AAAAAF/dT6w=")</f>
        <v>#VALUE!</v>
      </c>
      <c r="FR58" s="22" t="e">
        <f aca="false">AND(#REF!,"AAAAAF/dT60=")</f>
        <v>#VALUE!</v>
      </c>
      <c r="FS58" s="22" t="e">
        <f aca="false">AND(#REF!,"AAAAAF/dT64=")</f>
        <v>#VALUE!</v>
      </c>
      <c r="FT58" s="22" t="e">
        <f aca="false">IF(#REF!,"AAAAAF/dT68=",0)</f>
        <v>#REF!</v>
      </c>
      <c r="FU58" s="22" t="e">
        <f aca="false">AND(#REF!,"AAAAAF/dT7A=")</f>
        <v>#VALUE!</v>
      </c>
      <c r="FV58" s="22" t="e">
        <f aca="false">AND(#REF!,"AAAAAF/dT7E=")</f>
        <v>#VALUE!</v>
      </c>
      <c r="FW58" s="22" t="e">
        <f aca="false">AND(#REF!,"AAAAAF/dT7I=")</f>
        <v>#VALUE!</v>
      </c>
      <c r="FX58" s="22" t="e">
        <f aca="false">AND(#REF!,"AAAAAF/dT7M=")</f>
        <v>#VALUE!</v>
      </c>
      <c r="FY58" s="22" t="e">
        <f aca="false">AND(#REF!,"AAAAAF/dT7Q=")</f>
        <v>#VALUE!</v>
      </c>
      <c r="FZ58" s="22" t="e">
        <f aca="false">AND(#REF!,"AAAAAF/dT7U=")</f>
        <v>#VALUE!</v>
      </c>
      <c r="GA58" s="22" t="e">
        <f aca="false">IF(#REF!,"AAAAAF/dT7Y=",0)</f>
        <v>#REF!</v>
      </c>
      <c r="GB58" s="22" t="e">
        <f aca="false">AND(#REF!,"AAAAAF/dT7c=")</f>
        <v>#VALUE!</v>
      </c>
      <c r="GC58" s="22" t="e">
        <f aca="false">AND(#REF!,"AAAAAF/dT7g=")</f>
        <v>#VALUE!</v>
      </c>
      <c r="GD58" s="22" t="e">
        <f aca="false">AND(#REF!,"AAAAAF/dT7k=")</f>
        <v>#VALUE!</v>
      </c>
      <c r="GE58" s="22" t="e">
        <f aca="false">AND(#REF!,"AAAAAF/dT7o=")</f>
        <v>#VALUE!</v>
      </c>
      <c r="GF58" s="22" t="e">
        <f aca="false">AND(#REF!,"AAAAAF/dT7s=")</f>
        <v>#VALUE!</v>
      </c>
      <c r="GG58" s="22" t="e">
        <f aca="false">AND(#REF!,"AAAAAF/dT7w=")</f>
        <v>#VALUE!</v>
      </c>
      <c r="GH58" s="22" t="e">
        <f aca="false">IF(#REF!,"AAAAAF/dT70=",0)</f>
        <v>#REF!</v>
      </c>
      <c r="GI58" s="22" t="e">
        <f aca="false">AND(#REF!,"AAAAAF/dT74=")</f>
        <v>#VALUE!</v>
      </c>
      <c r="GJ58" s="22" t="e">
        <f aca="false">AND(#REF!,"AAAAAF/dT78=")</f>
        <v>#VALUE!</v>
      </c>
      <c r="GK58" s="22" t="e">
        <f aca="false">AND(#REF!,"AAAAAF/dT8A=")</f>
        <v>#VALUE!</v>
      </c>
      <c r="GL58" s="22" t="e">
        <f aca="false">AND(#REF!,"AAAAAF/dT8E=")</f>
        <v>#VALUE!</v>
      </c>
      <c r="GM58" s="22" t="e">
        <f aca="false">AND(#REF!,"AAAAAF/dT8I=")</f>
        <v>#VALUE!</v>
      </c>
      <c r="GN58" s="22" t="e">
        <f aca="false">AND(#REF!,"AAAAAF/dT8M=")</f>
        <v>#VALUE!</v>
      </c>
      <c r="GO58" s="22" t="e">
        <f aca="false">IF(#REF!,"AAAAAF/dT8Q=",0)</f>
        <v>#REF!</v>
      </c>
      <c r="GP58" s="22" t="e">
        <f aca="false">AND(#REF!,"AAAAAF/dT8U=")</f>
        <v>#VALUE!</v>
      </c>
      <c r="GQ58" s="22" t="e">
        <f aca="false">AND(#REF!,"AAAAAF/dT8Y=")</f>
        <v>#VALUE!</v>
      </c>
      <c r="GR58" s="22" t="e">
        <f aca="false">AND(#REF!,"AAAAAF/dT8c=")</f>
        <v>#VALUE!</v>
      </c>
      <c r="GS58" s="22" t="e">
        <f aca="false">AND(#REF!,"AAAAAF/dT8g=")</f>
        <v>#VALUE!</v>
      </c>
      <c r="GT58" s="22" t="e">
        <f aca="false">AND(#REF!,"AAAAAF/dT8k=")</f>
        <v>#VALUE!</v>
      </c>
      <c r="GU58" s="22" t="e">
        <f aca="false">AND(#REF!,"AAAAAF/dT8o=")</f>
        <v>#VALUE!</v>
      </c>
      <c r="GV58" s="22" t="e">
        <f aca="false">IF(#REF!,"AAAAAF/dT8s=",0)</f>
        <v>#REF!</v>
      </c>
      <c r="GW58" s="22" t="e">
        <f aca="false">AND(#REF!,"AAAAAF/dT8w=")</f>
        <v>#VALUE!</v>
      </c>
      <c r="GX58" s="22" t="e">
        <f aca="false">AND(#REF!,"AAAAAF/dT80=")</f>
        <v>#VALUE!</v>
      </c>
      <c r="GY58" s="22" t="e">
        <f aca="false">AND(#REF!,"AAAAAF/dT84=")</f>
        <v>#VALUE!</v>
      </c>
      <c r="GZ58" s="22" t="e">
        <f aca="false">AND(#REF!,"AAAAAF/dT88=")</f>
        <v>#VALUE!</v>
      </c>
      <c r="HA58" s="22" t="e">
        <f aca="false">AND(#REF!,"AAAAAF/dT9A=")</f>
        <v>#VALUE!</v>
      </c>
      <c r="HB58" s="22" t="e">
        <f aca="false">AND(#REF!,"AAAAAF/dT9E=")</f>
        <v>#VALUE!</v>
      </c>
      <c r="HC58" s="22" t="e">
        <f aca="false">IF(#REF!,"AAAAAF/dT9I=",0)</f>
        <v>#REF!</v>
      </c>
      <c r="HD58" s="22" t="e">
        <f aca="false">AND(#REF!,"AAAAAF/dT9M=")</f>
        <v>#VALUE!</v>
      </c>
      <c r="HE58" s="22" t="e">
        <f aca="false">AND(#REF!,"AAAAAF/dT9Q=")</f>
        <v>#VALUE!</v>
      </c>
      <c r="HF58" s="22" t="e">
        <f aca="false">AND(#REF!,"AAAAAF/dT9U=")</f>
        <v>#VALUE!</v>
      </c>
      <c r="HG58" s="22" t="e">
        <f aca="false">AND(#REF!,"AAAAAF/dT9Y=")</f>
        <v>#VALUE!</v>
      </c>
      <c r="HH58" s="22" t="e">
        <f aca="false">AND(#REF!,"AAAAAF/dT9c=")</f>
        <v>#VALUE!</v>
      </c>
      <c r="HI58" s="22" t="e">
        <f aca="false">AND(#REF!,"AAAAAF/dT9g=")</f>
        <v>#VALUE!</v>
      </c>
      <c r="HJ58" s="22" t="e">
        <f aca="false">IF(#REF!,"AAAAAF/dT9k=",0)</f>
        <v>#REF!</v>
      </c>
      <c r="HK58" s="22" t="e">
        <f aca="false">AND(#REF!,"AAAAAF/dT9o=")</f>
        <v>#VALUE!</v>
      </c>
      <c r="HL58" s="22" t="e">
        <f aca="false">AND(#REF!,"AAAAAF/dT9s=")</f>
        <v>#VALUE!</v>
      </c>
      <c r="HM58" s="22" t="e">
        <f aca="false">AND(#REF!,"AAAAAF/dT9w=")</f>
        <v>#VALUE!</v>
      </c>
      <c r="HN58" s="22" t="e">
        <f aca="false">AND(#REF!,"AAAAAF/dT90=")</f>
        <v>#VALUE!</v>
      </c>
      <c r="HO58" s="22" t="e">
        <f aca="false">AND(#REF!,"AAAAAF/dT94=")</f>
        <v>#VALUE!</v>
      </c>
      <c r="HP58" s="22" t="e">
        <f aca="false">AND(#REF!,"AAAAAF/dT98=")</f>
        <v>#VALUE!</v>
      </c>
      <c r="HQ58" s="22" t="e">
        <f aca="false">IF(#REF!,"AAAAAF/dT+A=",0)</f>
        <v>#REF!</v>
      </c>
      <c r="HR58" s="22" t="e">
        <f aca="false">AND(#REF!,"AAAAAF/dT+E=")</f>
        <v>#VALUE!</v>
      </c>
      <c r="HS58" s="22" t="e">
        <f aca="false">AND(#REF!,"AAAAAF/dT+I=")</f>
        <v>#VALUE!</v>
      </c>
      <c r="HT58" s="22" t="e">
        <f aca="false">AND(#REF!,"AAAAAF/dT+M=")</f>
        <v>#VALUE!</v>
      </c>
      <c r="HU58" s="22" t="e">
        <f aca="false">AND(#REF!,"AAAAAF/dT+Q=")</f>
        <v>#VALUE!</v>
      </c>
      <c r="HV58" s="22" t="e">
        <f aca="false">AND(#REF!,"AAAAAF/dT+U=")</f>
        <v>#VALUE!</v>
      </c>
      <c r="HW58" s="22" t="e">
        <f aca="false">AND(#REF!,"AAAAAF/dT+Y=")</f>
        <v>#VALUE!</v>
      </c>
      <c r="HX58" s="22" t="e">
        <f aca="false">IF(#REF!,"AAAAAF/dT+c=",0)</f>
        <v>#REF!</v>
      </c>
      <c r="HY58" s="22" t="e">
        <f aca="false">AND(#REF!,"AAAAAF/dT+g=")</f>
        <v>#VALUE!</v>
      </c>
      <c r="HZ58" s="22" t="e">
        <f aca="false">AND(#REF!,"AAAAAF/dT+k=")</f>
        <v>#VALUE!</v>
      </c>
      <c r="IA58" s="22" t="e">
        <f aca="false">AND(#REF!,"AAAAAF/dT+o=")</f>
        <v>#VALUE!</v>
      </c>
      <c r="IB58" s="22" t="e">
        <f aca="false">AND(#REF!,"AAAAAF/dT+s=")</f>
        <v>#VALUE!</v>
      </c>
      <c r="IC58" s="22" t="e">
        <f aca="false">AND(#REF!,"AAAAAF/dT+w=")</f>
        <v>#VALUE!</v>
      </c>
      <c r="ID58" s="22" t="e">
        <f aca="false">AND(#REF!,"AAAAAF/dT+0=")</f>
        <v>#VALUE!</v>
      </c>
      <c r="IE58" s="22" t="e">
        <f aca="false">IF(#REF!,"AAAAAF/dT+4=",0)</f>
        <v>#REF!</v>
      </c>
      <c r="IF58" s="22" t="e">
        <f aca="false">AND(#REF!,"AAAAAF/dT+8=")</f>
        <v>#VALUE!</v>
      </c>
      <c r="IG58" s="22" t="e">
        <f aca="false">AND(#REF!,"AAAAAF/dT/A=")</f>
        <v>#VALUE!</v>
      </c>
      <c r="IH58" s="22" t="e">
        <f aca="false">AND(#REF!,"AAAAAF/dT/E=")</f>
        <v>#VALUE!</v>
      </c>
      <c r="II58" s="22" t="e">
        <f aca="false">AND(#REF!,"AAAAAF/dT/I=")</f>
        <v>#VALUE!</v>
      </c>
      <c r="IJ58" s="22" t="e">
        <f aca="false">AND(#REF!,"AAAAAF/dT/M=")</f>
        <v>#VALUE!</v>
      </c>
      <c r="IK58" s="22" t="e">
        <f aca="false">AND(#REF!,"AAAAAF/dT/Q=")</f>
        <v>#VALUE!</v>
      </c>
      <c r="IL58" s="22" t="e">
        <f aca="false">IF(#REF!,"AAAAAF/dT/U=",0)</f>
        <v>#REF!</v>
      </c>
      <c r="IM58" s="22" t="e">
        <f aca="false">AND(#REF!,"AAAAAF/dT/Y=")</f>
        <v>#VALUE!</v>
      </c>
      <c r="IN58" s="22" t="e">
        <f aca="false">AND(#REF!,"AAAAAF/dT/c=")</f>
        <v>#VALUE!</v>
      </c>
      <c r="IO58" s="22" t="e">
        <f aca="false">AND(#REF!,"AAAAAF/dT/g=")</f>
        <v>#VALUE!</v>
      </c>
      <c r="IP58" s="22" t="e">
        <f aca="false">AND(#REF!,"AAAAAF/dT/k=")</f>
        <v>#VALUE!</v>
      </c>
      <c r="IQ58" s="22" t="e">
        <f aca="false">AND(#REF!,"AAAAAF/dT/o=")</f>
        <v>#VALUE!</v>
      </c>
      <c r="IR58" s="22" t="e">
        <f aca="false">AND(#REF!,"AAAAAF/dT/s=")</f>
        <v>#VALUE!</v>
      </c>
      <c r="IS58" s="22" t="e">
        <f aca="false">IF(#REF!,"AAAAAF/dT/w=",0)</f>
        <v>#REF!</v>
      </c>
      <c r="IT58" s="22" t="e">
        <f aca="false">AND(#REF!,"AAAAAF/dT/0=")</f>
        <v>#VALUE!</v>
      </c>
      <c r="IU58" s="22" t="e">
        <f aca="false">AND(#REF!,"AAAAAF/dT/4=")</f>
        <v>#VALUE!</v>
      </c>
      <c r="IV58" s="22" t="e">
        <f aca="false">AND(#REF!,"AAAAAF/dT/8=")</f>
        <v>#VALUE!</v>
      </c>
    </row>
    <row r="59" customFormat="false" ht="12.75" hidden="false" customHeight="false" outlineLevel="0" collapsed="false">
      <c r="A59" s="22" t="e">
        <f aca="false">AND(#REF!,"AAAAAF+7uwA=")</f>
        <v>#VALUE!</v>
      </c>
      <c r="B59" s="22" t="e">
        <f aca="false">AND(#REF!,"AAAAAF+7uwE=")</f>
        <v>#VALUE!</v>
      </c>
      <c r="C59" s="22" t="e">
        <f aca="false">AND(#REF!,"AAAAAF+7uwI=")</f>
        <v>#VALUE!</v>
      </c>
      <c r="D59" s="22" t="e">
        <f aca="false">IF(#REF!,"AAAAAF+7uwM=",0)</f>
        <v>#REF!</v>
      </c>
      <c r="E59" s="22" t="e">
        <f aca="false">AND(#REF!,"AAAAAF+7uwQ=")</f>
        <v>#VALUE!</v>
      </c>
      <c r="F59" s="22" t="e">
        <f aca="false">AND(#REF!,"AAAAAF+7uwU=")</f>
        <v>#VALUE!</v>
      </c>
      <c r="G59" s="22" t="e">
        <f aca="false">AND(#REF!,"AAAAAF+7uwY=")</f>
        <v>#VALUE!</v>
      </c>
      <c r="H59" s="22" t="e">
        <f aca="false">AND(#REF!,"AAAAAF+7uwc=")</f>
        <v>#VALUE!</v>
      </c>
      <c r="I59" s="22" t="e">
        <f aca="false">AND(#REF!,"AAAAAF+7uwg=")</f>
        <v>#VALUE!</v>
      </c>
      <c r="J59" s="22" t="e">
        <f aca="false">AND(#REF!,"AAAAAF+7uwk=")</f>
        <v>#VALUE!</v>
      </c>
      <c r="K59" s="22" t="e">
        <f aca="false">IF(#REF!,"AAAAAF+7uwo=",0)</f>
        <v>#REF!</v>
      </c>
      <c r="L59" s="22" t="e">
        <f aca="false">AND(#REF!,"AAAAAF+7uws=")</f>
        <v>#VALUE!</v>
      </c>
      <c r="M59" s="22" t="e">
        <f aca="false">AND(#REF!,"AAAAAF+7uww=")</f>
        <v>#VALUE!</v>
      </c>
      <c r="N59" s="22" t="e">
        <f aca="false">AND(#REF!,"AAAAAF+7uw0=")</f>
        <v>#VALUE!</v>
      </c>
      <c r="O59" s="22" t="e">
        <f aca="false">AND(#REF!,"AAAAAF+7uw4=")</f>
        <v>#VALUE!</v>
      </c>
      <c r="P59" s="22" t="e">
        <f aca="false">AND(#REF!,"AAAAAF+7uw8=")</f>
        <v>#VALUE!</v>
      </c>
      <c r="Q59" s="22" t="e">
        <f aca="false">AND(#REF!,"AAAAAF+7uxA=")</f>
        <v>#VALUE!</v>
      </c>
      <c r="R59" s="22" t="e">
        <f aca="false">IF(#REF!,"AAAAAF+7uxE=",0)</f>
        <v>#REF!</v>
      </c>
      <c r="S59" s="22" t="e">
        <f aca="false">AND(#REF!,"AAAAAF+7uxI=")</f>
        <v>#VALUE!</v>
      </c>
      <c r="T59" s="22" t="e">
        <f aca="false">AND(#REF!,"AAAAAF+7uxM=")</f>
        <v>#VALUE!</v>
      </c>
      <c r="U59" s="22" t="e">
        <f aca="false">AND(#REF!,"AAAAAF+7uxQ=")</f>
        <v>#VALUE!</v>
      </c>
      <c r="V59" s="22" t="e">
        <f aca="false">AND(#REF!,"AAAAAF+7uxU=")</f>
        <v>#VALUE!</v>
      </c>
      <c r="W59" s="22" t="e">
        <f aca="false">AND(#REF!,"AAAAAF+7uxY=")</f>
        <v>#VALUE!</v>
      </c>
      <c r="X59" s="22" t="e">
        <f aca="false">AND(#REF!,"AAAAAF+7uxc=")</f>
        <v>#VALUE!</v>
      </c>
      <c r="Y59" s="22" t="e">
        <f aca="false">IF(#REF!,"AAAAAF+7uxg=",0)</f>
        <v>#REF!</v>
      </c>
      <c r="Z59" s="22" t="e">
        <f aca="false">AND(#REF!,"AAAAAF+7uxk=")</f>
        <v>#VALUE!</v>
      </c>
      <c r="AA59" s="22" t="e">
        <f aca="false">AND(#REF!,"AAAAAF+7uxo=")</f>
        <v>#VALUE!</v>
      </c>
      <c r="AB59" s="22" t="e">
        <f aca="false">AND(#REF!,"AAAAAF+7uxs=")</f>
        <v>#VALUE!</v>
      </c>
      <c r="AC59" s="22" t="e">
        <f aca="false">AND(#REF!,"AAAAAF+7uxw=")</f>
        <v>#VALUE!</v>
      </c>
      <c r="AD59" s="22" t="e">
        <f aca="false">AND(#REF!,"AAAAAF+7ux0=")</f>
        <v>#VALUE!</v>
      </c>
      <c r="AE59" s="22" t="e">
        <f aca="false">AND(#REF!,"AAAAAF+7ux4=")</f>
        <v>#VALUE!</v>
      </c>
      <c r="AF59" s="22" t="e">
        <f aca="false">IF(#REF!,"AAAAAF+7ux8=",0)</f>
        <v>#REF!</v>
      </c>
      <c r="AG59" s="22" t="e">
        <f aca="false">AND(#REF!,"AAAAAF+7uyA=")</f>
        <v>#VALUE!</v>
      </c>
      <c r="AH59" s="22" t="e">
        <f aca="false">AND(#REF!,"AAAAAF+7uyE=")</f>
        <v>#VALUE!</v>
      </c>
      <c r="AI59" s="22" t="e">
        <f aca="false">AND(#REF!,"AAAAAF+7uyI=")</f>
        <v>#VALUE!</v>
      </c>
      <c r="AJ59" s="22" t="e">
        <f aca="false">AND(#REF!,"AAAAAF+7uyM=")</f>
        <v>#VALUE!</v>
      </c>
      <c r="AK59" s="22" t="e">
        <f aca="false">AND(#REF!,"AAAAAF+7uyQ=")</f>
        <v>#VALUE!</v>
      </c>
      <c r="AL59" s="22" t="e">
        <f aca="false">AND(#REF!,"AAAAAF+7uyU=")</f>
        <v>#VALUE!</v>
      </c>
      <c r="AM59" s="22" t="e">
        <f aca="false">IF(#REF!,"AAAAAF+7uyY=",0)</f>
        <v>#REF!</v>
      </c>
      <c r="AN59" s="22" t="e">
        <f aca="false">AND(#REF!,"AAAAAF+7uyc=")</f>
        <v>#VALUE!</v>
      </c>
      <c r="AO59" s="22" t="e">
        <f aca="false">AND(#REF!,"AAAAAF+7uyg=")</f>
        <v>#VALUE!</v>
      </c>
      <c r="AP59" s="22" t="e">
        <f aca="false">AND(#REF!,"AAAAAF+7uyk=")</f>
        <v>#VALUE!</v>
      </c>
      <c r="AQ59" s="22" t="e">
        <f aca="false">AND(#REF!,"AAAAAF+7uyo=")</f>
        <v>#VALUE!</v>
      </c>
      <c r="AR59" s="22" t="e">
        <f aca="false">AND(#REF!,"AAAAAF+7uys=")</f>
        <v>#VALUE!</v>
      </c>
      <c r="AS59" s="22" t="e">
        <f aca="false">AND(#REF!,"AAAAAF+7uyw=")</f>
        <v>#VALUE!</v>
      </c>
      <c r="AT59" s="22" t="e">
        <f aca="false">IF(#REF!,"AAAAAF+7uy0=",0)</f>
        <v>#REF!</v>
      </c>
      <c r="AU59" s="22" t="e">
        <f aca="false">AND(#REF!,"AAAAAF+7uy4=")</f>
        <v>#VALUE!</v>
      </c>
      <c r="AV59" s="22" t="e">
        <f aca="false">AND(#REF!,"AAAAAF+7uy8=")</f>
        <v>#VALUE!</v>
      </c>
      <c r="AW59" s="22" t="e">
        <f aca="false">AND(#REF!,"AAAAAF+7uzA=")</f>
        <v>#VALUE!</v>
      </c>
      <c r="AX59" s="22" t="e">
        <f aca="false">AND(#REF!,"AAAAAF+7uzE=")</f>
        <v>#VALUE!</v>
      </c>
      <c r="AY59" s="22" t="e">
        <f aca="false">AND(#REF!,"AAAAAF+7uzI=")</f>
        <v>#VALUE!</v>
      </c>
      <c r="AZ59" s="22" t="e">
        <f aca="false">AND(#REF!,"AAAAAF+7uzM=")</f>
        <v>#VALUE!</v>
      </c>
      <c r="BA59" s="22" t="e">
        <f aca="false">IF(#REF!,"AAAAAF+7uzQ=",0)</f>
        <v>#REF!</v>
      </c>
      <c r="BB59" s="22" t="e">
        <f aca="false">AND(#REF!,"AAAAAF+7uzU=")</f>
        <v>#VALUE!</v>
      </c>
      <c r="BC59" s="22" t="e">
        <f aca="false">AND(#REF!,"AAAAAF+7uzY=")</f>
        <v>#VALUE!</v>
      </c>
      <c r="BD59" s="22" t="e">
        <f aca="false">AND(#REF!,"AAAAAF+7uzc=")</f>
        <v>#VALUE!</v>
      </c>
      <c r="BE59" s="22" t="e">
        <f aca="false">AND(#REF!,"AAAAAF+7uzg=")</f>
        <v>#VALUE!</v>
      </c>
      <c r="BF59" s="22" t="e">
        <f aca="false">AND(#REF!,"AAAAAF+7uzk=")</f>
        <v>#VALUE!</v>
      </c>
      <c r="BG59" s="22" t="e">
        <f aca="false">AND(#REF!,"AAAAAF+7uzo=")</f>
        <v>#VALUE!</v>
      </c>
      <c r="BH59" s="22" t="e">
        <f aca="false">IF(#REF!,"AAAAAF+7uzs=",0)</f>
        <v>#REF!</v>
      </c>
      <c r="BI59" s="22" t="e">
        <f aca="false">AND(#REF!,"AAAAAF+7uzw=")</f>
        <v>#VALUE!</v>
      </c>
      <c r="BJ59" s="22" t="e">
        <f aca="false">AND(#REF!,"AAAAAF+7uz0=")</f>
        <v>#VALUE!</v>
      </c>
      <c r="BK59" s="22" t="e">
        <f aca="false">AND(#REF!,"AAAAAF+7uz4=")</f>
        <v>#VALUE!</v>
      </c>
      <c r="BL59" s="22" t="e">
        <f aca="false">AND(#REF!,"AAAAAF+7uz8=")</f>
        <v>#VALUE!</v>
      </c>
      <c r="BM59" s="22" t="e">
        <f aca="false">AND(#REF!,"AAAAAF+7u0A=")</f>
        <v>#VALUE!</v>
      </c>
      <c r="BN59" s="22" t="e">
        <f aca="false">AND(#REF!,"AAAAAF+7u0E=")</f>
        <v>#VALUE!</v>
      </c>
      <c r="BO59" s="22" t="e">
        <f aca="false">IF(#REF!,"AAAAAF+7u0I=",0)</f>
        <v>#REF!</v>
      </c>
      <c r="BP59" s="22" t="e">
        <f aca="false">AND(#REF!,"AAAAAF+7u0M=")</f>
        <v>#VALUE!</v>
      </c>
      <c r="BQ59" s="22" t="e">
        <f aca="false">AND(#REF!,"AAAAAF+7u0Q=")</f>
        <v>#VALUE!</v>
      </c>
      <c r="BR59" s="22" t="e">
        <f aca="false">AND(#REF!,"AAAAAF+7u0U=")</f>
        <v>#VALUE!</v>
      </c>
      <c r="BS59" s="22" t="e">
        <f aca="false">AND(#REF!,"AAAAAF+7u0Y=")</f>
        <v>#VALUE!</v>
      </c>
      <c r="BT59" s="22" t="e">
        <f aca="false">AND(#REF!,"AAAAAF+7u0c=")</f>
        <v>#VALUE!</v>
      </c>
      <c r="BU59" s="22" t="e">
        <f aca="false">AND(#REF!,"AAAAAF+7u0g=")</f>
        <v>#VALUE!</v>
      </c>
      <c r="BV59" s="22" t="e">
        <f aca="false">IF(#REF!,"AAAAAF+7u0k=",0)</f>
        <v>#REF!</v>
      </c>
      <c r="BW59" s="22" t="e">
        <f aca="false">AND(#REF!,"AAAAAF+7u0o=")</f>
        <v>#VALUE!</v>
      </c>
      <c r="BX59" s="22" t="e">
        <f aca="false">AND(#REF!,"AAAAAF+7u0s=")</f>
        <v>#VALUE!</v>
      </c>
      <c r="BY59" s="22" t="e">
        <f aca="false">AND(#REF!,"AAAAAF+7u0w=")</f>
        <v>#VALUE!</v>
      </c>
      <c r="BZ59" s="22" t="e">
        <f aca="false">AND(#REF!,"AAAAAF+7u00=")</f>
        <v>#VALUE!</v>
      </c>
      <c r="CA59" s="22" t="e">
        <f aca="false">AND(#REF!,"AAAAAF+7u04=")</f>
        <v>#VALUE!</v>
      </c>
      <c r="CB59" s="22" t="e">
        <f aca="false">AND(#REF!,"AAAAAF+7u08=")</f>
        <v>#VALUE!</v>
      </c>
      <c r="CC59" s="22" t="e">
        <f aca="false">IF(#REF!,"AAAAAF+7u1A=",0)</f>
        <v>#REF!</v>
      </c>
      <c r="CD59" s="22" t="e">
        <f aca="false">AND(#REF!,"AAAAAF+7u1E=")</f>
        <v>#VALUE!</v>
      </c>
      <c r="CE59" s="22" t="e">
        <f aca="false">AND(#REF!,"AAAAAF+7u1I=")</f>
        <v>#VALUE!</v>
      </c>
      <c r="CF59" s="22" t="e">
        <f aca="false">AND(#REF!,"AAAAAF+7u1M=")</f>
        <v>#VALUE!</v>
      </c>
      <c r="CG59" s="22" t="e">
        <f aca="false">AND(#REF!,"AAAAAF+7u1Q=")</f>
        <v>#VALUE!</v>
      </c>
      <c r="CH59" s="22" t="e">
        <f aca="false">AND(#REF!,"AAAAAF+7u1U=")</f>
        <v>#VALUE!</v>
      </c>
      <c r="CI59" s="22" t="e">
        <f aca="false">AND(#REF!,"AAAAAF+7u1Y=")</f>
        <v>#VALUE!</v>
      </c>
      <c r="CJ59" s="22" t="e">
        <f aca="false">IF(#REF!,"AAAAAF+7u1c=",0)</f>
        <v>#REF!</v>
      </c>
      <c r="CK59" s="22" t="e">
        <f aca="false">AND(#REF!,"AAAAAF+7u1g=")</f>
        <v>#VALUE!</v>
      </c>
      <c r="CL59" s="22" t="e">
        <f aca="false">AND(#REF!,"AAAAAF+7u1k=")</f>
        <v>#VALUE!</v>
      </c>
      <c r="CM59" s="22" t="e">
        <f aca="false">AND(#REF!,"AAAAAF+7u1o=")</f>
        <v>#VALUE!</v>
      </c>
      <c r="CN59" s="22" t="e">
        <f aca="false">AND(#REF!,"AAAAAF+7u1s=")</f>
        <v>#VALUE!</v>
      </c>
      <c r="CO59" s="22" t="e">
        <f aca="false">AND(#REF!,"AAAAAF+7u1w=")</f>
        <v>#VALUE!</v>
      </c>
      <c r="CP59" s="22" t="e">
        <f aca="false">AND(#REF!,"AAAAAF+7u10=")</f>
        <v>#VALUE!</v>
      </c>
      <c r="CQ59" s="22" t="e">
        <f aca="false">IF(#REF!,"AAAAAF+7u14=",0)</f>
        <v>#REF!</v>
      </c>
      <c r="CR59" s="22" t="e">
        <f aca="false">AND(#REF!,"AAAAAF+7u18=")</f>
        <v>#VALUE!</v>
      </c>
      <c r="CS59" s="22" t="e">
        <f aca="false">AND(#REF!,"AAAAAF+7u2A=")</f>
        <v>#VALUE!</v>
      </c>
      <c r="CT59" s="22" t="e">
        <f aca="false">AND(#REF!,"AAAAAF+7u2E=")</f>
        <v>#VALUE!</v>
      </c>
      <c r="CU59" s="22" t="e">
        <f aca="false">AND(#REF!,"AAAAAF+7u2I=")</f>
        <v>#VALUE!</v>
      </c>
      <c r="CV59" s="22" t="e">
        <f aca="false">AND(#REF!,"AAAAAF+7u2M=")</f>
        <v>#VALUE!</v>
      </c>
      <c r="CW59" s="22" t="e">
        <f aca="false">AND(#REF!,"AAAAAF+7u2Q=")</f>
        <v>#VALUE!</v>
      </c>
      <c r="CX59" s="22" t="e">
        <f aca="false">IF(#REF!,"AAAAAF+7u2U=",0)</f>
        <v>#REF!</v>
      </c>
      <c r="CY59" s="22" t="e">
        <f aca="false">AND(#REF!,"AAAAAF+7u2Y=")</f>
        <v>#VALUE!</v>
      </c>
      <c r="CZ59" s="22" t="e">
        <f aca="false">AND(#REF!,"AAAAAF+7u2c=")</f>
        <v>#VALUE!</v>
      </c>
      <c r="DA59" s="22" t="e">
        <f aca="false">AND(#REF!,"AAAAAF+7u2g=")</f>
        <v>#VALUE!</v>
      </c>
      <c r="DB59" s="22" t="e">
        <f aca="false">AND(#REF!,"AAAAAF+7u2k=")</f>
        <v>#VALUE!</v>
      </c>
      <c r="DC59" s="22" t="e">
        <f aca="false">AND(#REF!,"AAAAAF+7u2o=")</f>
        <v>#VALUE!</v>
      </c>
      <c r="DD59" s="22" t="e">
        <f aca="false">AND(#REF!,"AAAAAF+7u2s=")</f>
        <v>#VALUE!</v>
      </c>
      <c r="DE59" s="22" t="e">
        <f aca="false">IF(#REF!,"AAAAAF+7u2w=",0)</f>
        <v>#REF!</v>
      </c>
      <c r="DF59" s="22" t="e">
        <f aca="false">AND(#REF!,"AAAAAF+7u20=")</f>
        <v>#VALUE!</v>
      </c>
      <c r="DG59" s="22" t="e">
        <f aca="false">AND(#REF!,"AAAAAF+7u24=")</f>
        <v>#VALUE!</v>
      </c>
      <c r="DH59" s="22" t="e">
        <f aca="false">AND(#REF!,"AAAAAF+7u28=")</f>
        <v>#VALUE!</v>
      </c>
      <c r="DI59" s="22" t="e">
        <f aca="false">AND(#REF!,"AAAAAF+7u3A=")</f>
        <v>#VALUE!</v>
      </c>
      <c r="DJ59" s="22" t="e">
        <f aca="false">AND(#REF!,"AAAAAF+7u3E=")</f>
        <v>#VALUE!</v>
      </c>
      <c r="DK59" s="22" t="e">
        <f aca="false">AND(#REF!,"AAAAAF+7u3I=")</f>
        <v>#VALUE!</v>
      </c>
      <c r="DL59" s="22" t="e">
        <f aca="false">IF(#REF!,"AAAAAF+7u3M=",0)</f>
        <v>#REF!</v>
      </c>
      <c r="DM59" s="22" t="e">
        <f aca="false">AND(#REF!,"AAAAAF+7u3Q=")</f>
        <v>#VALUE!</v>
      </c>
      <c r="DN59" s="22" t="e">
        <f aca="false">AND(#REF!,"AAAAAF+7u3U=")</f>
        <v>#VALUE!</v>
      </c>
      <c r="DO59" s="22" t="e">
        <f aca="false">AND(#REF!,"AAAAAF+7u3Y=")</f>
        <v>#VALUE!</v>
      </c>
      <c r="DP59" s="22" t="e">
        <f aca="false">AND(#REF!,"AAAAAF+7u3c=")</f>
        <v>#VALUE!</v>
      </c>
      <c r="DQ59" s="22" t="e">
        <f aca="false">AND(#REF!,"AAAAAF+7u3g=")</f>
        <v>#VALUE!</v>
      </c>
      <c r="DR59" s="22" t="e">
        <f aca="false">AND(#REF!,"AAAAAF+7u3k=")</f>
        <v>#VALUE!</v>
      </c>
      <c r="DS59" s="22" t="e">
        <f aca="false">IF(#REF!,"AAAAAF+7u3o=",0)</f>
        <v>#REF!</v>
      </c>
      <c r="DT59" s="22" t="e">
        <f aca="false">AND(#REF!,"AAAAAF+7u3s=")</f>
        <v>#VALUE!</v>
      </c>
      <c r="DU59" s="22" t="e">
        <f aca="false">AND(#REF!,"AAAAAF+7u3w=")</f>
        <v>#VALUE!</v>
      </c>
      <c r="DV59" s="22" t="e">
        <f aca="false">AND(#REF!,"AAAAAF+7u30=")</f>
        <v>#VALUE!</v>
      </c>
      <c r="DW59" s="22" t="e">
        <f aca="false">AND(#REF!,"AAAAAF+7u34=")</f>
        <v>#VALUE!</v>
      </c>
      <c r="DX59" s="22" t="e">
        <f aca="false">AND(#REF!,"AAAAAF+7u38=")</f>
        <v>#VALUE!</v>
      </c>
      <c r="DY59" s="22" t="e">
        <f aca="false">AND(#REF!,"AAAAAF+7u4A=")</f>
        <v>#VALUE!</v>
      </c>
      <c r="DZ59" s="22" t="e">
        <f aca="false">IF(#REF!,"AAAAAF+7u4E=",0)</f>
        <v>#REF!</v>
      </c>
      <c r="EA59" s="22" t="e">
        <f aca="false">AND(#REF!,"AAAAAF+7u4I=")</f>
        <v>#VALUE!</v>
      </c>
      <c r="EB59" s="22" t="e">
        <f aca="false">AND(#REF!,"AAAAAF+7u4M=")</f>
        <v>#VALUE!</v>
      </c>
      <c r="EC59" s="22" t="e">
        <f aca="false">AND(#REF!,"AAAAAF+7u4Q=")</f>
        <v>#VALUE!</v>
      </c>
      <c r="ED59" s="22" t="e">
        <f aca="false">AND(#REF!,"AAAAAF+7u4U=")</f>
        <v>#VALUE!</v>
      </c>
      <c r="EE59" s="22" t="e">
        <f aca="false">AND(#REF!,"AAAAAF+7u4Y=")</f>
        <v>#VALUE!</v>
      </c>
      <c r="EF59" s="22" t="e">
        <f aca="false">AND(#REF!,"AAAAAF+7u4c=")</f>
        <v>#VALUE!</v>
      </c>
      <c r="EG59" s="22" t="e">
        <f aca="false">IF(#REF!,"AAAAAF+7u4g=",0)</f>
        <v>#REF!</v>
      </c>
      <c r="EH59" s="22" t="e">
        <f aca="false">AND(#REF!,"AAAAAF+7u4k=")</f>
        <v>#VALUE!</v>
      </c>
      <c r="EI59" s="22" t="e">
        <f aca="false">AND(#REF!,"AAAAAF+7u4o=")</f>
        <v>#VALUE!</v>
      </c>
      <c r="EJ59" s="22" t="e">
        <f aca="false">AND(#REF!,"AAAAAF+7u4s=")</f>
        <v>#VALUE!</v>
      </c>
      <c r="EK59" s="22" t="e">
        <f aca="false">AND(#REF!,"AAAAAF+7u4w=")</f>
        <v>#VALUE!</v>
      </c>
      <c r="EL59" s="22" t="e">
        <f aca="false">AND(#REF!,"AAAAAF+7u40=")</f>
        <v>#VALUE!</v>
      </c>
      <c r="EM59" s="22" t="e">
        <f aca="false">AND(#REF!,"AAAAAF+7u44=")</f>
        <v>#VALUE!</v>
      </c>
      <c r="EN59" s="22" t="e">
        <f aca="false">IF(#REF!,"AAAAAF+7u48=",0)</f>
        <v>#REF!</v>
      </c>
      <c r="EO59" s="22" t="e">
        <f aca="false">AND(#REF!,"AAAAAF+7u5A=")</f>
        <v>#VALUE!</v>
      </c>
      <c r="EP59" s="22" t="e">
        <f aca="false">AND(#REF!,"AAAAAF+7u5E=")</f>
        <v>#VALUE!</v>
      </c>
      <c r="EQ59" s="22" t="e">
        <f aca="false">AND(#REF!,"AAAAAF+7u5I=")</f>
        <v>#VALUE!</v>
      </c>
      <c r="ER59" s="22" t="e">
        <f aca="false">AND(#REF!,"AAAAAF+7u5M=")</f>
        <v>#VALUE!</v>
      </c>
      <c r="ES59" s="22" t="e">
        <f aca="false">AND(#REF!,"AAAAAF+7u5Q=")</f>
        <v>#VALUE!</v>
      </c>
      <c r="ET59" s="22" t="e">
        <f aca="false">AND(#REF!,"AAAAAF+7u5U=")</f>
        <v>#VALUE!</v>
      </c>
      <c r="EU59" s="22" t="e">
        <f aca="false">IF(#REF!,"AAAAAF+7u5Y=",0)</f>
        <v>#REF!</v>
      </c>
      <c r="EV59" s="22" t="e">
        <f aca="false">AND(#REF!,"AAAAAF+7u5c=")</f>
        <v>#VALUE!</v>
      </c>
      <c r="EW59" s="22" t="e">
        <f aca="false">AND(#REF!,"AAAAAF+7u5g=")</f>
        <v>#VALUE!</v>
      </c>
      <c r="EX59" s="22" t="e">
        <f aca="false">AND(#REF!,"AAAAAF+7u5k=")</f>
        <v>#VALUE!</v>
      </c>
      <c r="EY59" s="22" t="e">
        <f aca="false">AND(#REF!,"AAAAAF+7u5o=")</f>
        <v>#VALUE!</v>
      </c>
      <c r="EZ59" s="22" t="e">
        <f aca="false">AND(#REF!,"AAAAAF+7u5s=")</f>
        <v>#VALUE!</v>
      </c>
      <c r="FA59" s="22" t="e">
        <f aca="false">AND(#REF!,"AAAAAF+7u5w=")</f>
        <v>#VALUE!</v>
      </c>
      <c r="FB59" s="22" t="e">
        <f aca="false">IF(#REF!,"AAAAAF+7u50=",0)</f>
        <v>#REF!</v>
      </c>
      <c r="FC59" s="22" t="e">
        <f aca="false">AND(#REF!,"AAAAAF+7u54=")</f>
        <v>#VALUE!</v>
      </c>
      <c r="FD59" s="22" t="e">
        <f aca="false">AND(#REF!,"AAAAAF+7u58=")</f>
        <v>#VALUE!</v>
      </c>
      <c r="FE59" s="22" t="e">
        <f aca="false">AND(#REF!,"AAAAAF+7u6A=")</f>
        <v>#VALUE!</v>
      </c>
      <c r="FF59" s="22" t="e">
        <f aca="false">AND(#REF!,"AAAAAF+7u6E=")</f>
        <v>#VALUE!</v>
      </c>
      <c r="FG59" s="22" t="e">
        <f aca="false">AND(#REF!,"AAAAAF+7u6I=")</f>
        <v>#VALUE!</v>
      </c>
      <c r="FH59" s="22" t="e">
        <f aca="false">AND(#REF!,"AAAAAF+7u6M=")</f>
        <v>#VALUE!</v>
      </c>
      <c r="FI59" s="22" t="e">
        <f aca="false">IF(#REF!,"AAAAAF+7u6Q=",0)</f>
        <v>#REF!</v>
      </c>
      <c r="FJ59" s="22" t="e">
        <f aca="false">AND(#REF!,"AAAAAF+7u6U=")</f>
        <v>#VALUE!</v>
      </c>
      <c r="FK59" s="22" t="e">
        <f aca="false">AND(#REF!,"AAAAAF+7u6Y=")</f>
        <v>#VALUE!</v>
      </c>
      <c r="FL59" s="22" t="e">
        <f aca="false">AND(#REF!,"AAAAAF+7u6c=")</f>
        <v>#VALUE!</v>
      </c>
      <c r="FM59" s="22" t="e">
        <f aca="false">AND(#REF!,"AAAAAF+7u6g=")</f>
        <v>#VALUE!</v>
      </c>
      <c r="FN59" s="22" t="e">
        <f aca="false">AND(#REF!,"AAAAAF+7u6k=")</f>
        <v>#VALUE!</v>
      </c>
      <c r="FO59" s="22" t="e">
        <f aca="false">AND(#REF!,"AAAAAF+7u6o=")</f>
        <v>#VALUE!</v>
      </c>
      <c r="FP59" s="22" t="e">
        <f aca="false">IF(#REF!,"AAAAAF+7u6s=",0)</f>
        <v>#REF!</v>
      </c>
      <c r="FQ59" s="22" t="e">
        <f aca="false">AND(#REF!,"AAAAAF+7u6w=")</f>
        <v>#VALUE!</v>
      </c>
      <c r="FR59" s="22" t="e">
        <f aca="false">AND(#REF!,"AAAAAF+7u60=")</f>
        <v>#VALUE!</v>
      </c>
      <c r="FS59" s="22" t="e">
        <f aca="false">AND(#REF!,"AAAAAF+7u64=")</f>
        <v>#VALUE!</v>
      </c>
      <c r="FT59" s="22" t="e">
        <f aca="false">AND(#REF!,"AAAAAF+7u68=")</f>
        <v>#VALUE!</v>
      </c>
      <c r="FU59" s="22" t="e">
        <f aca="false">AND(#REF!,"AAAAAF+7u7A=")</f>
        <v>#VALUE!</v>
      </c>
      <c r="FV59" s="22" t="e">
        <f aca="false">AND(#REF!,"AAAAAF+7u7E=")</f>
        <v>#VALUE!</v>
      </c>
      <c r="FW59" s="22" t="e">
        <f aca="false">IF(#REF!,"AAAAAF+7u7I=",0)</f>
        <v>#REF!</v>
      </c>
      <c r="FX59" s="22" t="e">
        <f aca="false">AND(#REF!,"AAAAAF+7u7M=")</f>
        <v>#VALUE!</v>
      </c>
      <c r="FY59" s="22" t="e">
        <f aca="false">AND(#REF!,"AAAAAF+7u7Q=")</f>
        <v>#VALUE!</v>
      </c>
      <c r="FZ59" s="22" t="e">
        <f aca="false">AND(#REF!,"AAAAAF+7u7U=")</f>
        <v>#VALUE!</v>
      </c>
      <c r="GA59" s="22" t="e">
        <f aca="false">AND(#REF!,"AAAAAF+7u7Y=")</f>
        <v>#VALUE!</v>
      </c>
      <c r="GB59" s="22" t="e">
        <f aca="false">AND(#REF!,"AAAAAF+7u7c=")</f>
        <v>#VALUE!</v>
      </c>
      <c r="GC59" s="22" t="e">
        <f aca="false">AND(#REF!,"AAAAAF+7u7g=")</f>
        <v>#VALUE!</v>
      </c>
      <c r="GD59" s="22" t="e">
        <f aca="false">IF(#REF!,"AAAAAF+7u7k=",0)</f>
        <v>#REF!</v>
      </c>
      <c r="GE59" s="22" t="e">
        <f aca="false">AND(#REF!,"AAAAAF+7u7o=")</f>
        <v>#VALUE!</v>
      </c>
      <c r="GF59" s="22" t="e">
        <f aca="false">AND(#REF!,"AAAAAF+7u7s=")</f>
        <v>#VALUE!</v>
      </c>
      <c r="GG59" s="22" t="e">
        <f aca="false">AND(#REF!,"AAAAAF+7u7w=")</f>
        <v>#VALUE!</v>
      </c>
      <c r="GH59" s="22" t="e">
        <f aca="false">AND(#REF!,"AAAAAF+7u70=")</f>
        <v>#VALUE!</v>
      </c>
      <c r="GI59" s="22" t="e">
        <f aca="false">AND(#REF!,"AAAAAF+7u74=")</f>
        <v>#VALUE!</v>
      </c>
      <c r="GJ59" s="22" t="e">
        <f aca="false">AND(#REF!,"AAAAAF+7u78=")</f>
        <v>#VALUE!</v>
      </c>
      <c r="GK59" s="22" t="e">
        <f aca="false">IF(#REF!,"AAAAAF+7u8A=",0)</f>
        <v>#REF!</v>
      </c>
      <c r="GL59" s="22" t="e">
        <f aca="false">AND(#REF!,"AAAAAF+7u8E=")</f>
        <v>#VALUE!</v>
      </c>
      <c r="GM59" s="22" t="e">
        <f aca="false">AND(#REF!,"AAAAAF+7u8I=")</f>
        <v>#VALUE!</v>
      </c>
      <c r="GN59" s="22" t="e">
        <f aca="false">AND(#REF!,"AAAAAF+7u8M=")</f>
        <v>#VALUE!</v>
      </c>
      <c r="GO59" s="22" t="e">
        <f aca="false">AND(#REF!,"AAAAAF+7u8Q=")</f>
        <v>#VALUE!</v>
      </c>
      <c r="GP59" s="22" t="e">
        <f aca="false">AND(#REF!,"AAAAAF+7u8U=")</f>
        <v>#VALUE!</v>
      </c>
      <c r="GQ59" s="22" t="e">
        <f aca="false">AND(#REF!,"AAAAAF+7u8Y=")</f>
        <v>#VALUE!</v>
      </c>
      <c r="GR59" s="22" t="e">
        <f aca="false">IF(#REF!,"AAAAAF+7u8c=",0)</f>
        <v>#REF!</v>
      </c>
      <c r="GS59" s="22" t="e">
        <f aca="false">AND(#REF!,"AAAAAF+7u8g=")</f>
        <v>#VALUE!</v>
      </c>
      <c r="GT59" s="22" t="e">
        <f aca="false">AND(#REF!,"AAAAAF+7u8k=")</f>
        <v>#VALUE!</v>
      </c>
      <c r="GU59" s="22" t="e">
        <f aca="false">AND(#REF!,"AAAAAF+7u8o=")</f>
        <v>#VALUE!</v>
      </c>
      <c r="GV59" s="22" t="e">
        <f aca="false">AND(#REF!,"AAAAAF+7u8s=")</f>
        <v>#VALUE!</v>
      </c>
      <c r="GW59" s="22" t="e">
        <f aca="false">AND(#REF!,"AAAAAF+7u8w=")</f>
        <v>#VALUE!</v>
      </c>
      <c r="GX59" s="22" t="e">
        <f aca="false">AND(#REF!,"AAAAAF+7u80=")</f>
        <v>#VALUE!</v>
      </c>
      <c r="GY59" s="22" t="e">
        <f aca="false">IF(#REF!,"AAAAAF+7u84=",0)</f>
        <v>#REF!</v>
      </c>
      <c r="GZ59" s="22" t="e">
        <f aca="false">AND(#REF!,"AAAAAF+7u88=")</f>
        <v>#VALUE!</v>
      </c>
      <c r="HA59" s="22" t="e">
        <f aca="false">AND(#REF!,"AAAAAF+7u9A=")</f>
        <v>#VALUE!</v>
      </c>
      <c r="HB59" s="22" t="e">
        <f aca="false">AND(#REF!,"AAAAAF+7u9E=")</f>
        <v>#VALUE!</v>
      </c>
      <c r="HC59" s="22" t="e">
        <f aca="false">AND(#REF!,"AAAAAF+7u9I=")</f>
        <v>#VALUE!</v>
      </c>
      <c r="HD59" s="22" t="e">
        <f aca="false">AND(#REF!,"AAAAAF+7u9M=")</f>
        <v>#VALUE!</v>
      </c>
      <c r="HE59" s="22" t="e">
        <f aca="false">AND(#REF!,"AAAAAF+7u9Q=")</f>
        <v>#VALUE!</v>
      </c>
      <c r="HF59" s="22" t="e">
        <f aca="false">IF(#REF!,"AAAAAF+7u9U=",0)</f>
        <v>#REF!</v>
      </c>
      <c r="HG59" s="22" t="e">
        <f aca="false">AND(#REF!,"AAAAAF+7u9Y=")</f>
        <v>#VALUE!</v>
      </c>
      <c r="HH59" s="22" t="e">
        <f aca="false">AND(#REF!,"AAAAAF+7u9c=")</f>
        <v>#VALUE!</v>
      </c>
      <c r="HI59" s="22" t="e">
        <f aca="false">AND(#REF!,"AAAAAF+7u9g=")</f>
        <v>#VALUE!</v>
      </c>
      <c r="HJ59" s="22" t="e">
        <f aca="false">AND(#REF!,"AAAAAF+7u9k=")</f>
        <v>#VALUE!</v>
      </c>
      <c r="HK59" s="22" t="e">
        <f aca="false">AND(#REF!,"AAAAAF+7u9o=")</f>
        <v>#VALUE!</v>
      </c>
      <c r="HL59" s="22" t="e">
        <f aca="false">AND(#REF!,"AAAAAF+7u9s=")</f>
        <v>#VALUE!</v>
      </c>
      <c r="HM59" s="22" t="e">
        <f aca="false">IF(#REF!,"AAAAAF+7u9w=",0)</f>
        <v>#REF!</v>
      </c>
      <c r="HN59" s="22" t="e">
        <f aca="false">AND(#REF!,"AAAAAF+7u90=")</f>
        <v>#VALUE!</v>
      </c>
      <c r="HO59" s="22" t="e">
        <f aca="false">AND(#REF!,"AAAAAF+7u94=")</f>
        <v>#VALUE!</v>
      </c>
      <c r="HP59" s="22" t="e">
        <f aca="false">AND(#REF!,"AAAAAF+7u98=")</f>
        <v>#VALUE!</v>
      </c>
      <c r="HQ59" s="22" t="e">
        <f aca="false">AND(#REF!,"AAAAAF+7u+A=")</f>
        <v>#VALUE!</v>
      </c>
      <c r="HR59" s="22" t="e">
        <f aca="false">AND(#REF!,"AAAAAF+7u+E=")</f>
        <v>#VALUE!</v>
      </c>
      <c r="HS59" s="22" t="e">
        <f aca="false">AND(#REF!,"AAAAAF+7u+I=")</f>
        <v>#VALUE!</v>
      </c>
      <c r="HT59" s="22" t="e">
        <f aca="false">IF(#REF!,"AAAAAF+7u+M=",0)</f>
        <v>#REF!</v>
      </c>
      <c r="HU59" s="22" t="e">
        <f aca="false">AND(#REF!,"AAAAAF+7u+Q=")</f>
        <v>#VALUE!</v>
      </c>
      <c r="HV59" s="22" t="e">
        <f aca="false">AND(#REF!,"AAAAAF+7u+U=")</f>
        <v>#VALUE!</v>
      </c>
      <c r="HW59" s="22" t="e">
        <f aca="false">AND(#REF!,"AAAAAF+7u+Y=")</f>
        <v>#VALUE!</v>
      </c>
      <c r="HX59" s="22" t="e">
        <f aca="false">AND(#REF!,"AAAAAF+7u+c=")</f>
        <v>#VALUE!</v>
      </c>
      <c r="HY59" s="22" t="e">
        <f aca="false">AND(#REF!,"AAAAAF+7u+g=")</f>
        <v>#VALUE!</v>
      </c>
      <c r="HZ59" s="22" t="e">
        <f aca="false">AND(#REF!,"AAAAAF+7u+k=")</f>
        <v>#VALUE!</v>
      </c>
      <c r="IA59" s="22" t="e">
        <f aca="false">IF(#REF!,"AAAAAF+7u+o=",0)</f>
        <v>#REF!</v>
      </c>
      <c r="IB59" s="22" t="e">
        <f aca="false">AND(#REF!,"AAAAAF+7u+s=")</f>
        <v>#VALUE!</v>
      </c>
      <c r="IC59" s="22" t="e">
        <f aca="false">AND(#REF!,"AAAAAF+7u+w=")</f>
        <v>#VALUE!</v>
      </c>
      <c r="ID59" s="22" t="e">
        <f aca="false">AND(#REF!,"AAAAAF+7u+0=")</f>
        <v>#VALUE!</v>
      </c>
      <c r="IE59" s="22" t="e">
        <f aca="false">AND(#REF!,"AAAAAF+7u+4=")</f>
        <v>#VALUE!</v>
      </c>
      <c r="IF59" s="22" t="e">
        <f aca="false">AND(#REF!,"AAAAAF+7u+8=")</f>
        <v>#VALUE!</v>
      </c>
      <c r="IG59" s="22" t="e">
        <f aca="false">AND(#REF!,"AAAAAF+7u/A=")</f>
        <v>#VALUE!</v>
      </c>
      <c r="IH59" s="22" t="e">
        <f aca="false">IF(#REF!,"AAAAAF+7u/E=",0)</f>
        <v>#REF!</v>
      </c>
      <c r="II59" s="22" t="e">
        <f aca="false">AND(#REF!,"AAAAAF+7u/I=")</f>
        <v>#VALUE!</v>
      </c>
      <c r="IJ59" s="22" t="e">
        <f aca="false">AND(#REF!,"AAAAAF+7u/M=")</f>
        <v>#VALUE!</v>
      </c>
      <c r="IK59" s="22" t="e">
        <f aca="false">AND(#REF!,"AAAAAF+7u/Q=")</f>
        <v>#VALUE!</v>
      </c>
      <c r="IL59" s="22" t="e">
        <f aca="false">AND(#REF!,"AAAAAF+7u/U=")</f>
        <v>#VALUE!</v>
      </c>
      <c r="IM59" s="22" t="e">
        <f aca="false">AND(#REF!,"AAAAAF+7u/Y=")</f>
        <v>#VALUE!</v>
      </c>
      <c r="IN59" s="22" t="e">
        <f aca="false">AND(#REF!,"AAAAAF+7u/c=")</f>
        <v>#VALUE!</v>
      </c>
      <c r="IO59" s="22" t="e">
        <f aca="false">IF(#REF!,"AAAAAF+7u/g=",0)</f>
        <v>#REF!</v>
      </c>
      <c r="IP59" s="22" t="e">
        <f aca="false">AND(#REF!,"AAAAAF+7u/k=")</f>
        <v>#VALUE!</v>
      </c>
      <c r="IQ59" s="22" t="e">
        <f aca="false">AND(#REF!,"AAAAAF+7u/o=")</f>
        <v>#VALUE!</v>
      </c>
      <c r="IR59" s="22" t="e">
        <f aca="false">AND(#REF!,"AAAAAF+7u/s=")</f>
        <v>#VALUE!</v>
      </c>
      <c r="IS59" s="22" t="e">
        <f aca="false">AND(#REF!,"AAAAAF+7u/w=")</f>
        <v>#VALUE!</v>
      </c>
      <c r="IT59" s="22" t="e">
        <f aca="false">AND(#REF!,"AAAAAF+7u/0=")</f>
        <v>#VALUE!</v>
      </c>
      <c r="IU59" s="22" t="e">
        <f aca="false">AND(#REF!,"AAAAAF+7u/4=")</f>
        <v>#VALUE!</v>
      </c>
      <c r="IV59" s="22" t="e">
        <f aca="false">IF(#REF!,"AAAAAF+7u/8=",0)</f>
        <v>#REF!</v>
      </c>
    </row>
    <row r="60" customFormat="false" ht="12.75" hidden="false" customHeight="false" outlineLevel="0" collapsed="false">
      <c r="A60" s="22" t="e">
        <f aca="false">AND(#REF!,"AAAAAH7//gA=")</f>
        <v>#VALUE!</v>
      </c>
      <c r="B60" s="22" t="e">
        <f aca="false">AND(#REF!,"AAAAAH7//gE=")</f>
        <v>#VALUE!</v>
      </c>
      <c r="C60" s="22" t="e">
        <f aca="false">AND(#REF!,"AAAAAH7//gI=")</f>
        <v>#VALUE!</v>
      </c>
      <c r="D60" s="22" t="e">
        <f aca="false">AND(#REF!,"AAAAAH7//gM=")</f>
        <v>#VALUE!</v>
      </c>
      <c r="E60" s="22" t="e">
        <f aca="false">AND(#REF!,"AAAAAH7//gQ=")</f>
        <v>#VALUE!</v>
      </c>
      <c r="F60" s="22" t="e">
        <f aca="false">AND(#REF!,"AAAAAH7//gU=")</f>
        <v>#VALUE!</v>
      </c>
      <c r="G60" s="22" t="e">
        <f aca="false">IF(#REF!,"AAAAAH7//gY=",0)</f>
        <v>#REF!</v>
      </c>
      <c r="H60" s="22" t="e">
        <f aca="false">AND(#REF!,"AAAAAH7//gc=")</f>
        <v>#VALUE!</v>
      </c>
      <c r="I60" s="22" t="e">
        <f aca="false">AND(#REF!,"AAAAAH7//gg=")</f>
        <v>#VALUE!</v>
      </c>
      <c r="J60" s="22" t="e">
        <f aca="false">AND(#REF!,"AAAAAH7//gk=")</f>
        <v>#VALUE!</v>
      </c>
      <c r="K60" s="22" t="e">
        <f aca="false">AND(#REF!,"AAAAAH7//go=")</f>
        <v>#VALUE!</v>
      </c>
      <c r="L60" s="22" t="e">
        <f aca="false">AND(#REF!,"AAAAAH7//gs=")</f>
        <v>#VALUE!</v>
      </c>
      <c r="M60" s="22" t="e">
        <f aca="false">AND(#REF!,"AAAAAH7//gw=")</f>
        <v>#VALUE!</v>
      </c>
      <c r="N60" s="22" t="e">
        <f aca="false">IF(#REF!,"AAAAAH7//g0=",0)</f>
        <v>#REF!</v>
      </c>
      <c r="O60" s="22" t="e">
        <f aca="false">AND(#REF!,"AAAAAH7//g4=")</f>
        <v>#VALUE!</v>
      </c>
      <c r="P60" s="22" t="e">
        <f aca="false">AND(#REF!,"AAAAAH7//g8=")</f>
        <v>#VALUE!</v>
      </c>
      <c r="Q60" s="22" t="e">
        <f aca="false">AND(#REF!,"AAAAAH7//hA=")</f>
        <v>#VALUE!</v>
      </c>
      <c r="R60" s="22" t="e">
        <f aca="false">AND(#REF!,"AAAAAH7//hE=")</f>
        <v>#VALUE!</v>
      </c>
      <c r="S60" s="22" t="e">
        <f aca="false">AND(#REF!,"AAAAAH7//hI=")</f>
        <v>#VALUE!</v>
      </c>
      <c r="T60" s="22" t="e">
        <f aca="false">AND(#REF!,"AAAAAH7//hM=")</f>
        <v>#VALUE!</v>
      </c>
      <c r="U60" s="22" t="e">
        <f aca="false">IF(#REF!,"AAAAAH7//hQ=",0)</f>
        <v>#REF!</v>
      </c>
      <c r="V60" s="22" t="e">
        <f aca="false">AND(#REF!,"AAAAAH7//hU=")</f>
        <v>#VALUE!</v>
      </c>
      <c r="W60" s="22" t="e">
        <f aca="false">AND(#REF!,"AAAAAH7//hY=")</f>
        <v>#VALUE!</v>
      </c>
      <c r="X60" s="22" t="e">
        <f aca="false">AND(#REF!,"AAAAAH7//hc=")</f>
        <v>#VALUE!</v>
      </c>
      <c r="Y60" s="22" t="e">
        <f aca="false">AND(#REF!,"AAAAAH7//hg=")</f>
        <v>#VALUE!</v>
      </c>
      <c r="Z60" s="22" t="e">
        <f aca="false">AND(#REF!,"AAAAAH7//hk=")</f>
        <v>#VALUE!</v>
      </c>
      <c r="AA60" s="22" t="e">
        <f aca="false">AND(#REF!,"AAAAAH7//ho=")</f>
        <v>#VALUE!</v>
      </c>
      <c r="AB60" s="22" t="e">
        <f aca="false">IF(#REF!,"AAAAAH7//hs=",0)</f>
        <v>#REF!</v>
      </c>
      <c r="AC60" s="22" t="e">
        <f aca="false">AND(#REF!,"AAAAAH7//hw=")</f>
        <v>#VALUE!</v>
      </c>
      <c r="AD60" s="22" t="e">
        <f aca="false">AND(#REF!,"AAAAAH7//h0=")</f>
        <v>#VALUE!</v>
      </c>
      <c r="AE60" s="22" t="e">
        <f aca="false">AND(#REF!,"AAAAAH7//h4=")</f>
        <v>#VALUE!</v>
      </c>
      <c r="AF60" s="22" t="e">
        <f aca="false">AND(#REF!,"AAAAAH7//h8=")</f>
        <v>#VALUE!</v>
      </c>
      <c r="AG60" s="22" t="e">
        <f aca="false">AND(#REF!,"AAAAAH7//iA=")</f>
        <v>#VALUE!</v>
      </c>
      <c r="AH60" s="22" t="e">
        <f aca="false">AND(#REF!,"AAAAAH7//iE=")</f>
        <v>#VALUE!</v>
      </c>
      <c r="AI60" s="22" t="e">
        <f aca="false">IF(#REF!,"AAAAAH7//iI=",0)</f>
        <v>#REF!</v>
      </c>
      <c r="AJ60" s="22" t="e">
        <f aca="false">AND(#REF!,"AAAAAH7//iM=")</f>
        <v>#VALUE!</v>
      </c>
      <c r="AK60" s="22" t="e">
        <f aca="false">AND(#REF!,"AAAAAH7//iQ=")</f>
        <v>#VALUE!</v>
      </c>
      <c r="AL60" s="22" t="e">
        <f aca="false">AND(#REF!,"AAAAAH7//iU=")</f>
        <v>#VALUE!</v>
      </c>
      <c r="AM60" s="22" t="e">
        <f aca="false">AND(#REF!,"AAAAAH7//iY=")</f>
        <v>#VALUE!</v>
      </c>
      <c r="AN60" s="22" t="e">
        <f aca="false">AND(#REF!,"AAAAAH7//ic=")</f>
        <v>#VALUE!</v>
      </c>
      <c r="AO60" s="22" t="e">
        <f aca="false">AND(#REF!,"AAAAAH7//ig=")</f>
        <v>#VALUE!</v>
      </c>
      <c r="AP60" s="22" t="e">
        <f aca="false">IF(#REF!,"AAAAAH7//ik=",0)</f>
        <v>#REF!</v>
      </c>
      <c r="AQ60" s="22" t="e">
        <f aca="false">AND(#REF!,"AAAAAH7//io=")</f>
        <v>#VALUE!</v>
      </c>
      <c r="AR60" s="22" t="e">
        <f aca="false">AND(#REF!,"AAAAAH7//is=")</f>
        <v>#VALUE!</v>
      </c>
      <c r="AS60" s="22" t="e">
        <f aca="false">AND(#REF!,"AAAAAH7//iw=")</f>
        <v>#VALUE!</v>
      </c>
      <c r="AT60" s="22" t="e">
        <f aca="false">AND(#REF!,"AAAAAH7//i0=")</f>
        <v>#VALUE!</v>
      </c>
      <c r="AU60" s="22" t="e">
        <f aca="false">AND(#REF!,"AAAAAH7//i4=")</f>
        <v>#VALUE!</v>
      </c>
      <c r="AV60" s="22" t="e">
        <f aca="false">AND(#REF!,"AAAAAH7//i8=")</f>
        <v>#VALUE!</v>
      </c>
      <c r="AW60" s="22" t="e">
        <f aca="false">IF(#REF!,"AAAAAH7//jA=",0)</f>
        <v>#REF!</v>
      </c>
      <c r="AX60" s="22" t="e">
        <f aca="false">AND(#REF!,"AAAAAH7//jE=")</f>
        <v>#VALUE!</v>
      </c>
      <c r="AY60" s="22" t="e">
        <f aca="false">AND(#REF!,"AAAAAH7//jI=")</f>
        <v>#VALUE!</v>
      </c>
      <c r="AZ60" s="22" t="e">
        <f aca="false">AND(#REF!,"AAAAAH7//jM=")</f>
        <v>#VALUE!</v>
      </c>
      <c r="BA60" s="22" t="e">
        <f aca="false">AND(#REF!,"AAAAAH7//jQ=")</f>
        <v>#VALUE!</v>
      </c>
      <c r="BB60" s="22" t="e">
        <f aca="false">AND(#REF!,"AAAAAH7//jU=")</f>
        <v>#VALUE!</v>
      </c>
      <c r="BC60" s="22" t="e">
        <f aca="false">AND(#REF!,"AAAAAH7//jY=")</f>
        <v>#VALUE!</v>
      </c>
      <c r="BD60" s="22" t="e">
        <f aca="false">IF(#REF!,"AAAAAH7//jc=",0)</f>
        <v>#REF!</v>
      </c>
      <c r="BE60" s="22" t="e">
        <f aca="false">AND(#REF!,"AAAAAH7//jg=")</f>
        <v>#VALUE!</v>
      </c>
      <c r="BF60" s="22" t="e">
        <f aca="false">AND(#REF!,"AAAAAH7//jk=")</f>
        <v>#VALUE!</v>
      </c>
      <c r="BG60" s="22" t="e">
        <f aca="false">AND(#REF!,"AAAAAH7//jo=")</f>
        <v>#VALUE!</v>
      </c>
      <c r="BH60" s="22" t="e">
        <f aca="false">AND(#REF!,"AAAAAH7//js=")</f>
        <v>#VALUE!</v>
      </c>
      <c r="BI60" s="22" t="e">
        <f aca="false">AND(#REF!,"AAAAAH7//jw=")</f>
        <v>#VALUE!</v>
      </c>
      <c r="BJ60" s="22" t="e">
        <f aca="false">AND(#REF!,"AAAAAH7//j0=")</f>
        <v>#VALUE!</v>
      </c>
      <c r="BK60" s="22" t="e">
        <f aca="false">IF(#REF!,"AAAAAH7//j4=",0)</f>
        <v>#REF!</v>
      </c>
      <c r="BL60" s="22" t="e">
        <f aca="false">AND(#REF!,"AAAAAH7//j8=")</f>
        <v>#VALUE!</v>
      </c>
      <c r="BM60" s="22" t="e">
        <f aca="false">AND(#REF!,"AAAAAH7//kA=")</f>
        <v>#VALUE!</v>
      </c>
      <c r="BN60" s="22" t="e">
        <f aca="false">AND(#REF!,"AAAAAH7//kE=")</f>
        <v>#VALUE!</v>
      </c>
      <c r="BO60" s="22" t="e">
        <f aca="false">AND(#REF!,"AAAAAH7//kI=")</f>
        <v>#VALUE!</v>
      </c>
      <c r="BP60" s="22" t="e">
        <f aca="false">AND(#REF!,"AAAAAH7//kM=")</f>
        <v>#VALUE!</v>
      </c>
      <c r="BQ60" s="22" t="e">
        <f aca="false">AND(#REF!,"AAAAAH7//kQ=")</f>
        <v>#VALUE!</v>
      </c>
      <c r="BR60" s="22" t="e">
        <f aca="false">IF(#REF!,"AAAAAH7//kU=",0)</f>
        <v>#REF!</v>
      </c>
      <c r="BS60" s="22" t="e">
        <f aca="false">AND(#REF!,"AAAAAH7//kY=")</f>
        <v>#VALUE!</v>
      </c>
      <c r="BT60" s="22" t="e">
        <f aca="false">AND(#REF!,"AAAAAH7//kc=")</f>
        <v>#VALUE!</v>
      </c>
      <c r="BU60" s="22" t="e">
        <f aca="false">AND(#REF!,"AAAAAH7//kg=")</f>
        <v>#VALUE!</v>
      </c>
      <c r="BV60" s="22" t="e">
        <f aca="false">AND(#REF!,"AAAAAH7//kk=")</f>
        <v>#VALUE!</v>
      </c>
      <c r="BW60" s="22" t="e">
        <f aca="false">AND(#REF!,"AAAAAH7//ko=")</f>
        <v>#VALUE!</v>
      </c>
      <c r="BX60" s="22" t="e">
        <f aca="false">AND(#REF!,"AAAAAH7//ks=")</f>
        <v>#VALUE!</v>
      </c>
      <c r="BY60" s="22" t="e">
        <f aca="false">IF(#REF!,"AAAAAH7//kw=",0)</f>
        <v>#REF!</v>
      </c>
      <c r="BZ60" s="22" t="e">
        <f aca="false">AND(#REF!,"AAAAAH7//k0=")</f>
        <v>#VALUE!</v>
      </c>
      <c r="CA60" s="22" t="e">
        <f aca="false">AND(#REF!,"AAAAAH7//k4=")</f>
        <v>#VALUE!</v>
      </c>
      <c r="CB60" s="22" t="e">
        <f aca="false">AND(#REF!,"AAAAAH7//k8=")</f>
        <v>#VALUE!</v>
      </c>
      <c r="CC60" s="22" t="e">
        <f aca="false">AND(#REF!,"AAAAAH7//lA=")</f>
        <v>#VALUE!</v>
      </c>
      <c r="CD60" s="22" t="e">
        <f aca="false">AND(#REF!,"AAAAAH7//lE=")</f>
        <v>#VALUE!</v>
      </c>
      <c r="CE60" s="22" t="e">
        <f aca="false">AND(#REF!,"AAAAAH7//lI=")</f>
        <v>#VALUE!</v>
      </c>
      <c r="CF60" s="22" t="e">
        <f aca="false">IF(#REF!,"AAAAAH7//lM=",0)</f>
        <v>#REF!</v>
      </c>
      <c r="CG60" s="22" t="e">
        <f aca="false">AND(#REF!,"AAAAAH7//lQ=")</f>
        <v>#VALUE!</v>
      </c>
      <c r="CH60" s="22" t="e">
        <f aca="false">AND(#REF!,"AAAAAH7//lU=")</f>
        <v>#VALUE!</v>
      </c>
      <c r="CI60" s="22" t="e">
        <f aca="false">AND(#REF!,"AAAAAH7//lY=")</f>
        <v>#VALUE!</v>
      </c>
      <c r="CJ60" s="22" t="e">
        <f aca="false">AND(#REF!,"AAAAAH7//lc=")</f>
        <v>#VALUE!</v>
      </c>
      <c r="CK60" s="22" t="e">
        <f aca="false">AND(#REF!,"AAAAAH7//lg=")</f>
        <v>#VALUE!</v>
      </c>
      <c r="CL60" s="22" t="e">
        <f aca="false">AND(#REF!,"AAAAAH7//lk=")</f>
        <v>#VALUE!</v>
      </c>
      <c r="CM60" s="22" t="e">
        <f aca="false">IF(#REF!,"AAAAAH7//lo=",0)</f>
        <v>#REF!</v>
      </c>
      <c r="CN60" s="22" t="e">
        <f aca="false">AND(#REF!,"AAAAAH7//ls=")</f>
        <v>#VALUE!</v>
      </c>
      <c r="CO60" s="22" t="e">
        <f aca="false">AND(#REF!,"AAAAAH7//lw=")</f>
        <v>#VALUE!</v>
      </c>
      <c r="CP60" s="22" t="e">
        <f aca="false">AND(#REF!,"AAAAAH7//l0=")</f>
        <v>#VALUE!</v>
      </c>
      <c r="CQ60" s="22" t="e">
        <f aca="false">AND(#REF!,"AAAAAH7//l4=")</f>
        <v>#VALUE!</v>
      </c>
      <c r="CR60" s="22" t="e">
        <f aca="false">AND(#REF!,"AAAAAH7//l8=")</f>
        <v>#VALUE!</v>
      </c>
      <c r="CS60" s="22" t="e">
        <f aca="false">AND(#REF!,"AAAAAH7//mA=")</f>
        <v>#VALUE!</v>
      </c>
      <c r="CT60" s="22" t="e">
        <f aca="false">IF(#REF!,"AAAAAH7//mE=",0)</f>
        <v>#REF!</v>
      </c>
      <c r="CU60" s="22" t="e">
        <f aca="false">AND(#REF!,"AAAAAH7//mI=")</f>
        <v>#VALUE!</v>
      </c>
      <c r="CV60" s="22" t="e">
        <f aca="false">AND(#REF!,"AAAAAH7//mM=")</f>
        <v>#VALUE!</v>
      </c>
      <c r="CW60" s="22" t="e">
        <f aca="false">AND(#REF!,"AAAAAH7//mQ=")</f>
        <v>#VALUE!</v>
      </c>
      <c r="CX60" s="22" t="e">
        <f aca="false">AND(#REF!,"AAAAAH7//mU=")</f>
        <v>#VALUE!</v>
      </c>
      <c r="CY60" s="22" t="e">
        <f aca="false">AND(#REF!,"AAAAAH7//mY=")</f>
        <v>#VALUE!</v>
      </c>
      <c r="CZ60" s="22" t="e">
        <f aca="false">AND(#REF!,"AAAAAH7//mc=")</f>
        <v>#VALUE!</v>
      </c>
      <c r="DA60" s="22" t="e">
        <f aca="false">IF(#REF!,"AAAAAH7//mg=",0)</f>
        <v>#REF!</v>
      </c>
      <c r="DB60" s="22" t="e">
        <f aca="false">AND(#REF!,"AAAAAH7//mk=")</f>
        <v>#VALUE!</v>
      </c>
      <c r="DC60" s="22" t="e">
        <f aca="false">AND(#REF!,"AAAAAH7//mo=")</f>
        <v>#VALUE!</v>
      </c>
      <c r="DD60" s="22" t="e">
        <f aca="false">AND(#REF!,"AAAAAH7//ms=")</f>
        <v>#VALUE!</v>
      </c>
      <c r="DE60" s="22" t="e">
        <f aca="false">AND(#REF!,"AAAAAH7//mw=")</f>
        <v>#VALUE!</v>
      </c>
      <c r="DF60" s="22" t="e">
        <f aca="false">AND(#REF!,"AAAAAH7//m0=")</f>
        <v>#VALUE!</v>
      </c>
      <c r="DG60" s="22" t="e">
        <f aca="false">AND(#REF!,"AAAAAH7//m4=")</f>
        <v>#VALUE!</v>
      </c>
      <c r="DH60" s="22" t="e">
        <f aca="false">IF(#REF!,"AAAAAH7//m8=",0)</f>
        <v>#REF!</v>
      </c>
      <c r="DI60" s="22" t="e">
        <f aca="false">AND(#REF!,"AAAAAH7//nA=")</f>
        <v>#VALUE!</v>
      </c>
      <c r="DJ60" s="22" t="e">
        <f aca="false">AND(#REF!,"AAAAAH7//nE=")</f>
        <v>#VALUE!</v>
      </c>
      <c r="DK60" s="22" t="e">
        <f aca="false">AND(#REF!,"AAAAAH7//nI=")</f>
        <v>#VALUE!</v>
      </c>
      <c r="DL60" s="22" t="e">
        <f aca="false">AND(#REF!,"AAAAAH7//nM=")</f>
        <v>#VALUE!</v>
      </c>
      <c r="DM60" s="22" t="e">
        <f aca="false">AND(#REF!,"AAAAAH7//nQ=")</f>
        <v>#VALUE!</v>
      </c>
      <c r="DN60" s="22" t="e">
        <f aca="false">AND(#REF!,"AAAAAH7//nU=")</f>
        <v>#VALUE!</v>
      </c>
      <c r="DO60" s="22" t="e">
        <f aca="false">IF(#REF!,"AAAAAH7//nY=",0)</f>
        <v>#REF!</v>
      </c>
      <c r="DP60" s="22" t="e">
        <f aca="false">AND(#REF!,"AAAAAH7//nc=")</f>
        <v>#VALUE!</v>
      </c>
      <c r="DQ60" s="22" t="e">
        <f aca="false">AND(#REF!,"AAAAAH7//ng=")</f>
        <v>#VALUE!</v>
      </c>
      <c r="DR60" s="22" t="e">
        <f aca="false">AND(#REF!,"AAAAAH7//nk=")</f>
        <v>#VALUE!</v>
      </c>
      <c r="DS60" s="22" t="e">
        <f aca="false">AND(#REF!,"AAAAAH7//no=")</f>
        <v>#VALUE!</v>
      </c>
      <c r="DT60" s="22" t="e">
        <f aca="false">AND(#REF!,"AAAAAH7//ns=")</f>
        <v>#VALUE!</v>
      </c>
      <c r="DU60" s="22" t="e">
        <f aca="false">AND(#REF!,"AAAAAH7//nw=")</f>
        <v>#VALUE!</v>
      </c>
      <c r="DV60" s="22" t="e">
        <f aca="false">IF(#REF!,"AAAAAH7//n0=",0)</f>
        <v>#REF!</v>
      </c>
      <c r="DW60" s="22" t="e">
        <f aca="false">AND(#REF!,"AAAAAH7//n4=")</f>
        <v>#VALUE!</v>
      </c>
      <c r="DX60" s="22" t="e">
        <f aca="false">AND(#REF!,"AAAAAH7//n8=")</f>
        <v>#VALUE!</v>
      </c>
      <c r="DY60" s="22" t="e">
        <f aca="false">AND(#REF!,"AAAAAH7//oA=")</f>
        <v>#VALUE!</v>
      </c>
      <c r="DZ60" s="22" t="e">
        <f aca="false">AND(#REF!,"AAAAAH7//oE=")</f>
        <v>#VALUE!</v>
      </c>
      <c r="EA60" s="22" t="e">
        <f aca="false">AND(#REF!,"AAAAAH7//oI=")</f>
        <v>#VALUE!</v>
      </c>
      <c r="EB60" s="22" t="e">
        <f aca="false">AND(#REF!,"AAAAAH7//oM=")</f>
        <v>#VALUE!</v>
      </c>
      <c r="EC60" s="22" t="e">
        <f aca="false">IF(#REF!,"AAAAAH7//oQ=",0)</f>
        <v>#REF!</v>
      </c>
      <c r="ED60" s="22" t="e">
        <f aca="false">AND(#REF!,"AAAAAH7//oU=")</f>
        <v>#VALUE!</v>
      </c>
      <c r="EE60" s="22" t="e">
        <f aca="false">AND(#REF!,"AAAAAH7//oY=")</f>
        <v>#VALUE!</v>
      </c>
      <c r="EF60" s="22" t="e">
        <f aca="false">AND(#REF!,"AAAAAH7//oc=")</f>
        <v>#VALUE!</v>
      </c>
      <c r="EG60" s="22" t="e">
        <f aca="false">AND(#REF!,"AAAAAH7//og=")</f>
        <v>#VALUE!</v>
      </c>
      <c r="EH60" s="22" t="e">
        <f aca="false">AND(#REF!,"AAAAAH7//ok=")</f>
        <v>#VALUE!</v>
      </c>
      <c r="EI60" s="22" t="e">
        <f aca="false">AND(#REF!,"AAAAAH7//oo=")</f>
        <v>#VALUE!</v>
      </c>
      <c r="EJ60" s="22" t="e">
        <f aca="false">IF(#REF!,"AAAAAH7//os=",0)</f>
        <v>#REF!</v>
      </c>
      <c r="EK60" s="22" t="e">
        <f aca="false">AND(#REF!,"AAAAAH7//ow=")</f>
        <v>#VALUE!</v>
      </c>
      <c r="EL60" s="22" t="e">
        <f aca="false">AND(#REF!,"AAAAAH7//o0=")</f>
        <v>#VALUE!</v>
      </c>
      <c r="EM60" s="22" t="e">
        <f aca="false">AND(#REF!,"AAAAAH7//o4=")</f>
        <v>#VALUE!</v>
      </c>
      <c r="EN60" s="22" t="e">
        <f aca="false">AND(#REF!,"AAAAAH7//o8=")</f>
        <v>#VALUE!</v>
      </c>
      <c r="EO60" s="22" t="e">
        <f aca="false">AND(#REF!,"AAAAAH7//pA=")</f>
        <v>#VALUE!</v>
      </c>
      <c r="EP60" s="22" t="e">
        <f aca="false">AND(#REF!,"AAAAAH7//pE=")</f>
        <v>#VALUE!</v>
      </c>
      <c r="EQ60" s="22" t="e">
        <f aca="false">IF(#REF!,"AAAAAH7//pI=",0)</f>
        <v>#REF!</v>
      </c>
      <c r="ER60" s="22" t="e">
        <f aca="false">AND(#REF!,"AAAAAH7//pM=")</f>
        <v>#VALUE!</v>
      </c>
      <c r="ES60" s="22" t="e">
        <f aca="false">AND(#REF!,"AAAAAH7//pQ=")</f>
        <v>#VALUE!</v>
      </c>
      <c r="ET60" s="22" t="e">
        <f aca="false">AND(#REF!,"AAAAAH7//pU=")</f>
        <v>#VALUE!</v>
      </c>
      <c r="EU60" s="22" t="e">
        <f aca="false">AND(#REF!,"AAAAAH7//pY=")</f>
        <v>#VALUE!</v>
      </c>
      <c r="EV60" s="22" t="e">
        <f aca="false">AND(#REF!,"AAAAAH7//pc=")</f>
        <v>#VALUE!</v>
      </c>
      <c r="EW60" s="22" t="e">
        <f aca="false">AND(#REF!,"AAAAAH7//pg=")</f>
        <v>#VALUE!</v>
      </c>
      <c r="EX60" s="22" t="e">
        <f aca="false">IF(#REF!,"AAAAAH7//pk=",0)</f>
        <v>#REF!</v>
      </c>
      <c r="EY60" s="22" t="e">
        <f aca="false">AND(#REF!,"AAAAAH7//po=")</f>
        <v>#VALUE!</v>
      </c>
      <c r="EZ60" s="22" t="e">
        <f aca="false">AND(#REF!,"AAAAAH7//ps=")</f>
        <v>#VALUE!</v>
      </c>
      <c r="FA60" s="22" t="e">
        <f aca="false">AND(#REF!,"AAAAAH7//pw=")</f>
        <v>#VALUE!</v>
      </c>
      <c r="FB60" s="22" t="e">
        <f aca="false">AND(#REF!,"AAAAAH7//p0=")</f>
        <v>#VALUE!</v>
      </c>
      <c r="FC60" s="22" t="e">
        <f aca="false">AND(#REF!,"AAAAAH7//p4=")</f>
        <v>#VALUE!</v>
      </c>
      <c r="FD60" s="22" t="e">
        <f aca="false">AND(#REF!,"AAAAAH7//p8=")</f>
        <v>#VALUE!</v>
      </c>
      <c r="FE60" s="22" t="e">
        <f aca="false">IF(#REF!,"AAAAAH7//qA=",0)</f>
        <v>#REF!</v>
      </c>
      <c r="FF60" s="22" t="e">
        <f aca="false">AND(#REF!,"AAAAAH7//qE=")</f>
        <v>#VALUE!</v>
      </c>
      <c r="FG60" s="22" t="e">
        <f aca="false">AND(#REF!,"AAAAAH7//qI=")</f>
        <v>#VALUE!</v>
      </c>
      <c r="FH60" s="22" t="e">
        <f aca="false">AND(#REF!,"AAAAAH7//qM=")</f>
        <v>#VALUE!</v>
      </c>
      <c r="FI60" s="22" t="e">
        <f aca="false">AND(#REF!,"AAAAAH7//qQ=")</f>
        <v>#VALUE!</v>
      </c>
      <c r="FJ60" s="22" t="e">
        <f aca="false">AND(#REF!,"AAAAAH7//qU=")</f>
        <v>#VALUE!</v>
      </c>
      <c r="FK60" s="22" t="e">
        <f aca="false">AND(#REF!,"AAAAAH7//qY=")</f>
        <v>#VALUE!</v>
      </c>
      <c r="FL60" s="22" t="e">
        <f aca="false">IF(#REF!,"AAAAAH7//qc=",0)</f>
        <v>#REF!</v>
      </c>
      <c r="FM60" s="22" t="e">
        <f aca="false">AND(#REF!,"AAAAAH7//qg=")</f>
        <v>#VALUE!</v>
      </c>
      <c r="FN60" s="22" t="e">
        <f aca="false">AND(#REF!,"AAAAAH7//qk=")</f>
        <v>#VALUE!</v>
      </c>
      <c r="FO60" s="22" t="e">
        <f aca="false">AND(#REF!,"AAAAAH7//qo=")</f>
        <v>#VALUE!</v>
      </c>
      <c r="FP60" s="22" t="e">
        <f aca="false">AND(#REF!,"AAAAAH7//qs=")</f>
        <v>#VALUE!</v>
      </c>
      <c r="FQ60" s="22" t="e">
        <f aca="false">AND(#REF!,"AAAAAH7//qw=")</f>
        <v>#VALUE!</v>
      </c>
      <c r="FR60" s="22" t="e">
        <f aca="false">AND(#REF!,"AAAAAH7//q0=")</f>
        <v>#VALUE!</v>
      </c>
      <c r="FS60" s="22" t="e">
        <f aca="false">IF(#REF!,"AAAAAH7//q4=",0)</f>
        <v>#REF!</v>
      </c>
      <c r="FT60" s="22" t="e">
        <f aca="false">AND(#REF!,"AAAAAH7//q8=")</f>
        <v>#VALUE!</v>
      </c>
      <c r="FU60" s="22" t="e">
        <f aca="false">AND(#REF!,"AAAAAH7//rA=")</f>
        <v>#VALUE!</v>
      </c>
      <c r="FV60" s="22" t="e">
        <f aca="false">AND(#REF!,"AAAAAH7//rE=")</f>
        <v>#VALUE!</v>
      </c>
      <c r="FW60" s="22" t="e">
        <f aca="false">AND(#REF!,"AAAAAH7//rI=")</f>
        <v>#VALUE!</v>
      </c>
      <c r="FX60" s="22" t="e">
        <f aca="false">AND(#REF!,"AAAAAH7//rM=")</f>
        <v>#VALUE!</v>
      </c>
      <c r="FY60" s="22" t="e">
        <f aca="false">AND(#REF!,"AAAAAH7//rQ=")</f>
        <v>#VALUE!</v>
      </c>
      <c r="FZ60" s="22" t="e">
        <f aca="false">IF(#REF!,"AAAAAH7//rU=",0)</f>
        <v>#REF!</v>
      </c>
      <c r="GA60" s="22" t="e">
        <f aca="false">AND(#REF!,"AAAAAH7//rY=")</f>
        <v>#VALUE!</v>
      </c>
      <c r="GB60" s="22" t="e">
        <f aca="false">AND(#REF!,"AAAAAH7//rc=")</f>
        <v>#VALUE!</v>
      </c>
      <c r="GC60" s="22" t="e">
        <f aca="false">AND(#REF!,"AAAAAH7//rg=")</f>
        <v>#VALUE!</v>
      </c>
      <c r="GD60" s="22" t="e">
        <f aca="false">AND(#REF!,"AAAAAH7//rk=")</f>
        <v>#VALUE!</v>
      </c>
      <c r="GE60" s="22" t="e">
        <f aca="false">AND(#REF!,"AAAAAH7//ro=")</f>
        <v>#VALUE!</v>
      </c>
      <c r="GF60" s="22" t="e">
        <f aca="false">AND(#REF!,"AAAAAH7//rs=")</f>
        <v>#VALUE!</v>
      </c>
      <c r="GG60" s="22" t="e">
        <f aca="false">IF(#REF!,"AAAAAH7//rw=",0)</f>
        <v>#REF!</v>
      </c>
      <c r="GH60" s="22" t="e">
        <f aca="false">AND(#REF!,"AAAAAH7//r0=")</f>
        <v>#VALUE!</v>
      </c>
      <c r="GI60" s="22" t="e">
        <f aca="false">AND(#REF!,"AAAAAH7//r4=")</f>
        <v>#VALUE!</v>
      </c>
      <c r="GJ60" s="22" t="e">
        <f aca="false">AND(#REF!,"AAAAAH7//r8=")</f>
        <v>#VALUE!</v>
      </c>
      <c r="GK60" s="22" t="e">
        <f aca="false">AND(#REF!,"AAAAAH7//sA=")</f>
        <v>#VALUE!</v>
      </c>
      <c r="GL60" s="22" t="e">
        <f aca="false">AND(#REF!,"AAAAAH7//sE=")</f>
        <v>#VALUE!</v>
      </c>
      <c r="GM60" s="22" t="e">
        <f aca="false">AND(#REF!,"AAAAAH7//sI=")</f>
        <v>#VALUE!</v>
      </c>
      <c r="GN60" s="22" t="e">
        <f aca="false">IF(#REF!,"AAAAAH7//sM=",0)</f>
        <v>#REF!</v>
      </c>
      <c r="GO60" s="22" t="e">
        <f aca="false">AND(#REF!,"AAAAAH7//sQ=")</f>
        <v>#VALUE!</v>
      </c>
      <c r="GP60" s="22" t="e">
        <f aca="false">AND(#REF!,"AAAAAH7//sU=")</f>
        <v>#VALUE!</v>
      </c>
      <c r="GQ60" s="22" t="e">
        <f aca="false">AND(#REF!,"AAAAAH7//sY=")</f>
        <v>#VALUE!</v>
      </c>
      <c r="GR60" s="22" t="e">
        <f aca="false">AND(#REF!,"AAAAAH7//sc=")</f>
        <v>#VALUE!</v>
      </c>
      <c r="GS60" s="22" t="e">
        <f aca="false">AND(#REF!,"AAAAAH7//sg=")</f>
        <v>#VALUE!</v>
      </c>
      <c r="GT60" s="22" t="e">
        <f aca="false">AND(#REF!,"AAAAAH7//sk=")</f>
        <v>#VALUE!</v>
      </c>
      <c r="GU60" s="22" t="e">
        <f aca="false">IF(#REF!,"AAAAAH7//so=",0)</f>
        <v>#REF!</v>
      </c>
      <c r="GV60" s="22" t="e">
        <f aca="false">AND(#REF!,"AAAAAH7//ss=")</f>
        <v>#VALUE!</v>
      </c>
      <c r="GW60" s="22" t="e">
        <f aca="false">AND(#REF!,"AAAAAH7//sw=")</f>
        <v>#VALUE!</v>
      </c>
      <c r="GX60" s="22" t="e">
        <f aca="false">AND(#REF!,"AAAAAH7//s0=")</f>
        <v>#VALUE!</v>
      </c>
      <c r="GY60" s="22" t="e">
        <f aca="false">AND(#REF!,"AAAAAH7//s4=")</f>
        <v>#VALUE!</v>
      </c>
      <c r="GZ60" s="22" t="e">
        <f aca="false">AND(#REF!,"AAAAAH7//s8=")</f>
        <v>#VALUE!</v>
      </c>
      <c r="HA60" s="22" t="e">
        <f aca="false">AND(#REF!,"AAAAAH7//tA=")</f>
        <v>#VALUE!</v>
      </c>
      <c r="HB60" s="22" t="e">
        <f aca="false">IF(#REF!,"AAAAAH7//tE=",0)</f>
        <v>#REF!</v>
      </c>
      <c r="HC60" s="22" t="e">
        <f aca="false">AND(#REF!,"AAAAAH7//tI=")</f>
        <v>#VALUE!</v>
      </c>
      <c r="HD60" s="22" t="e">
        <f aca="false">AND(#REF!,"AAAAAH7//tM=")</f>
        <v>#VALUE!</v>
      </c>
      <c r="HE60" s="22" t="e">
        <f aca="false">AND(#REF!,"AAAAAH7//tQ=")</f>
        <v>#VALUE!</v>
      </c>
      <c r="HF60" s="22" t="e">
        <f aca="false">AND(#REF!,"AAAAAH7//tU=")</f>
        <v>#VALUE!</v>
      </c>
      <c r="HG60" s="22" t="e">
        <f aca="false">AND(#REF!,"AAAAAH7//tY=")</f>
        <v>#VALUE!</v>
      </c>
      <c r="HH60" s="22" t="e">
        <f aca="false">AND(#REF!,"AAAAAH7//tc=")</f>
        <v>#VALUE!</v>
      </c>
      <c r="HI60" s="22" t="e">
        <f aca="false">IF(#REF!,"AAAAAH7//tg=",0)</f>
        <v>#REF!</v>
      </c>
      <c r="HJ60" s="22" t="e">
        <f aca="false">AND(#REF!,"AAAAAH7//tk=")</f>
        <v>#VALUE!</v>
      </c>
      <c r="HK60" s="22" t="e">
        <f aca="false">AND(#REF!,"AAAAAH7//to=")</f>
        <v>#VALUE!</v>
      </c>
      <c r="HL60" s="22" t="e">
        <f aca="false">AND(#REF!,"AAAAAH7//ts=")</f>
        <v>#VALUE!</v>
      </c>
      <c r="HM60" s="22" t="e">
        <f aca="false">AND(#REF!,"AAAAAH7//tw=")</f>
        <v>#VALUE!</v>
      </c>
      <c r="HN60" s="22" t="e">
        <f aca="false">AND(#REF!,"AAAAAH7//t0=")</f>
        <v>#VALUE!</v>
      </c>
      <c r="HO60" s="22" t="e">
        <f aca="false">AND(#REF!,"AAAAAH7//t4=")</f>
        <v>#VALUE!</v>
      </c>
      <c r="HP60" s="22" t="e">
        <f aca="false">IF(#REF!,"AAAAAH7//t8=",0)</f>
        <v>#REF!</v>
      </c>
      <c r="HQ60" s="22" t="e">
        <f aca="false">AND(#REF!,"AAAAAH7//uA=")</f>
        <v>#VALUE!</v>
      </c>
      <c r="HR60" s="22" t="e">
        <f aca="false">AND(#REF!,"AAAAAH7//uE=")</f>
        <v>#VALUE!</v>
      </c>
      <c r="HS60" s="22" t="e">
        <f aca="false">AND(#REF!,"AAAAAH7//uI=")</f>
        <v>#VALUE!</v>
      </c>
      <c r="HT60" s="22" t="e">
        <f aca="false">AND(#REF!,"AAAAAH7//uM=")</f>
        <v>#VALUE!</v>
      </c>
      <c r="HU60" s="22" t="e">
        <f aca="false">AND(#REF!,"AAAAAH7//uQ=")</f>
        <v>#VALUE!</v>
      </c>
      <c r="HV60" s="22" t="e">
        <f aca="false">AND(#REF!,"AAAAAH7//uU=")</f>
        <v>#VALUE!</v>
      </c>
      <c r="HW60" s="22" t="e">
        <f aca="false">IF(#REF!,"AAAAAH7//uY=",0)</f>
        <v>#REF!</v>
      </c>
      <c r="HX60" s="22" t="e">
        <f aca="false">AND(#REF!,"AAAAAH7//uc=")</f>
        <v>#VALUE!</v>
      </c>
      <c r="HY60" s="22" t="e">
        <f aca="false">AND(#REF!,"AAAAAH7//ug=")</f>
        <v>#VALUE!</v>
      </c>
      <c r="HZ60" s="22" t="e">
        <f aca="false">AND(#REF!,"AAAAAH7//uk=")</f>
        <v>#VALUE!</v>
      </c>
      <c r="IA60" s="22" t="e">
        <f aca="false">AND(#REF!,"AAAAAH7//uo=")</f>
        <v>#VALUE!</v>
      </c>
      <c r="IB60" s="22" t="e">
        <f aca="false">AND(#REF!,"AAAAAH7//us=")</f>
        <v>#VALUE!</v>
      </c>
      <c r="IC60" s="22" t="e">
        <f aca="false">AND(#REF!,"AAAAAH7//uw=")</f>
        <v>#VALUE!</v>
      </c>
      <c r="ID60" s="22" t="e">
        <f aca="false">IF(#REF!,"AAAAAH7//u0=",0)</f>
        <v>#REF!</v>
      </c>
      <c r="IE60" s="22" t="e">
        <f aca="false">AND(#REF!,"AAAAAH7//u4=")</f>
        <v>#VALUE!</v>
      </c>
      <c r="IF60" s="22" t="e">
        <f aca="false">AND(#REF!,"AAAAAH7//u8=")</f>
        <v>#VALUE!</v>
      </c>
      <c r="IG60" s="22" t="e">
        <f aca="false">AND(#REF!,"AAAAAH7//vA=")</f>
        <v>#VALUE!</v>
      </c>
      <c r="IH60" s="22" t="e">
        <f aca="false">AND(#REF!,"AAAAAH7//vE=")</f>
        <v>#VALUE!</v>
      </c>
      <c r="II60" s="22" t="e">
        <f aca="false">AND(#REF!,"AAAAAH7//vI=")</f>
        <v>#VALUE!</v>
      </c>
      <c r="IJ60" s="22" t="e">
        <f aca="false">AND(#REF!,"AAAAAH7//vM=")</f>
        <v>#VALUE!</v>
      </c>
      <c r="IK60" s="22" t="e">
        <f aca="false">IF(#REF!,"AAAAAH7//vQ=",0)</f>
        <v>#REF!</v>
      </c>
      <c r="IL60" s="22" t="e">
        <f aca="false">AND(#REF!,"AAAAAH7//vU=")</f>
        <v>#VALUE!</v>
      </c>
      <c r="IM60" s="22" t="e">
        <f aca="false">AND(#REF!,"AAAAAH7//vY=")</f>
        <v>#VALUE!</v>
      </c>
      <c r="IN60" s="22" t="e">
        <f aca="false">AND(#REF!,"AAAAAH7//vc=")</f>
        <v>#VALUE!</v>
      </c>
      <c r="IO60" s="22" t="e">
        <f aca="false">AND(#REF!,"AAAAAH7//vg=")</f>
        <v>#VALUE!</v>
      </c>
      <c r="IP60" s="22" t="e">
        <f aca="false">AND(#REF!,"AAAAAH7//vk=")</f>
        <v>#VALUE!</v>
      </c>
      <c r="IQ60" s="22" t="e">
        <f aca="false">AND(#REF!,"AAAAAH7//vo=")</f>
        <v>#VALUE!</v>
      </c>
      <c r="IR60" s="22" t="e">
        <f aca="false">IF(#REF!,"AAAAAH7//vs=",0)</f>
        <v>#REF!</v>
      </c>
      <c r="IS60" s="22" t="e">
        <f aca="false">AND(#REF!,"AAAAAH7//vw=")</f>
        <v>#VALUE!</v>
      </c>
      <c r="IT60" s="22" t="e">
        <f aca="false">AND(#REF!,"AAAAAH7//v0=")</f>
        <v>#VALUE!</v>
      </c>
      <c r="IU60" s="22" t="e">
        <f aca="false">AND(#REF!,"AAAAAH7//v4=")</f>
        <v>#VALUE!</v>
      </c>
      <c r="IV60" s="22" t="e">
        <f aca="false">AND(#REF!,"AAAAAH7//v8=")</f>
        <v>#VALUE!</v>
      </c>
    </row>
    <row r="61" customFormat="false" ht="12.75" hidden="false" customHeight="false" outlineLevel="0" collapsed="false">
      <c r="A61" s="22" t="e">
        <f aca="false">AND(#REF!,"AAAAAF/E3wA=")</f>
        <v>#VALUE!</v>
      </c>
      <c r="B61" s="22" t="e">
        <f aca="false">AND(#REF!,"AAAAAF/E3wE=")</f>
        <v>#VALUE!</v>
      </c>
      <c r="C61" s="22" t="e">
        <f aca="false">IF(#REF!,"AAAAAF/E3wI=",0)</f>
        <v>#REF!</v>
      </c>
      <c r="D61" s="22" t="e">
        <f aca="false">AND(#REF!,"AAAAAF/E3wM=")</f>
        <v>#VALUE!</v>
      </c>
      <c r="E61" s="22" t="e">
        <f aca="false">AND(#REF!,"AAAAAF/E3wQ=")</f>
        <v>#VALUE!</v>
      </c>
      <c r="F61" s="22" t="e">
        <f aca="false">AND(#REF!,"AAAAAF/E3wU=")</f>
        <v>#VALUE!</v>
      </c>
      <c r="G61" s="22" t="e">
        <f aca="false">AND(#REF!,"AAAAAF/E3wY=")</f>
        <v>#VALUE!</v>
      </c>
      <c r="H61" s="22" t="e">
        <f aca="false">AND(#REF!,"AAAAAF/E3wc=")</f>
        <v>#VALUE!</v>
      </c>
      <c r="I61" s="22" t="e">
        <f aca="false">AND(#REF!,"AAAAAF/E3wg=")</f>
        <v>#VALUE!</v>
      </c>
      <c r="J61" s="22" t="e">
        <f aca="false">IF(#REF!,"AAAAAF/E3wk=",0)</f>
        <v>#REF!</v>
      </c>
      <c r="K61" s="22" t="e">
        <f aca="false">AND(#REF!,"AAAAAF/E3wo=")</f>
        <v>#VALUE!</v>
      </c>
      <c r="L61" s="22" t="e">
        <f aca="false">AND(#REF!,"AAAAAF/E3ws=")</f>
        <v>#VALUE!</v>
      </c>
      <c r="M61" s="22" t="e">
        <f aca="false">AND(#REF!,"AAAAAF/E3ww=")</f>
        <v>#VALUE!</v>
      </c>
      <c r="N61" s="22" t="e">
        <f aca="false">AND(#REF!,"AAAAAF/E3w0=")</f>
        <v>#VALUE!</v>
      </c>
      <c r="O61" s="22" t="e">
        <f aca="false">AND(#REF!,"AAAAAF/E3w4=")</f>
        <v>#VALUE!</v>
      </c>
      <c r="P61" s="22" t="e">
        <f aca="false">AND(#REF!,"AAAAAF/E3w8=")</f>
        <v>#VALUE!</v>
      </c>
      <c r="Q61" s="22" t="e">
        <f aca="false">IF(#REF!,"AAAAAF/E3xA=",0)</f>
        <v>#REF!</v>
      </c>
      <c r="R61" s="22" t="e">
        <f aca="false">AND(#REF!,"AAAAAF/E3xE=")</f>
        <v>#VALUE!</v>
      </c>
      <c r="S61" s="22" t="e">
        <f aca="false">AND(#REF!,"AAAAAF/E3xI=")</f>
        <v>#VALUE!</v>
      </c>
      <c r="T61" s="22" t="e">
        <f aca="false">AND(#REF!,"AAAAAF/E3xM=")</f>
        <v>#VALUE!</v>
      </c>
      <c r="U61" s="22" t="e">
        <f aca="false">AND(#REF!,"AAAAAF/E3xQ=")</f>
        <v>#VALUE!</v>
      </c>
      <c r="V61" s="22" t="e">
        <f aca="false">AND(#REF!,"AAAAAF/E3xU=")</f>
        <v>#VALUE!</v>
      </c>
      <c r="W61" s="22" t="e">
        <f aca="false">AND(#REF!,"AAAAAF/E3xY=")</f>
        <v>#VALUE!</v>
      </c>
      <c r="X61" s="22" t="e">
        <f aca="false">IF(#REF!,"AAAAAF/E3xc=",0)</f>
        <v>#REF!</v>
      </c>
      <c r="Y61" s="22" t="e">
        <f aca="false">AND(#REF!,"AAAAAF/E3xg=")</f>
        <v>#VALUE!</v>
      </c>
      <c r="Z61" s="22" t="e">
        <f aca="false">AND(#REF!,"AAAAAF/E3xk=")</f>
        <v>#VALUE!</v>
      </c>
      <c r="AA61" s="22" t="e">
        <f aca="false">AND(#REF!,"AAAAAF/E3xo=")</f>
        <v>#VALUE!</v>
      </c>
      <c r="AB61" s="22" t="e">
        <f aca="false">AND(#REF!,"AAAAAF/E3xs=")</f>
        <v>#VALUE!</v>
      </c>
      <c r="AC61" s="22" t="e">
        <f aca="false">AND(#REF!,"AAAAAF/E3xw=")</f>
        <v>#VALUE!</v>
      </c>
      <c r="AD61" s="22" t="e">
        <f aca="false">AND(#REF!,"AAAAAF/E3x0=")</f>
        <v>#VALUE!</v>
      </c>
      <c r="AE61" s="22" t="e">
        <f aca="false">IF(#REF!,"AAAAAF/E3x4=",0)</f>
        <v>#REF!</v>
      </c>
      <c r="AF61" s="22" t="e">
        <f aca="false">AND(#REF!,"AAAAAF/E3x8=")</f>
        <v>#VALUE!</v>
      </c>
      <c r="AG61" s="22" t="e">
        <f aca="false">AND(#REF!,"AAAAAF/E3yA=")</f>
        <v>#VALUE!</v>
      </c>
      <c r="AH61" s="22" t="e">
        <f aca="false">AND(#REF!,"AAAAAF/E3yE=")</f>
        <v>#VALUE!</v>
      </c>
      <c r="AI61" s="22" t="e">
        <f aca="false">AND(#REF!,"AAAAAF/E3yI=")</f>
        <v>#VALUE!</v>
      </c>
      <c r="AJ61" s="22" t="e">
        <f aca="false">AND(#REF!,"AAAAAF/E3yM=")</f>
        <v>#VALUE!</v>
      </c>
      <c r="AK61" s="22" t="e">
        <f aca="false">AND(#REF!,"AAAAAF/E3yQ=")</f>
        <v>#VALUE!</v>
      </c>
      <c r="AL61" s="22" t="e">
        <f aca="false">IF(#REF!,"AAAAAF/E3yU=",0)</f>
        <v>#REF!</v>
      </c>
      <c r="AM61" s="22" t="e">
        <f aca="false">AND(#REF!,"AAAAAF/E3yY=")</f>
        <v>#VALUE!</v>
      </c>
      <c r="AN61" s="22" t="e">
        <f aca="false">AND(#REF!,"AAAAAF/E3yc=")</f>
        <v>#VALUE!</v>
      </c>
      <c r="AO61" s="22" t="e">
        <f aca="false">AND(#REF!,"AAAAAF/E3yg=")</f>
        <v>#VALUE!</v>
      </c>
      <c r="AP61" s="22" t="e">
        <f aca="false">AND(#REF!,"AAAAAF/E3yk=")</f>
        <v>#VALUE!</v>
      </c>
      <c r="AQ61" s="22" t="e">
        <f aca="false">AND(#REF!,"AAAAAF/E3yo=")</f>
        <v>#VALUE!</v>
      </c>
      <c r="AR61" s="22" t="e">
        <f aca="false">AND(#REF!,"AAAAAF/E3ys=")</f>
        <v>#VALUE!</v>
      </c>
      <c r="AS61" s="22" t="e">
        <f aca="false">IF(#REF!,"AAAAAF/E3yw=",0)</f>
        <v>#REF!</v>
      </c>
      <c r="AT61" s="22" t="e">
        <f aca="false">AND(#REF!,"AAAAAF/E3y0=")</f>
        <v>#VALUE!</v>
      </c>
      <c r="AU61" s="22" t="e">
        <f aca="false">AND(#REF!,"AAAAAF/E3y4=")</f>
        <v>#VALUE!</v>
      </c>
      <c r="AV61" s="22" t="e">
        <f aca="false">AND(#REF!,"AAAAAF/E3y8=")</f>
        <v>#VALUE!</v>
      </c>
      <c r="AW61" s="22" t="e">
        <f aca="false">AND(#REF!,"AAAAAF/E3zA=")</f>
        <v>#VALUE!</v>
      </c>
      <c r="AX61" s="22" t="e">
        <f aca="false">AND(#REF!,"AAAAAF/E3zE=")</f>
        <v>#VALUE!</v>
      </c>
      <c r="AY61" s="22" t="e">
        <f aca="false">AND(#REF!,"AAAAAF/E3zI=")</f>
        <v>#VALUE!</v>
      </c>
      <c r="AZ61" s="22" t="e">
        <f aca="false">IF(#REF!,"AAAAAF/E3zM=",0)</f>
        <v>#REF!</v>
      </c>
      <c r="BA61" s="22" t="e">
        <f aca="false">AND(#REF!,"AAAAAF/E3zQ=")</f>
        <v>#VALUE!</v>
      </c>
      <c r="BB61" s="22" t="e">
        <f aca="false">AND(#REF!,"AAAAAF/E3zU=")</f>
        <v>#VALUE!</v>
      </c>
      <c r="BC61" s="22" t="e">
        <f aca="false">AND(#REF!,"AAAAAF/E3zY=")</f>
        <v>#VALUE!</v>
      </c>
      <c r="BD61" s="22" t="e">
        <f aca="false">AND(#REF!,"AAAAAF/E3zc=")</f>
        <v>#VALUE!</v>
      </c>
      <c r="BE61" s="22" t="e">
        <f aca="false">AND(#REF!,"AAAAAF/E3zg=")</f>
        <v>#VALUE!</v>
      </c>
      <c r="BF61" s="22" t="e">
        <f aca="false">AND(#REF!,"AAAAAF/E3zk=")</f>
        <v>#VALUE!</v>
      </c>
      <c r="BG61" s="22" t="e">
        <f aca="false">IF(#REF!,"AAAAAF/E3zo=",0)</f>
        <v>#REF!</v>
      </c>
      <c r="BH61" s="22" t="e">
        <f aca="false">AND(#REF!,"AAAAAF/E3zs=")</f>
        <v>#VALUE!</v>
      </c>
      <c r="BI61" s="22" t="e">
        <f aca="false">AND(#REF!,"AAAAAF/E3zw=")</f>
        <v>#VALUE!</v>
      </c>
      <c r="BJ61" s="22" t="e">
        <f aca="false">AND(#REF!,"AAAAAF/E3z0=")</f>
        <v>#VALUE!</v>
      </c>
      <c r="BK61" s="22" t="e">
        <f aca="false">AND(#REF!,"AAAAAF/E3z4=")</f>
        <v>#VALUE!</v>
      </c>
      <c r="BL61" s="22" t="e">
        <f aca="false">AND(#REF!,"AAAAAF/E3z8=")</f>
        <v>#VALUE!</v>
      </c>
      <c r="BM61" s="22" t="e">
        <f aca="false">AND(#REF!,"AAAAAF/E30A=")</f>
        <v>#VALUE!</v>
      </c>
      <c r="BN61" s="22" t="e">
        <f aca="false">IF(#REF!,"AAAAAF/E30E=",0)</f>
        <v>#REF!</v>
      </c>
      <c r="BO61" s="22" t="e">
        <f aca="false">AND(#REF!,"AAAAAF/E30I=")</f>
        <v>#VALUE!</v>
      </c>
      <c r="BP61" s="22" t="e">
        <f aca="false">AND(#REF!,"AAAAAF/E30M=")</f>
        <v>#VALUE!</v>
      </c>
      <c r="BQ61" s="22" t="e">
        <f aca="false">AND(#REF!,"AAAAAF/E30Q=")</f>
        <v>#VALUE!</v>
      </c>
      <c r="BR61" s="22" t="e">
        <f aca="false">AND(#REF!,"AAAAAF/E30U=")</f>
        <v>#VALUE!</v>
      </c>
      <c r="BS61" s="22" t="e">
        <f aca="false">AND(#REF!,"AAAAAF/E30Y=")</f>
        <v>#VALUE!</v>
      </c>
      <c r="BT61" s="22" t="e">
        <f aca="false">AND(#REF!,"AAAAAF/E30c=")</f>
        <v>#VALUE!</v>
      </c>
      <c r="BU61" s="22" t="e">
        <f aca="false">IF(#REF!,"AAAAAF/E30g=",0)</f>
        <v>#REF!</v>
      </c>
      <c r="BV61" s="22" t="e">
        <f aca="false">AND(#REF!,"AAAAAF/E30k=")</f>
        <v>#VALUE!</v>
      </c>
      <c r="BW61" s="22" t="e">
        <f aca="false">AND(#REF!,"AAAAAF/E30o=")</f>
        <v>#VALUE!</v>
      </c>
      <c r="BX61" s="22" t="e">
        <f aca="false">AND(#REF!,"AAAAAF/E30s=")</f>
        <v>#VALUE!</v>
      </c>
      <c r="BY61" s="22" t="e">
        <f aca="false">AND(#REF!,"AAAAAF/E30w=")</f>
        <v>#VALUE!</v>
      </c>
      <c r="BZ61" s="22" t="e">
        <f aca="false">AND(#REF!,"AAAAAF/E300=")</f>
        <v>#VALUE!</v>
      </c>
      <c r="CA61" s="22" t="e">
        <f aca="false">AND(#REF!,"AAAAAF/E304=")</f>
        <v>#VALUE!</v>
      </c>
      <c r="CB61" s="22" t="e">
        <f aca="false">IF(#REF!,"AAAAAF/E308=",0)</f>
        <v>#REF!</v>
      </c>
      <c r="CC61" s="22" t="e">
        <f aca="false">AND(#REF!,"AAAAAF/E31A=")</f>
        <v>#VALUE!</v>
      </c>
      <c r="CD61" s="22" t="e">
        <f aca="false">AND(#REF!,"AAAAAF/E31E=")</f>
        <v>#VALUE!</v>
      </c>
      <c r="CE61" s="22" t="e">
        <f aca="false">AND(#REF!,"AAAAAF/E31I=")</f>
        <v>#VALUE!</v>
      </c>
      <c r="CF61" s="22" t="e">
        <f aca="false">AND(#REF!,"AAAAAF/E31M=")</f>
        <v>#VALUE!</v>
      </c>
      <c r="CG61" s="22" t="e">
        <f aca="false">AND(#REF!,"AAAAAF/E31Q=")</f>
        <v>#VALUE!</v>
      </c>
      <c r="CH61" s="22" t="e">
        <f aca="false">AND(#REF!,"AAAAAF/E31U=")</f>
        <v>#VALUE!</v>
      </c>
      <c r="CI61" s="22" t="e">
        <f aca="false">IF(#REF!,"AAAAAF/E31Y=",0)</f>
        <v>#REF!</v>
      </c>
      <c r="CJ61" s="22" t="e">
        <f aca="false">AND(#REF!,"AAAAAF/E31c=")</f>
        <v>#VALUE!</v>
      </c>
      <c r="CK61" s="22" t="e">
        <f aca="false">AND(#REF!,"AAAAAF/E31g=")</f>
        <v>#VALUE!</v>
      </c>
      <c r="CL61" s="22" t="e">
        <f aca="false">AND(#REF!,"AAAAAF/E31k=")</f>
        <v>#VALUE!</v>
      </c>
      <c r="CM61" s="22" t="e">
        <f aca="false">AND(#REF!,"AAAAAF/E31o=")</f>
        <v>#VALUE!</v>
      </c>
      <c r="CN61" s="22" t="e">
        <f aca="false">AND(#REF!,"AAAAAF/E31s=")</f>
        <v>#VALUE!</v>
      </c>
      <c r="CO61" s="22" t="e">
        <f aca="false">AND(#REF!,"AAAAAF/E31w=")</f>
        <v>#VALUE!</v>
      </c>
      <c r="CP61" s="22" t="e">
        <f aca="false">IF(#REF!,"AAAAAF/E310=",0)</f>
        <v>#REF!</v>
      </c>
      <c r="CQ61" s="22" t="e">
        <f aca="false">AND(#REF!,"AAAAAF/E314=")</f>
        <v>#VALUE!</v>
      </c>
      <c r="CR61" s="22" t="e">
        <f aca="false">AND(#REF!,"AAAAAF/E318=")</f>
        <v>#VALUE!</v>
      </c>
      <c r="CS61" s="22" t="e">
        <f aca="false">AND(#REF!,"AAAAAF/E32A=")</f>
        <v>#VALUE!</v>
      </c>
      <c r="CT61" s="22" t="e">
        <f aca="false">AND(#REF!,"AAAAAF/E32E=")</f>
        <v>#VALUE!</v>
      </c>
      <c r="CU61" s="22" t="e">
        <f aca="false">AND(#REF!,"AAAAAF/E32I=")</f>
        <v>#VALUE!</v>
      </c>
      <c r="CV61" s="22" t="e">
        <f aca="false">AND(#REF!,"AAAAAF/E32M=")</f>
        <v>#VALUE!</v>
      </c>
      <c r="CW61" s="22" t="e">
        <f aca="false">IF(#REF!,"AAAAAF/E32Q=",0)</f>
        <v>#REF!</v>
      </c>
      <c r="CX61" s="22" t="e">
        <f aca="false">AND(#REF!,"AAAAAF/E32U=")</f>
        <v>#VALUE!</v>
      </c>
      <c r="CY61" s="22" t="e">
        <f aca="false">AND(#REF!,"AAAAAF/E32Y=")</f>
        <v>#VALUE!</v>
      </c>
      <c r="CZ61" s="22" t="e">
        <f aca="false">AND(#REF!,"AAAAAF/E32c=")</f>
        <v>#VALUE!</v>
      </c>
      <c r="DA61" s="22" t="e">
        <f aca="false">AND(#REF!,"AAAAAF/E32g=")</f>
        <v>#VALUE!</v>
      </c>
      <c r="DB61" s="22" t="e">
        <f aca="false">AND(#REF!,"AAAAAF/E32k=")</f>
        <v>#VALUE!</v>
      </c>
      <c r="DC61" s="22" t="e">
        <f aca="false">AND(#REF!,"AAAAAF/E32o=")</f>
        <v>#VALUE!</v>
      </c>
      <c r="DD61" s="22" t="e">
        <f aca="false">IF(#REF!,"AAAAAF/E32s=",0)</f>
        <v>#REF!</v>
      </c>
      <c r="DE61" s="22" t="e">
        <f aca="false">AND(#REF!,"AAAAAF/E32w=")</f>
        <v>#VALUE!</v>
      </c>
      <c r="DF61" s="22" t="e">
        <f aca="false">AND(#REF!,"AAAAAF/E320=")</f>
        <v>#VALUE!</v>
      </c>
      <c r="DG61" s="22" t="e">
        <f aca="false">AND(#REF!,"AAAAAF/E324=")</f>
        <v>#VALUE!</v>
      </c>
      <c r="DH61" s="22" t="e">
        <f aca="false">AND(#REF!,"AAAAAF/E328=")</f>
        <v>#VALUE!</v>
      </c>
      <c r="DI61" s="22" t="e">
        <f aca="false">AND(#REF!,"AAAAAF/E33A=")</f>
        <v>#VALUE!</v>
      </c>
      <c r="DJ61" s="22" t="e">
        <f aca="false">AND(#REF!,"AAAAAF/E33E=")</f>
        <v>#VALUE!</v>
      </c>
      <c r="DK61" s="22" t="e">
        <f aca="false">IF(#REF!,"AAAAAF/E33I=",0)</f>
        <v>#REF!</v>
      </c>
      <c r="DL61" s="22" t="e">
        <f aca="false">AND(#REF!,"AAAAAF/E33M=")</f>
        <v>#VALUE!</v>
      </c>
      <c r="DM61" s="22" t="e">
        <f aca="false">AND(#REF!,"AAAAAF/E33Q=")</f>
        <v>#VALUE!</v>
      </c>
      <c r="DN61" s="22" t="e">
        <f aca="false">AND(#REF!,"AAAAAF/E33U=")</f>
        <v>#VALUE!</v>
      </c>
      <c r="DO61" s="22" t="e">
        <f aca="false">AND(#REF!,"AAAAAF/E33Y=")</f>
        <v>#VALUE!</v>
      </c>
      <c r="DP61" s="22" t="e">
        <f aca="false">AND(#REF!,"AAAAAF/E33c=")</f>
        <v>#VALUE!</v>
      </c>
      <c r="DQ61" s="22" t="e">
        <f aca="false">AND(#REF!,"AAAAAF/E33g=")</f>
        <v>#VALUE!</v>
      </c>
      <c r="DR61" s="22" t="e">
        <f aca="false">IF(#REF!,"AAAAAF/E33k=",0)</f>
        <v>#REF!</v>
      </c>
      <c r="DS61" s="22" t="e">
        <f aca="false">AND(#REF!,"AAAAAF/E33o=")</f>
        <v>#VALUE!</v>
      </c>
      <c r="DT61" s="22" t="e">
        <f aca="false">AND(#REF!,"AAAAAF/E33s=")</f>
        <v>#VALUE!</v>
      </c>
      <c r="DU61" s="22" t="e">
        <f aca="false">AND(#REF!,"AAAAAF/E33w=")</f>
        <v>#VALUE!</v>
      </c>
      <c r="DV61" s="22" t="e">
        <f aca="false">AND(#REF!,"AAAAAF/E330=")</f>
        <v>#VALUE!</v>
      </c>
      <c r="DW61" s="22" t="e">
        <f aca="false">AND(#REF!,"AAAAAF/E334=")</f>
        <v>#VALUE!</v>
      </c>
      <c r="DX61" s="22" t="e">
        <f aca="false">AND(#REF!,"AAAAAF/E338=")</f>
        <v>#VALUE!</v>
      </c>
      <c r="DY61" s="22" t="e">
        <f aca="false">IF(#REF!,"AAAAAF/E34A=",0)</f>
        <v>#REF!</v>
      </c>
      <c r="DZ61" s="22" t="e">
        <f aca="false">AND(#REF!,"AAAAAF/E34E=")</f>
        <v>#VALUE!</v>
      </c>
      <c r="EA61" s="22" t="e">
        <f aca="false">AND(#REF!,"AAAAAF/E34I=")</f>
        <v>#VALUE!</v>
      </c>
      <c r="EB61" s="22" t="e">
        <f aca="false">AND(#REF!,"AAAAAF/E34M=")</f>
        <v>#VALUE!</v>
      </c>
      <c r="EC61" s="22" t="e">
        <f aca="false">AND(#REF!,"AAAAAF/E34Q=")</f>
        <v>#VALUE!</v>
      </c>
      <c r="ED61" s="22" t="e">
        <f aca="false">AND(#REF!,"AAAAAF/E34U=")</f>
        <v>#VALUE!</v>
      </c>
      <c r="EE61" s="22" t="e">
        <f aca="false">AND(#REF!,"AAAAAF/E34Y=")</f>
        <v>#VALUE!</v>
      </c>
      <c r="EF61" s="22" t="e">
        <f aca="false">IF(#REF!,"AAAAAF/E34c=",0)</f>
        <v>#REF!</v>
      </c>
      <c r="EG61" s="22" t="e">
        <f aca="false">AND(#REF!,"AAAAAF/E34g=")</f>
        <v>#VALUE!</v>
      </c>
      <c r="EH61" s="22" t="e">
        <f aca="false">AND(#REF!,"AAAAAF/E34k=")</f>
        <v>#VALUE!</v>
      </c>
      <c r="EI61" s="22" t="e">
        <f aca="false">AND(#REF!,"AAAAAF/E34o=")</f>
        <v>#VALUE!</v>
      </c>
      <c r="EJ61" s="22" t="e">
        <f aca="false">AND(#REF!,"AAAAAF/E34s=")</f>
        <v>#VALUE!</v>
      </c>
      <c r="EK61" s="22" t="e">
        <f aca="false">AND(#REF!,"AAAAAF/E34w=")</f>
        <v>#VALUE!</v>
      </c>
      <c r="EL61" s="22" t="e">
        <f aca="false">AND(#REF!,"AAAAAF/E340=")</f>
        <v>#VALUE!</v>
      </c>
      <c r="EM61" s="22" t="e">
        <f aca="false">IF(#REF!,"AAAAAF/E344=",0)</f>
        <v>#REF!</v>
      </c>
      <c r="EN61" s="22" t="e">
        <f aca="false">AND(#REF!,"AAAAAF/E348=")</f>
        <v>#VALUE!</v>
      </c>
      <c r="EO61" s="22" t="e">
        <f aca="false">AND(#REF!,"AAAAAF/E35A=")</f>
        <v>#VALUE!</v>
      </c>
      <c r="EP61" s="22" t="e">
        <f aca="false">AND(#REF!,"AAAAAF/E35E=")</f>
        <v>#VALUE!</v>
      </c>
      <c r="EQ61" s="22" t="e">
        <f aca="false">AND(#REF!,"AAAAAF/E35I=")</f>
        <v>#VALUE!</v>
      </c>
      <c r="ER61" s="22" t="e">
        <f aca="false">AND(#REF!,"AAAAAF/E35M=")</f>
        <v>#VALUE!</v>
      </c>
      <c r="ES61" s="22" t="e">
        <f aca="false">AND(#REF!,"AAAAAF/E35Q=")</f>
        <v>#VALUE!</v>
      </c>
      <c r="ET61" s="22" t="e">
        <f aca="false">IF(#REF!,"AAAAAF/E35U=",0)</f>
        <v>#REF!</v>
      </c>
      <c r="EU61" s="22" t="e">
        <f aca="false">AND(#REF!,"AAAAAF/E35Y=")</f>
        <v>#VALUE!</v>
      </c>
      <c r="EV61" s="22" t="e">
        <f aca="false">AND(#REF!,"AAAAAF/E35c=")</f>
        <v>#VALUE!</v>
      </c>
      <c r="EW61" s="22" t="e">
        <f aca="false">AND(#REF!,"AAAAAF/E35g=")</f>
        <v>#VALUE!</v>
      </c>
      <c r="EX61" s="22" t="e">
        <f aca="false">AND(#REF!,"AAAAAF/E35k=")</f>
        <v>#VALUE!</v>
      </c>
      <c r="EY61" s="22" t="e">
        <f aca="false">AND(#REF!,"AAAAAF/E35o=")</f>
        <v>#VALUE!</v>
      </c>
      <c r="EZ61" s="22" t="e">
        <f aca="false">AND(#REF!,"AAAAAF/E35s=")</f>
        <v>#VALUE!</v>
      </c>
      <c r="FA61" s="22" t="e">
        <f aca="false">IF(#REF!,"AAAAAF/E35w=",0)</f>
        <v>#REF!</v>
      </c>
      <c r="FB61" s="22" t="e">
        <f aca="false">AND(#REF!,"AAAAAF/E350=")</f>
        <v>#VALUE!</v>
      </c>
      <c r="FC61" s="22" t="e">
        <f aca="false">AND(#REF!,"AAAAAF/E354=")</f>
        <v>#VALUE!</v>
      </c>
      <c r="FD61" s="22" t="e">
        <f aca="false">AND(#REF!,"AAAAAF/E358=")</f>
        <v>#VALUE!</v>
      </c>
      <c r="FE61" s="22" t="e">
        <f aca="false">AND(#REF!,"AAAAAF/E36A=")</f>
        <v>#VALUE!</v>
      </c>
      <c r="FF61" s="22" t="e">
        <f aca="false">AND(#REF!,"AAAAAF/E36E=")</f>
        <v>#VALUE!</v>
      </c>
      <c r="FG61" s="22" t="e">
        <f aca="false">AND(#REF!,"AAAAAF/E36I=")</f>
        <v>#VALUE!</v>
      </c>
      <c r="FH61" s="22" t="e">
        <f aca="false">IF(#REF!,"AAAAAF/E36M=",0)</f>
        <v>#REF!</v>
      </c>
      <c r="FI61" s="22" t="e">
        <f aca="false">AND(#REF!,"AAAAAF/E36Q=")</f>
        <v>#VALUE!</v>
      </c>
      <c r="FJ61" s="22" t="e">
        <f aca="false">AND(#REF!,"AAAAAF/E36U=")</f>
        <v>#VALUE!</v>
      </c>
      <c r="FK61" s="22" t="e">
        <f aca="false">AND(#REF!,"AAAAAF/E36Y=")</f>
        <v>#VALUE!</v>
      </c>
      <c r="FL61" s="22" t="e">
        <f aca="false">AND(#REF!,"AAAAAF/E36c=")</f>
        <v>#VALUE!</v>
      </c>
      <c r="FM61" s="22" t="e">
        <f aca="false">AND(#REF!,"AAAAAF/E36g=")</f>
        <v>#VALUE!</v>
      </c>
      <c r="FN61" s="22" t="e">
        <f aca="false">AND(#REF!,"AAAAAF/E36k=")</f>
        <v>#VALUE!</v>
      </c>
      <c r="FO61" s="22" t="e">
        <f aca="false">IF(#REF!,"AAAAAF/E36o=",0)</f>
        <v>#REF!</v>
      </c>
      <c r="FP61" s="22" t="e">
        <f aca="false">AND(#REF!,"AAAAAF/E36s=")</f>
        <v>#VALUE!</v>
      </c>
      <c r="FQ61" s="22" t="e">
        <f aca="false">AND(#REF!,"AAAAAF/E36w=")</f>
        <v>#VALUE!</v>
      </c>
      <c r="FR61" s="22" t="e">
        <f aca="false">AND(#REF!,"AAAAAF/E360=")</f>
        <v>#VALUE!</v>
      </c>
      <c r="FS61" s="22" t="e">
        <f aca="false">AND(#REF!,"AAAAAF/E364=")</f>
        <v>#VALUE!</v>
      </c>
      <c r="FT61" s="22" t="e">
        <f aca="false">AND(#REF!,"AAAAAF/E368=")</f>
        <v>#VALUE!</v>
      </c>
      <c r="FU61" s="22" t="e">
        <f aca="false">AND(#REF!,"AAAAAF/E37A=")</f>
        <v>#VALUE!</v>
      </c>
      <c r="FV61" s="22" t="e">
        <f aca="false">IF(#REF!,"AAAAAF/E37E=",0)</f>
        <v>#REF!</v>
      </c>
      <c r="FW61" s="22" t="e">
        <f aca="false">AND(#REF!,"AAAAAF/E37I=")</f>
        <v>#VALUE!</v>
      </c>
      <c r="FX61" s="22" t="e">
        <f aca="false">AND(#REF!,"AAAAAF/E37M=")</f>
        <v>#VALUE!</v>
      </c>
      <c r="FY61" s="22" t="e">
        <f aca="false">AND(#REF!,"AAAAAF/E37Q=")</f>
        <v>#VALUE!</v>
      </c>
      <c r="FZ61" s="22" t="e">
        <f aca="false">AND(#REF!,"AAAAAF/E37U=")</f>
        <v>#VALUE!</v>
      </c>
      <c r="GA61" s="22" t="e">
        <f aca="false">AND(#REF!,"AAAAAF/E37Y=")</f>
        <v>#VALUE!</v>
      </c>
      <c r="GB61" s="22" t="e">
        <f aca="false">AND(#REF!,"AAAAAF/E37c=")</f>
        <v>#VALUE!</v>
      </c>
      <c r="GC61" s="22" t="e">
        <f aca="false">IF(#REF!,"AAAAAF/E37g=",0)</f>
        <v>#REF!</v>
      </c>
      <c r="GD61" s="22" t="e">
        <f aca="false">AND(#REF!,"AAAAAF/E37k=")</f>
        <v>#VALUE!</v>
      </c>
      <c r="GE61" s="22" t="e">
        <f aca="false">AND(#REF!,"AAAAAF/E37o=")</f>
        <v>#VALUE!</v>
      </c>
      <c r="GF61" s="22" t="e">
        <f aca="false">AND(#REF!,"AAAAAF/E37s=")</f>
        <v>#VALUE!</v>
      </c>
      <c r="GG61" s="22" t="e">
        <f aca="false">AND(#REF!,"AAAAAF/E37w=")</f>
        <v>#VALUE!</v>
      </c>
      <c r="GH61" s="22" t="e">
        <f aca="false">AND(#REF!,"AAAAAF/E370=")</f>
        <v>#VALUE!</v>
      </c>
      <c r="GI61" s="22" t="e">
        <f aca="false">AND(#REF!,"AAAAAF/E374=")</f>
        <v>#VALUE!</v>
      </c>
      <c r="GJ61" s="22" t="e">
        <f aca="false">IF(#REF!,"AAAAAF/E378=",0)</f>
        <v>#REF!</v>
      </c>
      <c r="GK61" s="22" t="e">
        <f aca="false">AND(#REF!,"AAAAAF/E38A=")</f>
        <v>#VALUE!</v>
      </c>
      <c r="GL61" s="22" t="e">
        <f aca="false">AND(#REF!,"AAAAAF/E38E=")</f>
        <v>#VALUE!</v>
      </c>
      <c r="GM61" s="22" t="e">
        <f aca="false">AND(#REF!,"AAAAAF/E38I=")</f>
        <v>#VALUE!</v>
      </c>
      <c r="GN61" s="22" t="e">
        <f aca="false">AND(#REF!,"AAAAAF/E38M=")</f>
        <v>#VALUE!</v>
      </c>
      <c r="GO61" s="22" t="e">
        <f aca="false">AND(#REF!,"AAAAAF/E38Q=")</f>
        <v>#VALUE!</v>
      </c>
      <c r="GP61" s="22" t="e">
        <f aca="false">AND(#REF!,"AAAAAF/E38U=")</f>
        <v>#VALUE!</v>
      </c>
      <c r="GQ61" s="22" t="e">
        <f aca="false">IF(#REF!,"AAAAAF/E38Y=",0)</f>
        <v>#REF!</v>
      </c>
      <c r="GR61" s="22" t="e">
        <f aca="false">AND(#REF!,"AAAAAF/E38c=")</f>
        <v>#VALUE!</v>
      </c>
      <c r="GS61" s="22" t="e">
        <f aca="false">AND(#REF!,"AAAAAF/E38g=")</f>
        <v>#VALUE!</v>
      </c>
      <c r="GT61" s="22" t="e">
        <f aca="false">AND(#REF!,"AAAAAF/E38k=")</f>
        <v>#VALUE!</v>
      </c>
      <c r="GU61" s="22" t="e">
        <f aca="false">AND(#REF!,"AAAAAF/E38o=")</f>
        <v>#VALUE!</v>
      </c>
      <c r="GV61" s="22" t="e">
        <f aca="false">AND(#REF!,"AAAAAF/E38s=")</f>
        <v>#VALUE!</v>
      </c>
      <c r="GW61" s="22" t="e">
        <f aca="false">AND(#REF!,"AAAAAF/E38w=")</f>
        <v>#VALUE!</v>
      </c>
      <c r="GX61" s="22" t="e">
        <f aca="false">IF(#REF!,"AAAAAF/E380=",0)</f>
        <v>#REF!</v>
      </c>
      <c r="GY61" s="22" t="e">
        <f aca="false">AND(#REF!,"AAAAAF/E384=")</f>
        <v>#VALUE!</v>
      </c>
      <c r="GZ61" s="22" t="e">
        <f aca="false">AND(#REF!,"AAAAAF/E388=")</f>
        <v>#VALUE!</v>
      </c>
      <c r="HA61" s="22" t="e">
        <f aca="false">AND(#REF!,"AAAAAF/E39A=")</f>
        <v>#VALUE!</v>
      </c>
      <c r="HB61" s="22" t="e">
        <f aca="false">AND(#REF!,"AAAAAF/E39E=")</f>
        <v>#VALUE!</v>
      </c>
      <c r="HC61" s="22" t="e">
        <f aca="false">AND(#REF!,"AAAAAF/E39I=")</f>
        <v>#VALUE!</v>
      </c>
      <c r="HD61" s="22" t="e">
        <f aca="false">AND(#REF!,"AAAAAF/E39M=")</f>
        <v>#VALUE!</v>
      </c>
      <c r="HE61" s="22" t="e">
        <f aca="false">IF(#REF!,"AAAAAF/E39Q=",0)</f>
        <v>#REF!</v>
      </c>
      <c r="HF61" s="22" t="e">
        <f aca="false">AND(#REF!,"AAAAAF/E39U=")</f>
        <v>#VALUE!</v>
      </c>
      <c r="HG61" s="22" t="e">
        <f aca="false">AND(#REF!,"AAAAAF/E39Y=")</f>
        <v>#VALUE!</v>
      </c>
      <c r="HH61" s="22" t="e">
        <f aca="false">AND(#REF!,"AAAAAF/E39c=")</f>
        <v>#VALUE!</v>
      </c>
      <c r="HI61" s="22" t="e">
        <f aca="false">AND(#REF!,"AAAAAF/E39g=")</f>
        <v>#VALUE!</v>
      </c>
      <c r="HJ61" s="22" t="e">
        <f aca="false">AND(#REF!,"AAAAAF/E39k=")</f>
        <v>#VALUE!</v>
      </c>
      <c r="HK61" s="22" t="e">
        <f aca="false">AND(#REF!,"AAAAAF/E39o=")</f>
        <v>#VALUE!</v>
      </c>
      <c r="HL61" s="22" t="e">
        <f aca="false">IF(#REF!,"AAAAAF/E39s=",0)</f>
        <v>#REF!</v>
      </c>
      <c r="HM61" s="22" t="e">
        <f aca="false">AND(#REF!,"AAAAAF/E39w=")</f>
        <v>#VALUE!</v>
      </c>
      <c r="HN61" s="22" t="e">
        <f aca="false">AND(#REF!,"AAAAAF/E390=")</f>
        <v>#VALUE!</v>
      </c>
      <c r="HO61" s="22" t="e">
        <f aca="false">AND(#REF!,"AAAAAF/E394=")</f>
        <v>#VALUE!</v>
      </c>
      <c r="HP61" s="22" t="e">
        <f aca="false">AND(#REF!,"AAAAAF/E398=")</f>
        <v>#VALUE!</v>
      </c>
      <c r="HQ61" s="22" t="e">
        <f aca="false">AND(#REF!,"AAAAAF/E3+A=")</f>
        <v>#VALUE!</v>
      </c>
      <c r="HR61" s="22" t="e">
        <f aca="false">AND(#REF!,"AAAAAF/E3+E=")</f>
        <v>#VALUE!</v>
      </c>
      <c r="HS61" s="22" t="e">
        <f aca="false">IF(#REF!,"AAAAAF/E3+I=",0)</f>
        <v>#REF!</v>
      </c>
      <c r="HT61" s="22" t="e">
        <f aca="false">AND(#REF!,"AAAAAF/E3+M=")</f>
        <v>#VALUE!</v>
      </c>
      <c r="HU61" s="22" t="e">
        <f aca="false">AND(#REF!,"AAAAAF/E3+Q=")</f>
        <v>#VALUE!</v>
      </c>
      <c r="HV61" s="22" t="e">
        <f aca="false">AND(#REF!,"AAAAAF/E3+U=")</f>
        <v>#VALUE!</v>
      </c>
      <c r="HW61" s="22" t="e">
        <f aca="false">AND(#REF!,"AAAAAF/E3+Y=")</f>
        <v>#VALUE!</v>
      </c>
      <c r="HX61" s="22" t="e">
        <f aca="false">AND(#REF!,"AAAAAF/E3+c=")</f>
        <v>#VALUE!</v>
      </c>
      <c r="HY61" s="22" t="e">
        <f aca="false">AND(#REF!,"AAAAAF/E3+g=")</f>
        <v>#VALUE!</v>
      </c>
      <c r="HZ61" s="22" t="e">
        <f aca="false">IF(#REF!,"AAAAAF/E3+k=",0)</f>
        <v>#REF!</v>
      </c>
      <c r="IA61" s="22" t="e">
        <f aca="false">AND(#REF!,"AAAAAF/E3+o=")</f>
        <v>#VALUE!</v>
      </c>
      <c r="IB61" s="22" t="e">
        <f aca="false">AND(#REF!,"AAAAAF/E3+s=")</f>
        <v>#VALUE!</v>
      </c>
      <c r="IC61" s="22" t="e">
        <f aca="false">AND(#REF!,"AAAAAF/E3+w=")</f>
        <v>#VALUE!</v>
      </c>
      <c r="ID61" s="22" t="e">
        <f aca="false">AND(#REF!,"AAAAAF/E3+0=")</f>
        <v>#VALUE!</v>
      </c>
      <c r="IE61" s="22" t="e">
        <f aca="false">AND(#REF!,"AAAAAF/E3+4=")</f>
        <v>#VALUE!</v>
      </c>
      <c r="IF61" s="22" t="e">
        <f aca="false">AND(#REF!,"AAAAAF/E3+8=")</f>
        <v>#VALUE!</v>
      </c>
      <c r="IG61" s="22" t="e">
        <f aca="false">IF(#REF!,"AAAAAF/E3/A=",0)</f>
        <v>#REF!</v>
      </c>
      <c r="IH61" s="22" t="e">
        <f aca="false">AND(#REF!,"AAAAAF/E3/E=")</f>
        <v>#VALUE!</v>
      </c>
      <c r="II61" s="22" t="e">
        <f aca="false">AND(#REF!,"AAAAAF/E3/I=")</f>
        <v>#VALUE!</v>
      </c>
      <c r="IJ61" s="22" t="e">
        <f aca="false">AND(#REF!,"AAAAAF/E3/M=")</f>
        <v>#VALUE!</v>
      </c>
      <c r="IK61" s="22" t="e">
        <f aca="false">AND(#REF!,"AAAAAF/E3/Q=")</f>
        <v>#VALUE!</v>
      </c>
      <c r="IL61" s="22" t="e">
        <f aca="false">AND(#REF!,"AAAAAF/E3/U=")</f>
        <v>#VALUE!</v>
      </c>
      <c r="IM61" s="22" t="e">
        <f aca="false">AND(#REF!,"AAAAAF/E3/Y=")</f>
        <v>#VALUE!</v>
      </c>
      <c r="IN61" s="22" t="e">
        <f aca="false">IF(#REF!,"AAAAAF/E3/c=",0)</f>
        <v>#REF!</v>
      </c>
      <c r="IO61" s="22" t="e">
        <f aca="false">AND(#REF!,"AAAAAF/E3/g=")</f>
        <v>#VALUE!</v>
      </c>
      <c r="IP61" s="22" t="e">
        <f aca="false">AND(#REF!,"AAAAAF/E3/k=")</f>
        <v>#VALUE!</v>
      </c>
      <c r="IQ61" s="22" t="e">
        <f aca="false">AND(#REF!,"AAAAAF/E3/o=")</f>
        <v>#VALUE!</v>
      </c>
      <c r="IR61" s="22" t="e">
        <f aca="false">AND(#REF!,"AAAAAF/E3/s=")</f>
        <v>#VALUE!</v>
      </c>
      <c r="IS61" s="22" t="e">
        <f aca="false">AND(#REF!,"AAAAAF/E3/w=")</f>
        <v>#VALUE!</v>
      </c>
      <c r="IT61" s="22" t="e">
        <f aca="false">AND(#REF!,"AAAAAF/E3/0=")</f>
        <v>#VALUE!</v>
      </c>
      <c r="IU61" s="22" t="e">
        <f aca="false">IF(#REF!,"AAAAAF/E3/4=",0)</f>
        <v>#REF!</v>
      </c>
      <c r="IV61" s="22" t="e">
        <f aca="false">AND(#REF!,"AAAAAF/E3/8=")</f>
        <v>#VALUE!</v>
      </c>
    </row>
    <row r="62" customFormat="false" ht="12.75" hidden="false" customHeight="false" outlineLevel="0" collapsed="false">
      <c r="A62" s="22" t="e">
        <f aca="false">AND(#REF!,"AAAAAHu//wA=")</f>
        <v>#VALUE!</v>
      </c>
      <c r="B62" s="22" t="e">
        <f aca="false">AND(#REF!,"AAAAAHu//wE=")</f>
        <v>#VALUE!</v>
      </c>
      <c r="C62" s="22" t="e">
        <f aca="false">AND(#REF!,"AAAAAHu//wI=")</f>
        <v>#VALUE!</v>
      </c>
      <c r="D62" s="22" t="e">
        <f aca="false">AND(#REF!,"AAAAAHu//wM=")</f>
        <v>#VALUE!</v>
      </c>
      <c r="E62" s="22" t="e">
        <f aca="false">AND(#REF!,"AAAAAHu//wQ=")</f>
        <v>#VALUE!</v>
      </c>
      <c r="F62" s="22" t="e">
        <f aca="false">IF(#REF!,"AAAAAHu//wU=",0)</f>
        <v>#REF!</v>
      </c>
      <c r="G62" s="22" t="e">
        <f aca="false">AND(#REF!,"AAAAAHu//wY=")</f>
        <v>#VALUE!</v>
      </c>
      <c r="H62" s="22" t="e">
        <f aca="false">AND(#REF!,"AAAAAHu//wc=")</f>
        <v>#VALUE!</v>
      </c>
      <c r="I62" s="22" t="e">
        <f aca="false">AND(#REF!,"AAAAAHu//wg=")</f>
        <v>#VALUE!</v>
      </c>
      <c r="J62" s="22" t="e">
        <f aca="false">AND(#REF!,"AAAAAHu//wk=")</f>
        <v>#VALUE!</v>
      </c>
      <c r="K62" s="22" t="e">
        <f aca="false">AND(#REF!,"AAAAAHu//wo=")</f>
        <v>#VALUE!</v>
      </c>
      <c r="L62" s="22" t="e">
        <f aca="false">AND(#REF!,"AAAAAHu//ws=")</f>
        <v>#VALUE!</v>
      </c>
      <c r="M62" s="22" t="e">
        <f aca="false">IF(#REF!,"AAAAAHu//ww=",0)</f>
        <v>#REF!</v>
      </c>
      <c r="N62" s="22" t="e">
        <f aca="false">AND(#REF!,"AAAAAHu//w0=")</f>
        <v>#VALUE!</v>
      </c>
      <c r="O62" s="22" t="e">
        <f aca="false">AND(#REF!,"AAAAAHu//w4=")</f>
        <v>#VALUE!</v>
      </c>
      <c r="P62" s="22" t="e">
        <f aca="false">AND(#REF!,"AAAAAHu//w8=")</f>
        <v>#VALUE!</v>
      </c>
      <c r="Q62" s="22" t="e">
        <f aca="false">AND(#REF!,"AAAAAHu//xA=")</f>
        <v>#VALUE!</v>
      </c>
      <c r="R62" s="22" t="e">
        <f aca="false">AND(#REF!,"AAAAAHu//xE=")</f>
        <v>#VALUE!</v>
      </c>
      <c r="S62" s="22" t="e">
        <f aca="false">AND(#REF!,"AAAAAHu//xI=")</f>
        <v>#VALUE!</v>
      </c>
      <c r="T62" s="22" t="e">
        <f aca="false">IF(#REF!,"AAAAAHu//xM=",0)</f>
        <v>#REF!</v>
      </c>
      <c r="U62" s="22" t="e">
        <f aca="false">AND(#REF!,"AAAAAHu//xQ=")</f>
        <v>#VALUE!</v>
      </c>
      <c r="V62" s="22" t="e">
        <f aca="false">AND(#REF!,"AAAAAHu//xU=")</f>
        <v>#VALUE!</v>
      </c>
      <c r="W62" s="22" t="e">
        <f aca="false">AND(#REF!,"AAAAAHu//xY=")</f>
        <v>#VALUE!</v>
      </c>
      <c r="X62" s="22" t="e">
        <f aca="false">AND(#REF!,"AAAAAHu//xc=")</f>
        <v>#VALUE!</v>
      </c>
      <c r="Y62" s="22" t="e">
        <f aca="false">AND(#REF!,"AAAAAHu//xg=")</f>
        <v>#VALUE!</v>
      </c>
      <c r="Z62" s="22" t="e">
        <f aca="false">AND(#REF!,"AAAAAHu//xk=")</f>
        <v>#VALUE!</v>
      </c>
      <c r="AA62" s="22" t="e">
        <f aca="false">IF(#REF!,"AAAAAHu//xo=",0)</f>
        <v>#REF!</v>
      </c>
      <c r="AB62" s="22" t="e">
        <f aca="false">AND(#REF!,"AAAAAHu//xs=")</f>
        <v>#VALUE!</v>
      </c>
      <c r="AC62" s="22" t="e">
        <f aca="false">AND(#REF!,"AAAAAHu//xw=")</f>
        <v>#VALUE!</v>
      </c>
      <c r="AD62" s="22" t="e">
        <f aca="false">AND(#REF!,"AAAAAHu//x0=")</f>
        <v>#VALUE!</v>
      </c>
      <c r="AE62" s="22" t="e">
        <f aca="false">AND(#REF!,"AAAAAHu//x4=")</f>
        <v>#VALUE!</v>
      </c>
      <c r="AF62" s="22" t="e">
        <f aca="false">AND(#REF!,"AAAAAHu//x8=")</f>
        <v>#VALUE!</v>
      </c>
      <c r="AG62" s="22" t="e">
        <f aca="false">AND(#REF!,"AAAAAHu//yA=")</f>
        <v>#VALUE!</v>
      </c>
      <c r="AH62" s="22" t="e">
        <f aca="false">IF(#REF!,"AAAAAHu//yE=",0)</f>
        <v>#REF!</v>
      </c>
      <c r="AI62" s="22" t="e">
        <f aca="false">AND(#REF!,"AAAAAHu//yI=")</f>
        <v>#VALUE!</v>
      </c>
      <c r="AJ62" s="22" t="e">
        <f aca="false">AND(#REF!,"AAAAAHu//yM=")</f>
        <v>#VALUE!</v>
      </c>
      <c r="AK62" s="22" t="e">
        <f aca="false">AND(#REF!,"AAAAAHu//yQ=")</f>
        <v>#VALUE!</v>
      </c>
      <c r="AL62" s="22" t="e">
        <f aca="false">AND(#REF!,"AAAAAHu//yU=")</f>
        <v>#VALUE!</v>
      </c>
      <c r="AM62" s="22" t="e">
        <f aca="false">AND(#REF!,"AAAAAHu//yY=")</f>
        <v>#VALUE!</v>
      </c>
      <c r="AN62" s="22" t="e">
        <f aca="false">AND(#REF!,"AAAAAHu//yc=")</f>
        <v>#VALUE!</v>
      </c>
      <c r="AO62" s="22" t="e">
        <f aca="false">IF(#REF!,"AAAAAHu//yg=",0)</f>
        <v>#REF!</v>
      </c>
      <c r="AP62" s="22" t="e">
        <f aca="false">AND(#REF!,"AAAAAHu//yk=")</f>
        <v>#VALUE!</v>
      </c>
      <c r="AQ62" s="22" t="e">
        <f aca="false">AND(#REF!,"AAAAAHu//yo=")</f>
        <v>#VALUE!</v>
      </c>
      <c r="AR62" s="22" t="e">
        <f aca="false">AND(#REF!,"AAAAAHu//ys=")</f>
        <v>#VALUE!</v>
      </c>
      <c r="AS62" s="22" t="e">
        <f aca="false">AND(#REF!,"AAAAAHu//yw=")</f>
        <v>#VALUE!</v>
      </c>
      <c r="AT62" s="22" t="e">
        <f aca="false">AND(#REF!,"AAAAAHu//y0=")</f>
        <v>#VALUE!</v>
      </c>
      <c r="AU62" s="22" t="e">
        <f aca="false">AND(#REF!,"AAAAAHu//y4=")</f>
        <v>#VALUE!</v>
      </c>
      <c r="AV62" s="22" t="e">
        <f aca="false">IF(#REF!,"AAAAAHu//y8=",0)</f>
        <v>#REF!</v>
      </c>
      <c r="AW62" s="22" t="e">
        <f aca="false">AND(#REF!,"AAAAAHu//zA=")</f>
        <v>#VALUE!</v>
      </c>
      <c r="AX62" s="22" t="e">
        <f aca="false">AND(#REF!,"AAAAAHu//zE=")</f>
        <v>#VALUE!</v>
      </c>
      <c r="AY62" s="22" t="e">
        <f aca="false">AND(#REF!,"AAAAAHu//zI=")</f>
        <v>#VALUE!</v>
      </c>
      <c r="AZ62" s="22" t="e">
        <f aca="false">AND(#REF!,"AAAAAHu//zM=")</f>
        <v>#VALUE!</v>
      </c>
      <c r="BA62" s="22" t="e">
        <f aca="false">AND(#REF!,"AAAAAHu//zQ=")</f>
        <v>#VALUE!</v>
      </c>
      <c r="BB62" s="22" t="e">
        <f aca="false">AND(#REF!,"AAAAAHu//zU=")</f>
        <v>#VALUE!</v>
      </c>
      <c r="BC62" s="22" t="e">
        <f aca="false">IF(#REF!,"AAAAAHu//zY=",0)</f>
        <v>#REF!</v>
      </c>
      <c r="BD62" s="22" t="e">
        <f aca="false">AND(#REF!,"AAAAAHu//zc=")</f>
        <v>#VALUE!</v>
      </c>
      <c r="BE62" s="22" t="e">
        <f aca="false">AND(#REF!,"AAAAAHu//zg=")</f>
        <v>#VALUE!</v>
      </c>
      <c r="BF62" s="22" t="e">
        <f aca="false">AND(#REF!,"AAAAAHu//zk=")</f>
        <v>#VALUE!</v>
      </c>
      <c r="BG62" s="22" t="e">
        <f aca="false">AND(#REF!,"AAAAAHu//zo=")</f>
        <v>#VALUE!</v>
      </c>
      <c r="BH62" s="22" t="e">
        <f aca="false">AND(#REF!,"AAAAAHu//zs=")</f>
        <v>#VALUE!</v>
      </c>
      <c r="BI62" s="22" t="e">
        <f aca="false">AND(#REF!,"AAAAAHu//zw=")</f>
        <v>#VALUE!</v>
      </c>
      <c r="BJ62" s="22" t="e">
        <f aca="false">IF(#REF!,"AAAAAHu//z0=",0)</f>
        <v>#REF!</v>
      </c>
      <c r="BK62" s="22" t="e">
        <f aca="false">AND(#REF!,"AAAAAHu//z4=")</f>
        <v>#VALUE!</v>
      </c>
      <c r="BL62" s="22" t="e">
        <f aca="false">AND(#REF!,"AAAAAHu//z8=")</f>
        <v>#VALUE!</v>
      </c>
      <c r="BM62" s="22" t="e">
        <f aca="false">AND(#REF!,"AAAAAHu//0A=")</f>
        <v>#VALUE!</v>
      </c>
      <c r="BN62" s="22" t="e">
        <f aca="false">AND(#REF!,"AAAAAHu//0E=")</f>
        <v>#VALUE!</v>
      </c>
      <c r="BO62" s="22" t="e">
        <f aca="false">AND(#REF!,"AAAAAHu//0I=")</f>
        <v>#VALUE!</v>
      </c>
      <c r="BP62" s="22" t="e">
        <f aca="false">AND(#REF!,"AAAAAHu//0M=")</f>
        <v>#VALUE!</v>
      </c>
      <c r="BQ62" s="22" t="e">
        <f aca="false">IF(#REF!,"AAAAAHu//0Q=",0)</f>
        <v>#REF!</v>
      </c>
      <c r="BR62" s="22" t="e">
        <f aca="false">AND(#REF!,"AAAAAHu//0U=")</f>
        <v>#VALUE!</v>
      </c>
      <c r="BS62" s="22" t="e">
        <f aca="false">AND(#REF!,"AAAAAHu//0Y=")</f>
        <v>#VALUE!</v>
      </c>
      <c r="BT62" s="22" t="e">
        <f aca="false">AND(#REF!,"AAAAAHu//0c=")</f>
        <v>#VALUE!</v>
      </c>
      <c r="BU62" s="22" t="e">
        <f aca="false">AND(#REF!,"AAAAAHu//0g=")</f>
        <v>#VALUE!</v>
      </c>
      <c r="BV62" s="22" t="e">
        <f aca="false">AND(#REF!,"AAAAAHu//0k=")</f>
        <v>#VALUE!</v>
      </c>
      <c r="BW62" s="22" t="e">
        <f aca="false">AND(#REF!,"AAAAAHu//0o=")</f>
        <v>#VALUE!</v>
      </c>
      <c r="BX62" s="22" t="e">
        <f aca="false">IF(#REF!,"AAAAAHu//0s=",0)</f>
        <v>#REF!</v>
      </c>
      <c r="BY62" s="22" t="e">
        <f aca="false">AND(#REF!,"AAAAAHu//0w=")</f>
        <v>#VALUE!</v>
      </c>
      <c r="BZ62" s="22" t="e">
        <f aca="false">AND(#REF!,"AAAAAHu//00=")</f>
        <v>#VALUE!</v>
      </c>
      <c r="CA62" s="22" t="e">
        <f aca="false">AND(#REF!,"AAAAAHu//04=")</f>
        <v>#VALUE!</v>
      </c>
      <c r="CB62" s="22" t="e">
        <f aca="false">AND(#REF!,"AAAAAHu//08=")</f>
        <v>#VALUE!</v>
      </c>
      <c r="CC62" s="22" t="e">
        <f aca="false">AND(#REF!,"AAAAAHu//1A=")</f>
        <v>#VALUE!</v>
      </c>
      <c r="CD62" s="22" t="e">
        <f aca="false">AND(#REF!,"AAAAAHu//1E=")</f>
        <v>#VALUE!</v>
      </c>
      <c r="CE62" s="22" t="e">
        <f aca="false">IF(#REF!,"AAAAAHu//1I=",0)</f>
        <v>#REF!</v>
      </c>
      <c r="CF62" s="22" t="e">
        <f aca="false">AND(#REF!,"AAAAAHu//1M=")</f>
        <v>#VALUE!</v>
      </c>
      <c r="CG62" s="22" t="e">
        <f aca="false">AND(#REF!,"AAAAAHu//1Q=")</f>
        <v>#VALUE!</v>
      </c>
      <c r="CH62" s="22" t="e">
        <f aca="false">AND(#REF!,"AAAAAHu//1U=")</f>
        <v>#VALUE!</v>
      </c>
      <c r="CI62" s="22" t="e">
        <f aca="false">AND(#REF!,"AAAAAHu//1Y=")</f>
        <v>#VALUE!</v>
      </c>
      <c r="CJ62" s="22" t="e">
        <f aca="false">AND(#REF!,"AAAAAHu//1c=")</f>
        <v>#VALUE!</v>
      </c>
      <c r="CK62" s="22" t="e">
        <f aca="false">AND(#REF!,"AAAAAHu//1g=")</f>
        <v>#VALUE!</v>
      </c>
      <c r="CL62" s="22" t="e">
        <f aca="false">IF(#REF!,"AAAAAHu//1k=",0)</f>
        <v>#REF!</v>
      </c>
      <c r="CM62" s="22" t="e">
        <f aca="false">AND(#REF!,"AAAAAHu//1o=")</f>
        <v>#VALUE!</v>
      </c>
      <c r="CN62" s="22" t="e">
        <f aca="false">AND(#REF!,"AAAAAHu//1s=")</f>
        <v>#VALUE!</v>
      </c>
      <c r="CO62" s="22" t="e">
        <f aca="false">AND(#REF!,"AAAAAHu//1w=")</f>
        <v>#VALUE!</v>
      </c>
      <c r="CP62" s="22" t="e">
        <f aca="false">AND(#REF!,"AAAAAHu//10=")</f>
        <v>#VALUE!</v>
      </c>
      <c r="CQ62" s="22" t="e">
        <f aca="false">AND(#REF!,"AAAAAHu//14=")</f>
        <v>#VALUE!</v>
      </c>
      <c r="CR62" s="22" t="e">
        <f aca="false">AND(#REF!,"AAAAAHu//18=")</f>
        <v>#VALUE!</v>
      </c>
      <c r="CS62" s="22" t="e">
        <f aca="false">IF(#REF!,"AAAAAHu//2A=",0)</f>
        <v>#REF!</v>
      </c>
      <c r="CT62" s="22" t="e">
        <f aca="false">AND(#REF!,"AAAAAHu//2E=")</f>
        <v>#VALUE!</v>
      </c>
      <c r="CU62" s="22" t="e">
        <f aca="false">AND(#REF!,"AAAAAHu//2I=")</f>
        <v>#VALUE!</v>
      </c>
      <c r="CV62" s="22" t="e">
        <f aca="false">AND(#REF!,"AAAAAHu//2M=")</f>
        <v>#VALUE!</v>
      </c>
      <c r="CW62" s="22" t="e">
        <f aca="false">AND(#REF!,"AAAAAHu//2Q=")</f>
        <v>#VALUE!</v>
      </c>
      <c r="CX62" s="22" t="e">
        <f aca="false">AND(#REF!,"AAAAAHu//2U=")</f>
        <v>#VALUE!</v>
      </c>
      <c r="CY62" s="22" t="e">
        <f aca="false">AND(#REF!,"AAAAAHu//2Y=")</f>
        <v>#VALUE!</v>
      </c>
      <c r="CZ62" s="22" t="e">
        <f aca="false">IF(#REF!,"AAAAAHu//2c=",0)</f>
        <v>#REF!</v>
      </c>
      <c r="DA62" s="22" t="e">
        <f aca="false">AND(#REF!,"AAAAAHu//2g=")</f>
        <v>#VALUE!</v>
      </c>
      <c r="DB62" s="22" t="e">
        <f aca="false">AND(#REF!,"AAAAAHu//2k=")</f>
        <v>#VALUE!</v>
      </c>
      <c r="DC62" s="22" t="e">
        <f aca="false">AND(#REF!,"AAAAAHu//2o=")</f>
        <v>#VALUE!</v>
      </c>
      <c r="DD62" s="22" t="e">
        <f aca="false">AND(#REF!,"AAAAAHu//2s=")</f>
        <v>#VALUE!</v>
      </c>
      <c r="DE62" s="22" t="e">
        <f aca="false">AND(#REF!,"AAAAAHu//2w=")</f>
        <v>#VALUE!</v>
      </c>
      <c r="DF62" s="22" t="e">
        <f aca="false">AND(#REF!,"AAAAAHu//20=")</f>
        <v>#VALUE!</v>
      </c>
      <c r="DG62" s="22" t="e">
        <f aca="false">IF(#REF!,"AAAAAHu//24=",0)</f>
        <v>#REF!</v>
      </c>
      <c r="DH62" s="22" t="e">
        <f aca="false">AND(#REF!,"AAAAAHu//28=")</f>
        <v>#VALUE!</v>
      </c>
      <c r="DI62" s="22" t="e">
        <f aca="false">AND(#REF!,"AAAAAHu//3A=")</f>
        <v>#VALUE!</v>
      </c>
      <c r="DJ62" s="22" t="e">
        <f aca="false">AND(#REF!,"AAAAAHu//3E=")</f>
        <v>#VALUE!</v>
      </c>
      <c r="DK62" s="22" t="e">
        <f aca="false">AND(#REF!,"AAAAAHu//3I=")</f>
        <v>#VALUE!</v>
      </c>
      <c r="DL62" s="22" t="e">
        <f aca="false">AND(#REF!,"AAAAAHu//3M=")</f>
        <v>#VALUE!</v>
      </c>
      <c r="DM62" s="22" t="e">
        <f aca="false">AND(#REF!,"AAAAAHu//3Q=")</f>
        <v>#VALUE!</v>
      </c>
      <c r="DN62" s="22" t="e">
        <f aca="false">IF(#REF!,"AAAAAHu//3U=",0)</f>
        <v>#REF!</v>
      </c>
      <c r="DO62" s="22" t="e">
        <f aca="false">AND(#REF!,"AAAAAHu//3Y=")</f>
        <v>#VALUE!</v>
      </c>
      <c r="DP62" s="22" t="e">
        <f aca="false">AND(#REF!,"AAAAAHu//3c=")</f>
        <v>#VALUE!</v>
      </c>
      <c r="DQ62" s="22" t="e">
        <f aca="false">AND(#REF!,"AAAAAHu//3g=")</f>
        <v>#VALUE!</v>
      </c>
      <c r="DR62" s="22" t="e">
        <f aca="false">AND(#REF!,"AAAAAHu//3k=")</f>
        <v>#VALUE!</v>
      </c>
      <c r="DS62" s="22" t="e">
        <f aca="false">AND(#REF!,"AAAAAHu//3o=")</f>
        <v>#VALUE!</v>
      </c>
      <c r="DT62" s="22" t="e">
        <f aca="false">AND(#REF!,"AAAAAHu//3s=")</f>
        <v>#VALUE!</v>
      </c>
      <c r="DU62" s="22" t="e">
        <f aca="false">IF(#REF!,"AAAAAHu//3w=",0)</f>
        <v>#REF!</v>
      </c>
      <c r="DV62" s="22" t="e">
        <f aca="false">AND(#REF!,"AAAAAHu//30=")</f>
        <v>#VALUE!</v>
      </c>
      <c r="DW62" s="22" t="e">
        <f aca="false">AND(#REF!,"AAAAAHu//34=")</f>
        <v>#VALUE!</v>
      </c>
      <c r="DX62" s="22" t="e">
        <f aca="false">AND(#REF!,"AAAAAHu//38=")</f>
        <v>#VALUE!</v>
      </c>
      <c r="DY62" s="22" t="e">
        <f aca="false">AND(#REF!,"AAAAAHu//4A=")</f>
        <v>#VALUE!</v>
      </c>
      <c r="DZ62" s="22" t="e">
        <f aca="false">AND(#REF!,"AAAAAHu//4E=")</f>
        <v>#VALUE!</v>
      </c>
      <c r="EA62" s="22" t="e">
        <f aca="false">AND(#REF!,"AAAAAHu//4I=")</f>
        <v>#VALUE!</v>
      </c>
      <c r="EB62" s="22" t="e">
        <f aca="false">IF(#REF!,"AAAAAHu//4M=",0)</f>
        <v>#REF!</v>
      </c>
      <c r="EC62" s="22" t="e">
        <f aca="false">AND(#REF!,"AAAAAHu//4Q=")</f>
        <v>#VALUE!</v>
      </c>
      <c r="ED62" s="22" t="e">
        <f aca="false">AND(#REF!,"AAAAAHu//4U=")</f>
        <v>#VALUE!</v>
      </c>
      <c r="EE62" s="22" t="e">
        <f aca="false">AND(#REF!,"AAAAAHu//4Y=")</f>
        <v>#VALUE!</v>
      </c>
      <c r="EF62" s="22" t="e">
        <f aca="false">AND(#REF!,"AAAAAHu//4c=")</f>
        <v>#VALUE!</v>
      </c>
      <c r="EG62" s="22" t="e">
        <f aca="false">AND(#REF!,"AAAAAHu//4g=")</f>
        <v>#VALUE!</v>
      </c>
      <c r="EH62" s="22" t="e">
        <f aca="false">AND(#REF!,"AAAAAHu//4k=")</f>
        <v>#VALUE!</v>
      </c>
      <c r="EI62" s="22" t="e">
        <f aca="false">IF(#REF!,"AAAAAHu//4o=",0)</f>
        <v>#REF!</v>
      </c>
      <c r="EJ62" s="22" t="e">
        <f aca="false">AND(#REF!,"AAAAAHu//4s=")</f>
        <v>#VALUE!</v>
      </c>
      <c r="EK62" s="22" t="e">
        <f aca="false">AND(#REF!,"AAAAAHu//4w=")</f>
        <v>#VALUE!</v>
      </c>
      <c r="EL62" s="22" t="e">
        <f aca="false">AND(#REF!,"AAAAAHu//40=")</f>
        <v>#VALUE!</v>
      </c>
      <c r="EM62" s="22" t="e">
        <f aca="false">AND(#REF!,"AAAAAHu//44=")</f>
        <v>#VALUE!</v>
      </c>
      <c r="EN62" s="22" t="e">
        <f aca="false">AND(#REF!,"AAAAAHu//48=")</f>
        <v>#VALUE!</v>
      </c>
      <c r="EO62" s="22" t="e">
        <f aca="false">AND(#REF!,"AAAAAHu//5A=")</f>
        <v>#VALUE!</v>
      </c>
      <c r="EP62" s="22" t="e">
        <f aca="false">IF(#REF!,"AAAAAHu//5E=",0)</f>
        <v>#REF!</v>
      </c>
      <c r="EQ62" s="22" t="e">
        <f aca="false">AND(#REF!,"AAAAAHu//5I=")</f>
        <v>#VALUE!</v>
      </c>
      <c r="ER62" s="22" t="e">
        <f aca="false">AND(#REF!,"AAAAAHu//5M=")</f>
        <v>#VALUE!</v>
      </c>
      <c r="ES62" s="22" t="e">
        <f aca="false">AND(#REF!,"AAAAAHu//5Q=")</f>
        <v>#VALUE!</v>
      </c>
      <c r="ET62" s="22" t="e">
        <f aca="false">AND(#REF!,"AAAAAHu//5U=")</f>
        <v>#VALUE!</v>
      </c>
      <c r="EU62" s="22" t="e">
        <f aca="false">AND(#REF!,"AAAAAHu//5Y=")</f>
        <v>#VALUE!</v>
      </c>
      <c r="EV62" s="22" t="e">
        <f aca="false">AND(#REF!,"AAAAAHu//5c=")</f>
        <v>#VALUE!</v>
      </c>
      <c r="EW62" s="22" t="e">
        <f aca="false">IF(#REF!,"AAAAAHu//5g=",0)</f>
        <v>#REF!</v>
      </c>
      <c r="EX62" s="22" t="e">
        <f aca="false">AND(#REF!,"AAAAAHu//5k=")</f>
        <v>#VALUE!</v>
      </c>
      <c r="EY62" s="22" t="e">
        <f aca="false">AND(#REF!,"AAAAAHu//5o=")</f>
        <v>#VALUE!</v>
      </c>
      <c r="EZ62" s="22" t="e">
        <f aca="false">AND(#REF!,"AAAAAHu//5s=")</f>
        <v>#VALUE!</v>
      </c>
      <c r="FA62" s="22" t="e">
        <f aca="false">AND(#REF!,"AAAAAHu//5w=")</f>
        <v>#VALUE!</v>
      </c>
      <c r="FB62" s="22" t="e">
        <f aca="false">AND(#REF!,"AAAAAHu//50=")</f>
        <v>#VALUE!</v>
      </c>
      <c r="FC62" s="22" t="e">
        <f aca="false">AND(#REF!,"AAAAAHu//54=")</f>
        <v>#VALUE!</v>
      </c>
      <c r="FD62" s="22" t="e">
        <f aca="false">IF(#REF!,"AAAAAHu//58=",0)</f>
        <v>#REF!</v>
      </c>
      <c r="FE62" s="22" t="e">
        <f aca="false">AND(#REF!,"AAAAAHu//6A=")</f>
        <v>#VALUE!</v>
      </c>
      <c r="FF62" s="22" t="e">
        <f aca="false">AND(#REF!,"AAAAAHu//6E=")</f>
        <v>#VALUE!</v>
      </c>
      <c r="FG62" s="22" t="e">
        <f aca="false">AND(#REF!,"AAAAAHu//6I=")</f>
        <v>#VALUE!</v>
      </c>
      <c r="FH62" s="22" t="e">
        <f aca="false">AND(#REF!,"AAAAAHu//6M=")</f>
        <v>#VALUE!</v>
      </c>
      <c r="FI62" s="22" t="e">
        <f aca="false">AND(#REF!,"AAAAAHu//6Q=")</f>
        <v>#VALUE!</v>
      </c>
      <c r="FJ62" s="22" t="e">
        <f aca="false">AND(#REF!,"AAAAAHu//6U=")</f>
        <v>#VALUE!</v>
      </c>
      <c r="FK62" s="22" t="e">
        <f aca="false">IF(#REF!,"AAAAAHu//6Y=",0)</f>
        <v>#REF!</v>
      </c>
      <c r="FL62" s="22" t="e">
        <f aca="false">AND(#REF!,"AAAAAHu//6c=")</f>
        <v>#VALUE!</v>
      </c>
      <c r="FM62" s="22" t="e">
        <f aca="false">AND(#REF!,"AAAAAHu//6g=")</f>
        <v>#VALUE!</v>
      </c>
      <c r="FN62" s="22" t="e">
        <f aca="false">AND(#REF!,"AAAAAHu//6k=")</f>
        <v>#VALUE!</v>
      </c>
      <c r="FO62" s="22" t="e">
        <f aca="false">AND(#REF!,"AAAAAHu//6o=")</f>
        <v>#VALUE!</v>
      </c>
      <c r="FP62" s="22" t="e">
        <f aca="false">AND(#REF!,"AAAAAHu//6s=")</f>
        <v>#VALUE!</v>
      </c>
      <c r="FQ62" s="22" t="e">
        <f aca="false">AND(#REF!,"AAAAAHu//6w=")</f>
        <v>#VALUE!</v>
      </c>
      <c r="FR62" s="22" t="e">
        <f aca="false">IF(#REF!,"AAAAAHu//60=",0)</f>
        <v>#REF!</v>
      </c>
      <c r="FS62" s="22" t="e">
        <f aca="false">AND(#REF!,"AAAAAHu//64=")</f>
        <v>#VALUE!</v>
      </c>
      <c r="FT62" s="22" t="e">
        <f aca="false">AND(#REF!,"AAAAAHu//68=")</f>
        <v>#VALUE!</v>
      </c>
      <c r="FU62" s="22" t="e">
        <f aca="false">AND(#REF!,"AAAAAHu//7A=")</f>
        <v>#VALUE!</v>
      </c>
      <c r="FV62" s="22" t="e">
        <f aca="false">AND(#REF!,"AAAAAHu//7E=")</f>
        <v>#VALUE!</v>
      </c>
      <c r="FW62" s="22" t="e">
        <f aca="false">AND(#REF!,"AAAAAHu//7I=")</f>
        <v>#VALUE!</v>
      </c>
      <c r="FX62" s="22" t="e">
        <f aca="false">AND(#REF!,"AAAAAHu//7M=")</f>
        <v>#VALUE!</v>
      </c>
      <c r="FY62" s="22" t="e">
        <f aca="false">IF(#REF!,"AAAAAHu//7Q=",0)</f>
        <v>#REF!</v>
      </c>
      <c r="FZ62" s="22" t="e">
        <f aca="false">AND(#REF!,"AAAAAHu//7U=")</f>
        <v>#VALUE!</v>
      </c>
      <c r="GA62" s="22" t="e">
        <f aca="false">AND(#REF!,"AAAAAHu//7Y=")</f>
        <v>#VALUE!</v>
      </c>
      <c r="GB62" s="22" t="e">
        <f aca="false">AND(#REF!,"AAAAAHu//7c=")</f>
        <v>#VALUE!</v>
      </c>
      <c r="GC62" s="22" t="e">
        <f aca="false">AND(#REF!,"AAAAAHu//7g=")</f>
        <v>#VALUE!</v>
      </c>
      <c r="GD62" s="22" t="e">
        <f aca="false">AND(#REF!,"AAAAAHu//7k=")</f>
        <v>#VALUE!</v>
      </c>
      <c r="GE62" s="22" t="e">
        <f aca="false">AND(#REF!,"AAAAAHu//7o=")</f>
        <v>#VALUE!</v>
      </c>
      <c r="GF62" s="22" t="e">
        <f aca="false">IF(#REF!,"AAAAAHu//7s=",0)</f>
        <v>#REF!</v>
      </c>
      <c r="GG62" s="22" t="e">
        <f aca="false">AND(#REF!,"AAAAAHu//7w=")</f>
        <v>#VALUE!</v>
      </c>
      <c r="GH62" s="22" t="e">
        <f aca="false">AND(#REF!,"AAAAAHu//70=")</f>
        <v>#VALUE!</v>
      </c>
      <c r="GI62" s="22" t="e">
        <f aca="false">AND(#REF!,"AAAAAHu//74=")</f>
        <v>#VALUE!</v>
      </c>
      <c r="GJ62" s="22" t="e">
        <f aca="false">AND(#REF!,"AAAAAHu//78=")</f>
        <v>#VALUE!</v>
      </c>
      <c r="GK62" s="22" t="e">
        <f aca="false">AND(#REF!,"AAAAAHu//8A=")</f>
        <v>#VALUE!</v>
      </c>
      <c r="GL62" s="22" t="e">
        <f aca="false">AND(#REF!,"AAAAAHu//8E=")</f>
        <v>#VALUE!</v>
      </c>
      <c r="GM62" s="22" t="e">
        <f aca="false">IF(#REF!,"AAAAAHu//8I=",0)</f>
        <v>#REF!</v>
      </c>
      <c r="GN62" s="22" t="e">
        <f aca="false">AND(#REF!,"AAAAAHu//8M=")</f>
        <v>#VALUE!</v>
      </c>
      <c r="GO62" s="22" t="e">
        <f aca="false">AND(#REF!,"AAAAAHu//8Q=")</f>
        <v>#VALUE!</v>
      </c>
      <c r="GP62" s="22" t="e">
        <f aca="false">AND(#REF!,"AAAAAHu//8U=")</f>
        <v>#VALUE!</v>
      </c>
      <c r="GQ62" s="22" t="e">
        <f aca="false">AND(#REF!,"AAAAAHu//8Y=")</f>
        <v>#VALUE!</v>
      </c>
      <c r="GR62" s="22" t="e">
        <f aca="false">AND(#REF!,"AAAAAHu//8c=")</f>
        <v>#VALUE!</v>
      </c>
      <c r="GS62" s="22" t="e">
        <f aca="false">AND(#REF!,"AAAAAHu//8g=")</f>
        <v>#VALUE!</v>
      </c>
      <c r="GT62" s="22" t="e">
        <f aca="false">IF(#REF!,"AAAAAHu//8k=",0)</f>
        <v>#REF!</v>
      </c>
      <c r="GU62" s="22" t="e">
        <f aca="false">AND(#REF!,"AAAAAHu//8o=")</f>
        <v>#VALUE!</v>
      </c>
      <c r="GV62" s="22" t="e">
        <f aca="false">AND(#REF!,"AAAAAHu//8s=")</f>
        <v>#VALUE!</v>
      </c>
      <c r="GW62" s="22" t="e">
        <f aca="false">AND(#REF!,"AAAAAHu//8w=")</f>
        <v>#VALUE!</v>
      </c>
      <c r="GX62" s="22" t="e">
        <f aca="false">AND(#REF!,"AAAAAHu//80=")</f>
        <v>#VALUE!</v>
      </c>
      <c r="GY62" s="22" t="e">
        <f aca="false">AND(#REF!,"AAAAAHu//84=")</f>
        <v>#VALUE!</v>
      </c>
      <c r="GZ62" s="22" t="e">
        <f aca="false">AND(#REF!,"AAAAAHu//88=")</f>
        <v>#VALUE!</v>
      </c>
      <c r="HA62" s="22" t="e">
        <f aca="false">IF(#REF!,"AAAAAHu//9A=",0)</f>
        <v>#REF!</v>
      </c>
      <c r="HB62" s="22" t="e">
        <f aca="false">AND(#REF!,"AAAAAHu//9E=")</f>
        <v>#VALUE!</v>
      </c>
      <c r="HC62" s="22" t="e">
        <f aca="false">AND(#REF!,"AAAAAHu//9I=")</f>
        <v>#VALUE!</v>
      </c>
      <c r="HD62" s="22" t="e">
        <f aca="false">AND(#REF!,"AAAAAHu//9M=")</f>
        <v>#VALUE!</v>
      </c>
      <c r="HE62" s="22" t="e">
        <f aca="false">AND(#REF!,"AAAAAHu//9Q=")</f>
        <v>#VALUE!</v>
      </c>
      <c r="HF62" s="22" t="e">
        <f aca="false">AND(#REF!,"AAAAAHu//9U=")</f>
        <v>#VALUE!</v>
      </c>
      <c r="HG62" s="22" t="e">
        <f aca="false">AND(#REF!,"AAAAAHu//9Y=")</f>
        <v>#VALUE!</v>
      </c>
      <c r="HH62" s="22" t="e">
        <f aca="false">IF(#REF!,"AAAAAHu//9c=",0)</f>
        <v>#REF!</v>
      </c>
      <c r="HI62" s="22" t="e">
        <f aca="false">AND(#REF!,"AAAAAHu//9g=")</f>
        <v>#VALUE!</v>
      </c>
      <c r="HJ62" s="22" t="e">
        <f aca="false">AND(#REF!,"AAAAAHu//9k=")</f>
        <v>#VALUE!</v>
      </c>
      <c r="HK62" s="22" t="e">
        <f aca="false">AND(#REF!,"AAAAAHu//9o=")</f>
        <v>#VALUE!</v>
      </c>
      <c r="HL62" s="22" t="e">
        <f aca="false">AND(#REF!,"AAAAAHu//9s=")</f>
        <v>#VALUE!</v>
      </c>
      <c r="HM62" s="22" t="e">
        <f aca="false">AND(#REF!,"AAAAAHu//9w=")</f>
        <v>#VALUE!</v>
      </c>
      <c r="HN62" s="22" t="e">
        <f aca="false">AND(#REF!,"AAAAAHu//90=")</f>
        <v>#VALUE!</v>
      </c>
      <c r="HO62" s="22" t="e">
        <f aca="false">IF(#REF!,"AAAAAHu//94=",0)</f>
        <v>#REF!</v>
      </c>
      <c r="HP62" s="22" t="e">
        <f aca="false">AND(#REF!,"AAAAAHu//98=")</f>
        <v>#VALUE!</v>
      </c>
      <c r="HQ62" s="22" t="e">
        <f aca="false">AND(#REF!,"AAAAAHu//+A=")</f>
        <v>#VALUE!</v>
      </c>
      <c r="HR62" s="22" t="e">
        <f aca="false">AND(#REF!,"AAAAAHu//+E=")</f>
        <v>#VALUE!</v>
      </c>
      <c r="HS62" s="22" t="e">
        <f aca="false">AND(#REF!,"AAAAAHu//+I=")</f>
        <v>#VALUE!</v>
      </c>
      <c r="HT62" s="22" t="e">
        <f aca="false">AND(#REF!,"AAAAAHu//+M=")</f>
        <v>#VALUE!</v>
      </c>
      <c r="HU62" s="22" t="e">
        <f aca="false">AND(#REF!,"AAAAAHu//+Q=")</f>
        <v>#VALUE!</v>
      </c>
      <c r="HV62" s="22" t="e">
        <f aca="false">IF(#REF!,"AAAAAHu//+U=",0)</f>
        <v>#REF!</v>
      </c>
      <c r="HW62" s="22" t="e">
        <f aca="false">AND(#REF!,"AAAAAHu//+Y=")</f>
        <v>#VALUE!</v>
      </c>
      <c r="HX62" s="22" t="e">
        <f aca="false">AND(#REF!,"AAAAAHu//+c=")</f>
        <v>#VALUE!</v>
      </c>
      <c r="HY62" s="22" t="e">
        <f aca="false">AND(#REF!,"AAAAAHu//+g=")</f>
        <v>#VALUE!</v>
      </c>
      <c r="HZ62" s="22" t="e">
        <f aca="false">AND(#REF!,"AAAAAHu//+k=")</f>
        <v>#VALUE!</v>
      </c>
      <c r="IA62" s="22" t="e">
        <f aca="false">AND(#REF!,"AAAAAHu//+o=")</f>
        <v>#VALUE!</v>
      </c>
      <c r="IB62" s="22" t="e">
        <f aca="false">AND(#REF!,"AAAAAHu//+s=")</f>
        <v>#VALUE!</v>
      </c>
      <c r="IC62" s="22" t="e">
        <f aca="false">IF(#REF!,"AAAAAHu//+w=",0)</f>
        <v>#REF!</v>
      </c>
      <c r="ID62" s="22" t="e">
        <f aca="false">AND(#REF!,"AAAAAHu//+0=")</f>
        <v>#VALUE!</v>
      </c>
      <c r="IE62" s="22" t="e">
        <f aca="false">AND(#REF!,"AAAAAHu//+4=")</f>
        <v>#VALUE!</v>
      </c>
      <c r="IF62" s="22" t="e">
        <f aca="false">AND(#REF!,"AAAAAHu//+8=")</f>
        <v>#VALUE!</v>
      </c>
      <c r="IG62" s="22" t="e">
        <f aca="false">AND(#REF!,"AAAAAHu///A=")</f>
        <v>#VALUE!</v>
      </c>
      <c r="IH62" s="22" t="e">
        <f aca="false">AND(#REF!,"AAAAAHu///E=")</f>
        <v>#VALUE!</v>
      </c>
      <c r="II62" s="22" t="e">
        <f aca="false">AND(#REF!,"AAAAAHu///I=")</f>
        <v>#VALUE!</v>
      </c>
      <c r="IJ62" s="22" t="e">
        <f aca="false">IF(#REF!,"AAAAAHu///M=",0)</f>
        <v>#REF!</v>
      </c>
      <c r="IK62" s="22" t="e">
        <f aca="false">AND(#REF!,"AAAAAHu///Q=")</f>
        <v>#VALUE!</v>
      </c>
      <c r="IL62" s="22" t="e">
        <f aca="false">AND(#REF!,"AAAAAHu///U=")</f>
        <v>#VALUE!</v>
      </c>
      <c r="IM62" s="22" t="e">
        <f aca="false">AND(#REF!,"AAAAAHu///Y=")</f>
        <v>#VALUE!</v>
      </c>
      <c r="IN62" s="22" t="e">
        <f aca="false">AND(#REF!,"AAAAAHu///c=")</f>
        <v>#VALUE!</v>
      </c>
      <c r="IO62" s="22" t="e">
        <f aca="false">AND(#REF!,"AAAAAHu///g=")</f>
        <v>#VALUE!</v>
      </c>
      <c r="IP62" s="22" t="e">
        <f aca="false">AND(#REF!,"AAAAAHu///k=")</f>
        <v>#VALUE!</v>
      </c>
      <c r="IQ62" s="22" t="e">
        <f aca="false">IF(#REF!,"AAAAAHu///o=",0)</f>
        <v>#REF!</v>
      </c>
      <c r="IR62" s="22" t="e">
        <f aca="false">AND(#REF!,"AAAAAHu///s=")</f>
        <v>#VALUE!</v>
      </c>
      <c r="IS62" s="22" t="e">
        <f aca="false">AND(#REF!,"AAAAAHu///w=")</f>
        <v>#VALUE!</v>
      </c>
      <c r="IT62" s="22" t="e">
        <f aca="false">AND(#REF!,"AAAAAHu///0=")</f>
        <v>#VALUE!</v>
      </c>
      <c r="IU62" s="22" t="e">
        <f aca="false">AND(#REF!,"AAAAAHu///4=")</f>
        <v>#VALUE!</v>
      </c>
      <c r="IV62" s="22" t="e">
        <f aca="false">AND(#REF!,"AAAAAHu///8=")</f>
        <v>#VALUE!</v>
      </c>
    </row>
    <row r="63" customFormat="false" ht="12.75" hidden="false" customHeight="false" outlineLevel="0" collapsed="false">
      <c r="A63" s="22" t="e">
        <f aca="false">AND(#REF!,"AAAAAG+e2QA=")</f>
        <v>#VALUE!</v>
      </c>
      <c r="B63" s="22" t="e">
        <f aca="false">IF(#REF!,"AAAAAG+e2QE=",0)</f>
        <v>#REF!</v>
      </c>
      <c r="C63" s="22" t="e">
        <f aca="false">AND(#REF!,"AAAAAG+e2QI=")</f>
        <v>#VALUE!</v>
      </c>
      <c r="D63" s="22" t="e">
        <f aca="false">AND(#REF!,"AAAAAG+e2QM=")</f>
        <v>#VALUE!</v>
      </c>
      <c r="E63" s="22" t="e">
        <f aca="false">AND(#REF!,"AAAAAG+e2QQ=")</f>
        <v>#VALUE!</v>
      </c>
      <c r="F63" s="22" t="e">
        <f aca="false">AND(#REF!,"AAAAAG+e2QU=")</f>
        <v>#VALUE!</v>
      </c>
      <c r="G63" s="22" t="e">
        <f aca="false">AND(#REF!,"AAAAAG+e2QY=")</f>
        <v>#VALUE!</v>
      </c>
      <c r="H63" s="22" t="e">
        <f aca="false">AND(#REF!,"AAAAAG+e2Qc=")</f>
        <v>#VALUE!</v>
      </c>
      <c r="I63" s="22" t="e">
        <f aca="false">IF(#REF!,"AAAAAG+e2Qg=",0)</f>
        <v>#REF!</v>
      </c>
      <c r="J63" s="22" t="e">
        <f aca="false">AND(#REF!,"AAAAAG+e2Qk=")</f>
        <v>#VALUE!</v>
      </c>
      <c r="K63" s="22" t="e">
        <f aca="false">AND(#REF!,"AAAAAG+e2Qo=")</f>
        <v>#VALUE!</v>
      </c>
      <c r="L63" s="22" t="e">
        <f aca="false">AND(#REF!,"AAAAAG+e2Qs=")</f>
        <v>#VALUE!</v>
      </c>
      <c r="M63" s="22" t="e">
        <f aca="false">AND(#REF!,"AAAAAG+e2Qw=")</f>
        <v>#VALUE!</v>
      </c>
      <c r="N63" s="22" t="e">
        <f aca="false">AND(#REF!,"AAAAAG+e2Q0=")</f>
        <v>#VALUE!</v>
      </c>
      <c r="O63" s="22" t="e">
        <f aca="false">AND(#REF!,"AAAAAG+e2Q4=")</f>
        <v>#VALUE!</v>
      </c>
      <c r="P63" s="22" t="e">
        <f aca="false">IF(#REF!,"AAAAAG+e2Q8=",0)</f>
        <v>#REF!</v>
      </c>
      <c r="Q63" s="22" t="e">
        <f aca="false">AND(#REF!,"AAAAAG+e2RA=")</f>
        <v>#VALUE!</v>
      </c>
      <c r="R63" s="22" t="e">
        <f aca="false">AND(#REF!,"AAAAAG+e2RE=")</f>
        <v>#VALUE!</v>
      </c>
      <c r="S63" s="22" t="e">
        <f aca="false">AND(#REF!,"AAAAAG+e2RI=")</f>
        <v>#VALUE!</v>
      </c>
      <c r="T63" s="22" t="e">
        <f aca="false">AND(#REF!,"AAAAAG+e2RM=")</f>
        <v>#VALUE!</v>
      </c>
      <c r="U63" s="22" t="e">
        <f aca="false">AND(#REF!,"AAAAAG+e2RQ=")</f>
        <v>#VALUE!</v>
      </c>
      <c r="V63" s="22" t="e">
        <f aca="false">AND(#REF!,"AAAAAG+e2RU=")</f>
        <v>#VALUE!</v>
      </c>
      <c r="W63" s="22" t="e">
        <f aca="false">IF(#REF!,"AAAAAG+e2RY=",0)</f>
        <v>#REF!</v>
      </c>
      <c r="X63" s="22" t="e">
        <f aca="false">AND(#REF!,"AAAAAG+e2Rc=")</f>
        <v>#VALUE!</v>
      </c>
      <c r="Y63" s="22" t="e">
        <f aca="false">AND(#REF!,"AAAAAG+e2Rg=")</f>
        <v>#VALUE!</v>
      </c>
      <c r="Z63" s="22" t="e">
        <f aca="false">AND(#REF!,"AAAAAG+e2Rk=")</f>
        <v>#VALUE!</v>
      </c>
      <c r="AA63" s="22" t="e">
        <f aca="false">AND(#REF!,"AAAAAG+e2Ro=")</f>
        <v>#VALUE!</v>
      </c>
      <c r="AB63" s="22" t="e">
        <f aca="false">AND(#REF!,"AAAAAG+e2Rs=")</f>
        <v>#VALUE!</v>
      </c>
      <c r="AC63" s="22" t="e">
        <f aca="false">AND(#REF!,"AAAAAG+e2Rw=")</f>
        <v>#VALUE!</v>
      </c>
      <c r="AD63" s="22" t="e">
        <f aca="false">IF(#REF!,"AAAAAG+e2R0=",0)</f>
        <v>#REF!</v>
      </c>
      <c r="AE63" s="22" t="e">
        <f aca="false">AND(#REF!,"AAAAAG+e2R4=")</f>
        <v>#VALUE!</v>
      </c>
      <c r="AF63" s="22" t="e">
        <f aca="false">AND(#REF!,"AAAAAG+e2R8=")</f>
        <v>#VALUE!</v>
      </c>
      <c r="AG63" s="22" t="e">
        <f aca="false">AND(#REF!,"AAAAAG+e2SA=")</f>
        <v>#VALUE!</v>
      </c>
      <c r="AH63" s="22" t="e">
        <f aca="false">AND(#REF!,"AAAAAG+e2SE=")</f>
        <v>#VALUE!</v>
      </c>
      <c r="AI63" s="22" t="e">
        <f aca="false">AND(#REF!,"AAAAAG+e2SI=")</f>
        <v>#VALUE!</v>
      </c>
      <c r="AJ63" s="22" t="e">
        <f aca="false">AND(#REF!,"AAAAAG+e2SM=")</f>
        <v>#VALUE!</v>
      </c>
      <c r="AK63" s="22" t="e">
        <f aca="false">IF(#REF!,"AAAAAG+e2SQ=",0)</f>
        <v>#REF!</v>
      </c>
      <c r="AL63" s="22" t="e">
        <f aca="false">AND(#REF!,"AAAAAG+e2SU=")</f>
        <v>#VALUE!</v>
      </c>
      <c r="AM63" s="22" t="e">
        <f aca="false">AND(#REF!,"AAAAAG+e2SY=")</f>
        <v>#VALUE!</v>
      </c>
      <c r="AN63" s="22" t="e">
        <f aca="false">AND(#REF!,"AAAAAG+e2Sc=")</f>
        <v>#VALUE!</v>
      </c>
      <c r="AO63" s="22" t="e">
        <f aca="false">AND(#REF!,"AAAAAG+e2Sg=")</f>
        <v>#VALUE!</v>
      </c>
      <c r="AP63" s="22" t="e">
        <f aca="false">AND(#REF!,"AAAAAG+e2Sk=")</f>
        <v>#VALUE!</v>
      </c>
      <c r="AQ63" s="22" t="e">
        <f aca="false">AND(#REF!,"AAAAAG+e2So=")</f>
        <v>#VALUE!</v>
      </c>
      <c r="AR63" s="22" t="e">
        <f aca="false">IF(#REF!,"AAAAAG+e2Ss=",0)</f>
        <v>#REF!</v>
      </c>
      <c r="AS63" s="22" t="e">
        <f aca="false">AND(#REF!,"AAAAAG+e2Sw=")</f>
        <v>#VALUE!</v>
      </c>
      <c r="AT63" s="22" t="e">
        <f aca="false">AND(#REF!,"AAAAAG+e2S0=")</f>
        <v>#VALUE!</v>
      </c>
      <c r="AU63" s="22" t="e">
        <f aca="false">AND(#REF!,"AAAAAG+e2S4=")</f>
        <v>#VALUE!</v>
      </c>
      <c r="AV63" s="22" t="e">
        <f aca="false">AND(#REF!,"AAAAAG+e2S8=")</f>
        <v>#VALUE!</v>
      </c>
      <c r="AW63" s="22" t="e">
        <f aca="false">AND(#REF!,"AAAAAG+e2TA=")</f>
        <v>#VALUE!</v>
      </c>
      <c r="AX63" s="22" t="e">
        <f aca="false">AND(#REF!,"AAAAAG+e2TE=")</f>
        <v>#VALUE!</v>
      </c>
      <c r="AY63" s="22" t="e">
        <f aca="false">IF(#REF!,"AAAAAG+e2TI=",0)</f>
        <v>#REF!</v>
      </c>
      <c r="AZ63" s="22" t="e">
        <f aca="false">AND(#REF!,"AAAAAG+e2TM=")</f>
        <v>#VALUE!</v>
      </c>
      <c r="BA63" s="22" t="e">
        <f aca="false">AND(#REF!,"AAAAAG+e2TQ=")</f>
        <v>#VALUE!</v>
      </c>
      <c r="BB63" s="22" t="e">
        <f aca="false">AND(#REF!,"AAAAAG+e2TU=")</f>
        <v>#VALUE!</v>
      </c>
      <c r="BC63" s="22" t="e">
        <f aca="false">AND(#REF!,"AAAAAG+e2TY=")</f>
        <v>#VALUE!</v>
      </c>
      <c r="BD63" s="22" t="e">
        <f aca="false">AND(#REF!,"AAAAAG+e2Tc=")</f>
        <v>#VALUE!</v>
      </c>
      <c r="BE63" s="22" t="e">
        <f aca="false">AND(#REF!,"AAAAAG+e2Tg=")</f>
        <v>#VALUE!</v>
      </c>
      <c r="BF63" s="22" t="e">
        <f aca="false">IF(#REF!,"AAAAAG+e2Tk=",0)</f>
        <v>#REF!</v>
      </c>
      <c r="BG63" s="22" t="e">
        <f aca="false">AND(#REF!,"AAAAAG+e2To=")</f>
        <v>#VALUE!</v>
      </c>
      <c r="BH63" s="22" t="e">
        <f aca="false">AND(#REF!,"AAAAAG+e2Ts=")</f>
        <v>#VALUE!</v>
      </c>
      <c r="BI63" s="22" t="e">
        <f aca="false">AND(#REF!,"AAAAAG+e2Tw=")</f>
        <v>#VALUE!</v>
      </c>
      <c r="BJ63" s="22" t="e">
        <f aca="false">AND(#REF!,"AAAAAG+e2T0=")</f>
        <v>#VALUE!</v>
      </c>
      <c r="BK63" s="22" t="e">
        <f aca="false">AND(#REF!,"AAAAAG+e2T4=")</f>
        <v>#VALUE!</v>
      </c>
      <c r="BL63" s="22" t="e">
        <f aca="false">AND(#REF!,"AAAAAG+e2T8=")</f>
        <v>#VALUE!</v>
      </c>
      <c r="BM63" s="22" t="e">
        <f aca="false">IF(#REF!,"AAAAAG+e2UA=",0)</f>
        <v>#REF!</v>
      </c>
      <c r="BN63" s="22" t="e">
        <f aca="false">AND(#REF!,"AAAAAG+e2UE=")</f>
        <v>#VALUE!</v>
      </c>
      <c r="BO63" s="22" t="e">
        <f aca="false">AND(#REF!,"AAAAAG+e2UI=")</f>
        <v>#VALUE!</v>
      </c>
      <c r="BP63" s="22" t="e">
        <f aca="false">AND(#REF!,"AAAAAG+e2UM=")</f>
        <v>#VALUE!</v>
      </c>
      <c r="BQ63" s="22" t="e">
        <f aca="false">AND(#REF!,"AAAAAG+e2UQ=")</f>
        <v>#VALUE!</v>
      </c>
      <c r="BR63" s="22" t="e">
        <f aca="false">AND(#REF!,"AAAAAG+e2UU=")</f>
        <v>#VALUE!</v>
      </c>
      <c r="BS63" s="22" t="e">
        <f aca="false">AND(#REF!,"AAAAAG+e2UY=")</f>
        <v>#VALUE!</v>
      </c>
      <c r="BT63" s="22" t="e">
        <f aca="false">IF(#REF!,"AAAAAG+e2Uc=",0)</f>
        <v>#REF!</v>
      </c>
      <c r="BU63" s="22" t="e">
        <f aca="false">AND(#REF!,"AAAAAG+e2Ug=")</f>
        <v>#VALUE!</v>
      </c>
      <c r="BV63" s="22" t="e">
        <f aca="false">AND(#REF!,"AAAAAG+e2Uk=")</f>
        <v>#VALUE!</v>
      </c>
      <c r="BW63" s="22" t="e">
        <f aca="false">AND(#REF!,"AAAAAG+e2Uo=")</f>
        <v>#VALUE!</v>
      </c>
      <c r="BX63" s="22" t="e">
        <f aca="false">AND(#REF!,"AAAAAG+e2Us=")</f>
        <v>#VALUE!</v>
      </c>
      <c r="BY63" s="22" t="e">
        <f aca="false">AND(#REF!,"AAAAAG+e2Uw=")</f>
        <v>#VALUE!</v>
      </c>
      <c r="BZ63" s="22" t="e">
        <f aca="false">AND(#REF!,"AAAAAG+e2U0=")</f>
        <v>#VALUE!</v>
      </c>
      <c r="CA63" s="22" t="e">
        <f aca="false">IF(#REF!,"AAAAAG+e2U4=",0)</f>
        <v>#REF!</v>
      </c>
      <c r="CB63" s="22" t="e">
        <f aca="false">AND(#REF!,"AAAAAG+e2U8=")</f>
        <v>#VALUE!</v>
      </c>
      <c r="CC63" s="22" t="e">
        <f aca="false">AND(#REF!,"AAAAAG+e2VA=")</f>
        <v>#VALUE!</v>
      </c>
      <c r="CD63" s="22" t="e">
        <f aca="false">AND(#REF!,"AAAAAG+e2VE=")</f>
        <v>#VALUE!</v>
      </c>
      <c r="CE63" s="22" t="e">
        <f aca="false">AND(#REF!,"AAAAAG+e2VI=")</f>
        <v>#VALUE!</v>
      </c>
      <c r="CF63" s="22" t="e">
        <f aca="false">AND(#REF!,"AAAAAG+e2VM=")</f>
        <v>#VALUE!</v>
      </c>
      <c r="CG63" s="22" t="e">
        <f aca="false">AND(#REF!,"AAAAAG+e2VQ=")</f>
        <v>#VALUE!</v>
      </c>
      <c r="CH63" s="22" t="e">
        <f aca="false">IF(#REF!,"AAAAAG+e2VU=",0)</f>
        <v>#REF!</v>
      </c>
      <c r="CI63" s="22" t="e">
        <f aca="false">AND(#REF!,"AAAAAG+e2VY=")</f>
        <v>#VALUE!</v>
      </c>
      <c r="CJ63" s="22" t="e">
        <f aca="false">AND(#REF!,"AAAAAG+e2Vc=")</f>
        <v>#VALUE!</v>
      </c>
      <c r="CK63" s="22" t="e">
        <f aca="false">AND(#REF!,"AAAAAG+e2Vg=")</f>
        <v>#VALUE!</v>
      </c>
      <c r="CL63" s="22" t="e">
        <f aca="false">AND(#REF!,"AAAAAG+e2Vk=")</f>
        <v>#VALUE!</v>
      </c>
      <c r="CM63" s="22" t="e">
        <f aca="false">AND(#REF!,"AAAAAG+e2Vo=")</f>
        <v>#VALUE!</v>
      </c>
      <c r="CN63" s="22" t="e">
        <f aca="false">AND(#REF!,"AAAAAG+e2Vs=")</f>
        <v>#VALUE!</v>
      </c>
      <c r="CO63" s="22" t="e">
        <f aca="false">IF(#REF!,"AAAAAG+e2Vw=",0)</f>
        <v>#REF!</v>
      </c>
      <c r="CP63" s="22" t="e">
        <f aca="false">AND(#REF!,"AAAAAG+e2V0=")</f>
        <v>#VALUE!</v>
      </c>
      <c r="CQ63" s="22" t="e">
        <f aca="false">AND(#REF!,"AAAAAG+e2V4=")</f>
        <v>#VALUE!</v>
      </c>
      <c r="CR63" s="22" t="e">
        <f aca="false">AND(#REF!,"AAAAAG+e2V8=")</f>
        <v>#VALUE!</v>
      </c>
      <c r="CS63" s="22" t="e">
        <f aca="false">AND(#REF!,"AAAAAG+e2WA=")</f>
        <v>#VALUE!</v>
      </c>
      <c r="CT63" s="22" t="e">
        <f aca="false">AND(#REF!,"AAAAAG+e2WE=")</f>
        <v>#VALUE!</v>
      </c>
      <c r="CU63" s="22" t="e">
        <f aca="false">AND(#REF!,"AAAAAG+e2WI=")</f>
        <v>#VALUE!</v>
      </c>
      <c r="CV63" s="22" t="e">
        <f aca="false">IF(#REF!,"AAAAAG+e2WM=",0)</f>
        <v>#REF!</v>
      </c>
      <c r="CW63" s="22" t="e">
        <f aca="false">AND(#REF!,"AAAAAG+e2WQ=")</f>
        <v>#VALUE!</v>
      </c>
      <c r="CX63" s="22" t="e">
        <f aca="false">AND(#REF!,"AAAAAG+e2WU=")</f>
        <v>#VALUE!</v>
      </c>
      <c r="CY63" s="22" t="e">
        <f aca="false">AND(#REF!,"AAAAAG+e2WY=")</f>
        <v>#VALUE!</v>
      </c>
      <c r="CZ63" s="22" t="e">
        <f aca="false">AND(#REF!,"AAAAAG+e2Wc=")</f>
        <v>#VALUE!</v>
      </c>
      <c r="DA63" s="22" t="e">
        <f aca="false">AND(#REF!,"AAAAAG+e2Wg=")</f>
        <v>#VALUE!</v>
      </c>
      <c r="DB63" s="22" t="e">
        <f aca="false">AND(#REF!,"AAAAAG+e2Wk=")</f>
        <v>#VALUE!</v>
      </c>
      <c r="DC63" s="22" t="e">
        <f aca="false">IF(#REF!,"AAAAAG+e2Wo=",0)</f>
        <v>#REF!</v>
      </c>
      <c r="DD63" s="22" t="e">
        <f aca="false">AND(#REF!,"AAAAAG+e2Ws=")</f>
        <v>#VALUE!</v>
      </c>
      <c r="DE63" s="22" t="e">
        <f aca="false">AND(#REF!,"AAAAAG+e2Ww=")</f>
        <v>#VALUE!</v>
      </c>
      <c r="DF63" s="22" t="e">
        <f aca="false">AND(#REF!,"AAAAAG+e2W0=")</f>
        <v>#VALUE!</v>
      </c>
      <c r="DG63" s="22" t="e">
        <f aca="false">AND(#REF!,"AAAAAG+e2W4=")</f>
        <v>#VALUE!</v>
      </c>
      <c r="DH63" s="22" t="e">
        <f aca="false">AND(#REF!,"AAAAAG+e2W8=")</f>
        <v>#VALUE!</v>
      </c>
      <c r="DI63" s="22" t="e">
        <f aca="false">AND(#REF!,"AAAAAG+e2XA=")</f>
        <v>#VALUE!</v>
      </c>
      <c r="DJ63" s="22" t="e">
        <f aca="false">IF(#REF!,"AAAAAG+e2XE=",0)</f>
        <v>#REF!</v>
      </c>
      <c r="DK63" s="22" t="e">
        <f aca="false">AND(#REF!,"AAAAAG+e2XI=")</f>
        <v>#VALUE!</v>
      </c>
      <c r="DL63" s="22" t="e">
        <f aca="false">AND(#REF!,"AAAAAG+e2XM=")</f>
        <v>#VALUE!</v>
      </c>
      <c r="DM63" s="22" t="e">
        <f aca="false">AND(#REF!,"AAAAAG+e2XQ=")</f>
        <v>#VALUE!</v>
      </c>
      <c r="DN63" s="22" t="e">
        <f aca="false">AND(#REF!,"AAAAAG+e2XU=")</f>
        <v>#VALUE!</v>
      </c>
      <c r="DO63" s="22" t="e">
        <f aca="false">AND(#REF!,"AAAAAG+e2XY=")</f>
        <v>#VALUE!</v>
      </c>
      <c r="DP63" s="22" t="e">
        <f aca="false">AND(#REF!,"AAAAAG+e2Xc=")</f>
        <v>#VALUE!</v>
      </c>
      <c r="DQ63" s="22" t="e">
        <f aca="false">IF(#REF!,"AAAAAG+e2Xg=",0)</f>
        <v>#REF!</v>
      </c>
      <c r="DR63" s="22" t="e">
        <f aca="false">AND(#REF!,"AAAAAG+e2Xk=")</f>
        <v>#VALUE!</v>
      </c>
      <c r="DS63" s="22" t="e">
        <f aca="false">AND(#REF!,"AAAAAG+e2Xo=")</f>
        <v>#VALUE!</v>
      </c>
      <c r="DT63" s="22" t="e">
        <f aca="false">AND(#REF!,"AAAAAG+e2Xs=")</f>
        <v>#VALUE!</v>
      </c>
      <c r="DU63" s="22" t="e">
        <f aca="false">AND(#REF!,"AAAAAG+e2Xw=")</f>
        <v>#VALUE!</v>
      </c>
      <c r="DV63" s="22" t="e">
        <f aca="false">AND(#REF!,"AAAAAG+e2X0=")</f>
        <v>#VALUE!</v>
      </c>
      <c r="DW63" s="22" t="e">
        <f aca="false">AND(#REF!,"AAAAAG+e2X4=")</f>
        <v>#VALUE!</v>
      </c>
      <c r="DX63" s="22" t="e">
        <f aca="false">IF(#REF!,"AAAAAG+e2X8=",0)</f>
        <v>#REF!</v>
      </c>
      <c r="DY63" s="22" t="e">
        <f aca="false">AND(#REF!,"AAAAAG+e2YA=")</f>
        <v>#VALUE!</v>
      </c>
      <c r="DZ63" s="22" t="e">
        <f aca="false">AND(#REF!,"AAAAAG+e2YE=")</f>
        <v>#VALUE!</v>
      </c>
      <c r="EA63" s="22" t="e">
        <f aca="false">AND(#REF!,"AAAAAG+e2YI=")</f>
        <v>#VALUE!</v>
      </c>
      <c r="EB63" s="22" t="e">
        <f aca="false">AND(#REF!,"AAAAAG+e2YM=")</f>
        <v>#VALUE!</v>
      </c>
      <c r="EC63" s="22" t="e">
        <f aca="false">AND(#REF!,"AAAAAG+e2YQ=")</f>
        <v>#VALUE!</v>
      </c>
      <c r="ED63" s="22" t="e">
        <f aca="false">AND(#REF!,"AAAAAG+e2YU=")</f>
        <v>#VALUE!</v>
      </c>
      <c r="EE63" s="22" t="e">
        <f aca="false">IF(#REF!,"AAAAAG+e2YY=",0)</f>
        <v>#REF!</v>
      </c>
      <c r="EF63" s="22" t="e">
        <f aca="false">AND(#REF!,"AAAAAG+e2Yc=")</f>
        <v>#VALUE!</v>
      </c>
      <c r="EG63" s="22" t="e">
        <f aca="false">AND(#REF!,"AAAAAG+e2Yg=")</f>
        <v>#VALUE!</v>
      </c>
      <c r="EH63" s="22" t="e">
        <f aca="false">AND(#REF!,"AAAAAG+e2Yk=")</f>
        <v>#VALUE!</v>
      </c>
      <c r="EI63" s="22" t="e">
        <f aca="false">AND(#REF!,"AAAAAG+e2Yo=")</f>
        <v>#VALUE!</v>
      </c>
      <c r="EJ63" s="22" t="e">
        <f aca="false">AND(#REF!,"AAAAAG+e2Ys=")</f>
        <v>#VALUE!</v>
      </c>
      <c r="EK63" s="22" t="e">
        <f aca="false">AND(#REF!,"AAAAAG+e2Yw=")</f>
        <v>#VALUE!</v>
      </c>
      <c r="EL63" s="22" t="e">
        <f aca="false">IF(#REF!,"AAAAAG+e2Y0=",0)</f>
        <v>#REF!</v>
      </c>
      <c r="EM63" s="22" t="e">
        <f aca="false">AND(#REF!,"AAAAAG+e2Y4=")</f>
        <v>#VALUE!</v>
      </c>
      <c r="EN63" s="22" t="e">
        <f aca="false">AND(#REF!,"AAAAAG+e2Y8=")</f>
        <v>#VALUE!</v>
      </c>
      <c r="EO63" s="22" t="e">
        <f aca="false">AND(#REF!,"AAAAAG+e2ZA=")</f>
        <v>#VALUE!</v>
      </c>
      <c r="EP63" s="22" t="e">
        <f aca="false">AND(#REF!,"AAAAAG+e2ZE=")</f>
        <v>#VALUE!</v>
      </c>
      <c r="EQ63" s="22" t="e">
        <f aca="false">AND(#REF!,"AAAAAG+e2ZI=")</f>
        <v>#VALUE!</v>
      </c>
      <c r="ER63" s="22" t="e">
        <f aca="false">AND(#REF!,"AAAAAG+e2ZM=")</f>
        <v>#VALUE!</v>
      </c>
      <c r="ES63" s="22" t="e">
        <f aca="false">IF(#REF!,"AAAAAG+e2ZQ=",0)</f>
        <v>#REF!</v>
      </c>
      <c r="ET63" s="22" t="e">
        <f aca="false">AND(#REF!,"AAAAAG+e2ZU=")</f>
        <v>#VALUE!</v>
      </c>
      <c r="EU63" s="22" t="e">
        <f aca="false">AND(#REF!,"AAAAAG+e2ZY=")</f>
        <v>#VALUE!</v>
      </c>
      <c r="EV63" s="22" t="e">
        <f aca="false">AND(#REF!,"AAAAAG+e2Zc=")</f>
        <v>#VALUE!</v>
      </c>
      <c r="EW63" s="22" t="e">
        <f aca="false">AND(#REF!,"AAAAAG+e2Zg=")</f>
        <v>#VALUE!</v>
      </c>
      <c r="EX63" s="22" t="e">
        <f aca="false">AND(#REF!,"AAAAAG+e2Zk=")</f>
        <v>#VALUE!</v>
      </c>
      <c r="EY63" s="22" t="e">
        <f aca="false">AND(#REF!,"AAAAAG+e2Zo=")</f>
        <v>#VALUE!</v>
      </c>
      <c r="EZ63" s="22" t="e">
        <f aca="false">IF(#REF!,"AAAAAG+e2Zs=",0)</f>
        <v>#REF!</v>
      </c>
      <c r="FA63" s="22" t="e">
        <f aca="false">AND(#REF!,"AAAAAG+e2Zw=")</f>
        <v>#VALUE!</v>
      </c>
      <c r="FB63" s="22" t="e">
        <f aca="false">AND(#REF!,"AAAAAG+e2Z0=")</f>
        <v>#VALUE!</v>
      </c>
      <c r="FC63" s="22" t="e">
        <f aca="false">AND(#REF!,"AAAAAG+e2Z4=")</f>
        <v>#VALUE!</v>
      </c>
      <c r="FD63" s="22" t="e">
        <f aca="false">AND(#REF!,"AAAAAG+e2Z8=")</f>
        <v>#VALUE!</v>
      </c>
      <c r="FE63" s="22" t="e">
        <f aca="false">AND(#REF!,"AAAAAG+e2aA=")</f>
        <v>#VALUE!</v>
      </c>
      <c r="FF63" s="22" t="e">
        <f aca="false">AND(#REF!,"AAAAAG+e2aE=")</f>
        <v>#VALUE!</v>
      </c>
      <c r="FG63" s="22" t="e">
        <f aca="false">IF(#REF!,"AAAAAG+e2aI=",0)</f>
        <v>#REF!</v>
      </c>
      <c r="FH63" s="22" t="e">
        <f aca="false">AND(#REF!,"AAAAAG+e2aM=")</f>
        <v>#VALUE!</v>
      </c>
      <c r="FI63" s="22" t="e">
        <f aca="false">AND(#REF!,"AAAAAG+e2aQ=")</f>
        <v>#VALUE!</v>
      </c>
      <c r="FJ63" s="22" t="e">
        <f aca="false">AND(#REF!,"AAAAAG+e2aU=")</f>
        <v>#VALUE!</v>
      </c>
      <c r="FK63" s="22" t="e">
        <f aca="false">AND(#REF!,"AAAAAG+e2aY=")</f>
        <v>#VALUE!</v>
      </c>
      <c r="FL63" s="22" t="e">
        <f aca="false">AND(#REF!,"AAAAAG+e2ac=")</f>
        <v>#VALUE!</v>
      </c>
      <c r="FM63" s="22" t="e">
        <f aca="false">AND(#REF!,"AAAAAG+e2ag=")</f>
        <v>#VALUE!</v>
      </c>
      <c r="FN63" s="22" t="e">
        <f aca="false">IF(#REF!,"AAAAAG+e2ak=",0)</f>
        <v>#REF!</v>
      </c>
      <c r="FO63" s="22" t="e">
        <f aca="false">AND(#REF!,"AAAAAG+e2ao=")</f>
        <v>#VALUE!</v>
      </c>
      <c r="FP63" s="22" t="e">
        <f aca="false">AND(#REF!,"AAAAAG+e2as=")</f>
        <v>#VALUE!</v>
      </c>
      <c r="FQ63" s="22" t="e">
        <f aca="false">AND(#REF!,"AAAAAG+e2aw=")</f>
        <v>#VALUE!</v>
      </c>
      <c r="FR63" s="22" t="e">
        <f aca="false">AND(#REF!,"AAAAAG+e2a0=")</f>
        <v>#VALUE!</v>
      </c>
      <c r="FS63" s="22" t="e">
        <f aca="false">AND(#REF!,"AAAAAG+e2a4=")</f>
        <v>#VALUE!</v>
      </c>
      <c r="FT63" s="22" t="e">
        <f aca="false">AND(#REF!,"AAAAAG+e2a8=")</f>
        <v>#VALUE!</v>
      </c>
      <c r="FU63" s="22" t="e">
        <f aca="false">IF(#REF!,"AAAAAG+e2bA=",0)</f>
        <v>#REF!</v>
      </c>
      <c r="FV63" s="22" t="e">
        <f aca="false">AND(#REF!,"AAAAAG+e2bE=")</f>
        <v>#VALUE!</v>
      </c>
      <c r="FW63" s="22" t="e">
        <f aca="false">AND(#REF!,"AAAAAG+e2bI=")</f>
        <v>#VALUE!</v>
      </c>
      <c r="FX63" s="22" t="e">
        <f aca="false">AND(#REF!,"AAAAAG+e2bM=")</f>
        <v>#VALUE!</v>
      </c>
      <c r="FY63" s="22" t="e">
        <f aca="false">AND(#REF!,"AAAAAG+e2bQ=")</f>
        <v>#VALUE!</v>
      </c>
      <c r="FZ63" s="22" t="e">
        <f aca="false">AND(#REF!,"AAAAAG+e2bU=")</f>
        <v>#VALUE!</v>
      </c>
      <c r="GA63" s="22" t="e">
        <f aca="false">AND(#REF!,"AAAAAG+e2bY=")</f>
        <v>#VALUE!</v>
      </c>
      <c r="GB63" s="22" t="e">
        <f aca="false">IF(#REF!,"AAAAAG+e2bc=",0)</f>
        <v>#REF!</v>
      </c>
      <c r="GC63" s="22" t="e">
        <f aca="false">AND(#REF!,"AAAAAG+e2bg=")</f>
        <v>#VALUE!</v>
      </c>
      <c r="GD63" s="22" t="e">
        <f aca="false">AND(#REF!,"AAAAAG+e2bk=")</f>
        <v>#VALUE!</v>
      </c>
      <c r="GE63" s="22" t="e">
        <f aca="false">AND(#REF!,"AAAAAG+e2bo=")</f>
        <v>#VALUE!</v>
      </c>
      <c r="GF63" s="22" t="e">
        <f aca="false">AND(#REF!,"AAAAAG+e2bs=")</f>
        <v>#VALUE!</v>
      </c>
      <c r="GG63" s="22" t="e">
        <f aca="false">AND(#REF!,"AAAAAG+e2bw=")</f>
        <v>#VALUE!</v>
      </c>
      <c r="GH63" s="22" t="e">
        <f aca="false">AND(#REF!,"AAAAAG+e2b0=")</f>
        <v>#VALUE!</v>
      </c>
      <c r="GI63" s="22" t="e">
        <f aca="false">IF(#REF!,"AAAAAG+e2b4=",0)</f>
        <v>#REF!</v>
      </c>
      <c r="GJ63" s="22" t="e">
        <f aca="false">AND(#REF!,"AAAAAG+e2b8=")</f>
        <v>#VALUE!</v>
      </c>
      <c r="GK63" s="22" t="e">
        <f aca="false">AND(#REF!,"AAAAAG+e2cA=")</f>
        <v>#VALUE!</v>
      </c>
      <c r="GL63" s="22" t="e">
        <f aca="false">AND(#REF!,"AAAAAG+e2cE=")</f>
        <v>#VALUE!</v>
      </c>
      <c r="GM63" s="22" t="e">
        <f aca="false">AND(#REF!,"AAAAAG+e2cI=")</f>
        <v>#VALUE!</v>
      </c>
      <c r="GN63" s="22" t="e">
        <f aca="false">AND(#REF!,"AAAAAG+e2cM=")</f>
        <v>#VALUE!</v>
      </c>
      <c r="GO63" s="22" t="e">
        <f aca="false">AND(#REF!,"AAAAAG+e2cQ=")</f>
        <v>#VALUE!</v>
      </c>
      <c r="GP63" s="22" t="e">
        <f aca="false">IF(#REF!,"AAAAAG+e2cU=",0)</f>
        <v>#REF!</v>
      </c>
      <c r="GQ63" s="22" t="e">
        <f aca="false">AND(#REF!,"AAAAAG+e2cY=")</f>
        <v>#VALUE!</v>
      </c>
      <c r="GR63" s="22" t="e">
        <f aca="false">AND(#REF!,"AAAAAG+e2cc=")</f>
        <v>#VALUE!</v>
      </c>
      <c r="GS63" s="22" t="e">
        <f aca="false">AND(#REF!,"AAAAAG+e2cg=")</f>
        <v>#VALUE!</v>
      </c>
      <c r="GT63" s="22" t="e">
        <f aca="false">AND(#REF!,"AAAAAG+e2ck=")</f>
        <v>#VALUE!</v>
      </c>
      <c r="GU63" s="22" t="e">
        <f aca="false">AND(#REF!,"AAAAAG+e2co=")</f>
        <v>#VALUE!</v>
      </c>
      <c r="GV63" s="22" t="e">
        <f aca="false">AND(#REF!,"AAAAAG+e2cs=")</f>
        <v>#VALUE!</v>
      </c>
      <c r="GW63" s="22" t="e">
        <f aca="false">IF(#REF!,"AAAAAG+e2cw=",0)</f>
        <v>#REF!</v>
      </c>
      <c r="GX63" s="22" t="e">
        <f aca="false">AND(#REF!,"AAAAAG+e2c0=")</f>
        <v>#VALUE!</v>
      </c>
      <c r="GY63" s="22" t="e">
        <f aca="false">AND(#REF!,"AAAAAG+e2c4=")</f>
        <v>#VALUE!</v>
      </c>
      <c r="GZ63" s="22" t="e">
        <f aca="false">AND(#REF!,"AAAAAG+e2c8=")</f>
        <v>#VALUE!</v>
      </c>
      <c r="HA63" s="22" t="e">
        <f aca="false">AND(#REF!,"AAAAAG+e2dA=")</f>
        <v>#VALUE!</v>
      </c>
      <c r="HB63" s="22" t="e">
        <f aca="false">AND(#REF!,"AAAAAG+e2dE=")</f>
        <v>#VALUE!</v>
      </c>
      <c r="HC63" s="22" t="e">
        <f aca="false">AND(#REF!,"AAAAAG+e2dI=")</f>
        <v>#VALUE!</v>
      </c>
      <c r="HD63" s="22" t="e">
        <f aca="false">IF(#REF!,"AAAAAG+e2dM=",0)</f>
        <v>#REF!</v>
      </c>
      <c r="HE63" s="22" t="e">
        <f aca="false">AND(#REF!,"AAAAAG+e2dQ=")</f>
        <v>#VALUE!</v>
      </c>
      <c r="HF63" s="22" t="e">
        <f aca="false">AND(#REF!,"AAAAAG+e2dU=")</f>
        <v>#VALUE!</v>
      </c>
      <c r="HG63" s="22" t="e">
        <f aca="false">AND(#REF!,"AAAAAG+e2dY=")</f>
        <v>#VALUE!</v>
      </c>
      <c r="HH63" s="22" t="e">
        <f aca="false">AND(#REF!,"AAAAAG+e2dc=")</f>
        <v>#VALUE!</v>
      </c>
      <c r="HI63" s="22" t="e">
        <f aca="false">AND(#REF!,"AAAAAG+e2dg=")</f>
        <v>#VALUE!</v>
      </c>
      <c r="HJ63" s="22" t="e">
        <f aca="false">AND(#REF!,"AAAAAG+e2dk=")</f>
        <v>#VALUE!</v>
      </c>
      <c r="HK63" s="22" t="e">
        <f aca="false">IF(#REF!,"AAAAAG+e2do=",0)</f>
        <v>#REF!</v>
      </c>
      <c r="HL63" s="22" t="e">
        <f aca="false">AND(#REF!,"AAAAAG+e2ds=")</f>
        <v>#VALUE!</v>
      </c>
      <c r="HM63" s="22" t="e">
        <f aca="false">AND(#REF!,"AAAAAG+e2dw=")</f>
        <v>#VALUE!</v>
      </c>
      <c r="HN63" s="22" t="e">
        <f aca="false">AND(#REF!,"AAAAAG+e2d0=")</f>
        <v>#VALUE!</v>
      </c>
      <c r="HO63" s="22" t="e">
        <f aca="false">AND(#REF!,"AAAAAG+e2d4=")</f>
        <v>#VALUE!</v>
      </c>
      <c r="HP63" s="22" t="e">
        <f aca="false">AND(#REF!,"AAAAAG+e2d8=")</f>
        <v>#VALUE!</v>
      </c>
      <c r="HQ63" s="22" t="e">
        <f aca="false">AND(#REF!,"AAAAAG+e2eA=")</f>
        <v>#VALUE!</v>
      </c>
      <c r="HR63" s="22" t="e">
        <f aca="false">IF(#REF!,"AAAAAG+e2eE=",0)</f>
        <v>#REF!</v>
      </c>
      <c r="HS63" s="22" t="e">
        <f aca="false">AND(#REF!,"AAAAAG+e2eI=")</f>
        <v>#VALUE!</v>
      </c>
      <c r="HT63" s="22" t="e">
        <f aca="false">AND(#REF!,"AAAAAG+e2eM=")</f>
        <v>#VALUE!</v>
      </c>
      <c r="HU63" s="22" t="e">
        <f aca="false">AND(#REF!,"AAAAAG+e2eQ=")</f>
        <v>#VALUE!</v>
      </c>
      <c r="HV63" s="22" t="e">
        <f aca="false">AND(#REF!,"AAAAAG+e2eU=")</f>
        <v>#VALUE!</v>
      </c>
      <c r="HW63" s="22" t="e">
        <f aca="false">AND(#REF!,"AAAAAG+e2eY=")</f>
        <v>#VALUE!</v>
      </c>
      <c r="HX63" s="22" t="e">
        <f aca="false">AND(#REF!,"AAAAAG+e2ec=")</f>
        <v>#VALUE!</v>
      </c>
      <c r="HY63" s="22" t="e">
        <f aca="false">IF(#REF!,"AAAAAG+e2eg=",0)</f>
        <v>#REF!</v>
      </c>
      <c r="HZ63" s="22" t="e">
        <f aca="false">AND(#REF!,"AAAAAG+e2ek=")</f>
        <v>#VALUE!</v>
      </c>
      <c r="IA63" s="22" t="e">
        <f aca="false">AND(#REF!,"AAAAAG+e2eo=")</f>
        <v>#VALUE!</v>
      </c>
      <c r="IB63" s="22" t="e">
        <f aca="false">AND(#REF!,"AAAAAG+e2es=")</f>
        <v>#VALUE!</v>
      </c>
      <c r="IC63" s="22" t="e">
        <f aca="false">AND(#REF!,"AAAAAG+e2ew=")</f>
        <v>#VALUE!</v>
      </c>
      <c r="ID63" s="22" t="e">
        <f aca="false">AND(#REF!,"AAAAAG+e2e0=")</f>
        <v>#VALUE!</v>
      </c>
      <c r="IE63" s="22" t="e">
        <f aca="false">AND(#REF!,"AAAAAG+e2e4=")</f>
        <v>#VALUE!</v>
      </c>
      <c r="IF63" s="22" t="e">
        <f aca="false">IF(#REF!,"AAAAAG+e2e8=",0)</f>
        <v>#REF!</v>
      </c>
      <c r="IG63" s="22" t="e">
        <f aca="false">AND(#REF!,"AAAAAG+e2fA=")</f>
        <v>#VALUE!</v>
      </c>
      <c r="IH63" s="22" t="e">
        <f aca="false">AND(#REF!,"AAAAAG+e2fE=")</f>
        <v>#VALUE!</v>
      </c>
      <c r="II63" s="22" t="e">
        <f aca="false">AND(#REF!,"AAAAAG+e2fI=")</f>
        <v>#VALUE!</v>
      </c>
      <c r="IJ63" s="22" t="e">
        <f aca="false">AND(#REF!,"AAAAAG+e2fM=")</f>
        <v>#VALUE!</v>
      </c>
      <c r="IK63" s="22" t="e">
        <f aca="false">AND(#REF!,"AAAAAG+e2fQ=")</f>
        <v>#VALUE!</v>
      </c>
      <c r="IL63" s="22" t="e">
        <f aca="false">AND(#REF!,"AAAAAG+e2fU=")</f>
        <v>#VALUE!</v>
      </c>
      <c r="IM63" s="22" t="e">
        <f aca="false">IF(#REF!,"AAAAAG+e2fY=",0)</f>
        <v>#REF!</v>
      </c>
      <c r="IN63" s="22" t="e">
        <f aca="false">AND(#REF!,"AAAAAG+e2fc=")</f>
        <v>#VALUE!</v>
      </c>
      <c r="IO63" s="22" t="e">
        <f aca="false">AND(#REF!,"AAAAAG+e2fg=")</f>
        <v>#VALUE!</v>
      </c>
      <c r="IP63" s="22" t="e">
        <f aca="false">AND(#REF!,"AAAAAG+e2fk=")</f>
        <v>#VALUE!</v>
      </c>
      <c r="IQ63" s="22" t="e">
        <f aca="false">AND(#REF!,"AAAAAG+e2fo=")</f>
        <v>#VALUE!</v>
      </c>
      <c r="IR63" s="22" t="e">
        <f aca="false">AND(#REF!,"AAAAAG+e2fs=")</f>
        <v>#VALUE!</v>
      </c>
      <c r="IS63" s="22" t="e">
        <f aca="false">AND(#REF!,"AAAAAG+e2fw=")</f>
        <v>#VALUE!</v>
      </c>
      <c r="IT63" s="22" t="e">
        <f aca="false">IF(#REF!,"AAAAAG+e2f0=",0)</f>
        <v>#REF!</v>
      </c>
      <c r="IU63" s="22" t="e">
        <f aca="false">AND(#REF!,"AAAAAG+e2f4=")</f>
        <v>#VALUE!</v>
      </c>
      <c r="IV63" s="22" t="e">
        <f aca="false">AND(#REF!,"AAAAAG+e2f8=")</f>
        <v>#VALUE!</v>
      </c>
    </row>
    <row r="64" customFormat="false" ht="12.75" hidden="false" customHeight="false" outlineLevel="0" collapsed="false">
      <c r="A64" s="22" t="e">
        <f aca="false">AND(#REF!,"AAAAAGWOxgA=")</f>
        <v>#VALUE!</v>
      </c>
      <c r="B64" s="22" t="e">
        <f aca="false">AND(#REF!,"AAAAAGWOxgE=")</f>
        <v>#VALUE!</v>
      </c>
      <c r="C64" s="22" t="e">
        <f aca="false">AND(#REF!,"AAAAAGWOxgI=")</f>
        <v>#VALUE!</v>
      </c>
      <c r="D64" s="22" t="e">
        <f aca="false">AND(#REF!,"AAAAAGWOxgM=")</f>
        <v>#VALUE!</v>
      </c>
      <c r="E64" s="22" t="e">
        <f aca="false">IF(#REF!,"AAAAAGWOxgQ=",0)</f>
        <v>#REF!</v>
      </c>
      <c r="F64" s="22" t="e">
        <f aca="false">AND(#REF!,"AAAAAGWOxgU=")</f>
        <v>#VALUE!</v>
      </c>
      <c r="G64" s="22" t="e">
        <f aca="false">AND(#REF!,"AAAAAGWOxgY=")</f>
        <v>#VALUE!</v>
      </c>
      <c r="H64" s="22" t="e">
        <f aca="false">AND(#REF!,"AAAAAGWOxgc=")</f>
        <v>#VALUE!</v>
      </c>
      <c r="I64" s="22" t="e">
        <f aca="false">AND(#REF!,"AAAAAGWOxgg=")</f>
        <v>#VALUE!</v>
      </c>
      <c r="J64" s="22" t="e">
        <f aca="false">AND(#REF!,"AAAAAGWOxgk=")</f>
        <v>#VALUE!</v>
      </c>
      <c r="K64" s="22" t="e">
        <f aca="false">AND(#REF!,"AAAAAGWOxgo=")</f>
        <v>#VALUE!</v>
      </c>
      <c r="L64" s="22" t="e">
        <f aca="false">IF(#REF!,"AAAAAGWOxgs=",0)</f>
        <v>#REF!</v>
      </c>
      <c r="M64" s="22" t="e">
        <f aca="false">AND(#REF!,"AAAAAGWOxgw=")</f>
        <v>#VALUE!</v>
      </c>
      <c r="N64" s="22" t="e">
        <f aca="false">AND(#REF!,"AAAAAGWOxg0=")</f>
        <v>#VALUE!</v>
      </c>
      <c r="O64" s="22" t="e">
        <f aca="false">AND(#REF!,"AAAAAGWOxg4=")</f>
        <v>#VALUE!</v>
      </c>
      <c r="P64" s="22" t="e">
        <f aca="false">AND(#REF!,"AAAAAGWOxg8=")</f>
        <v>#VALUE!</v>
      </c>
      <c r="Q64" s="22" t="e">
        <f aca="false">AND(#REF!,"AAAAAGWOxhA=")</f>
        <v>#VALUE!</v>
      </c>
      <c r="R64" s="22" t="e">
        <f aca="false">AND(#REF!,"AAAAAGWOxhE=")</f>
        <v>#VALUE!</v>
      </c>
      <c r="S64" s="22" t="e">
        <f aca="false">IF(#REF!,"AAAAAGWOxhI=",0)</f>
        <v>#REF!</v>
      </c>
      <c r="T64" s="22" t="e">
        <f aca="false">AND(#REF!,"AAAAAGWOxhM=")</f>
        <v>#VALUE!</v>
      </c>
      <c r="U64" s="22" t="e">
        <f aca="false">AND(#REF!,"AAAAAGWOxhQ=")</f>
        <v>#VALUE!</v>
      </c>
      <c r="V64" s="22" t="e">
        <f aca="false">AND(#REF!,"AAAAAGWOxhU=")</f>
        <v>#VALUE!</v>
      </c>
      <c r="W64" s="22" t="e">
        <f aca="false">AND(#REF!,"AAAAAGWOxhY=")</f>
        <v>#VALUE!</v>
      </c>
      <c r="X64" s="22" t="e">
        <f aca="false">AND(#REF!,"AAAAAGWOxhc=")</f>
        <v>#VALUE!</v>
      </c>
      <c r="Y64" s="22" t="e">
        <f aca="false">AND(#REF!,"AAAAAGWOxhg=")</f>
        <v>#VALUE!</v>
      </c>
      <c r="Z64" s="22" t="e">
        <f aca="false">IF(#REF!,"AAAAAGWOxhk=",0)</f>
        <v>#REF!</v>
      </c>
      <c r="AA64" s="22" t="e">
        <f aca="false">AND(#REF!,"AAAAAGWOxho=")</f>
        <v>#VALUE!</v>
      </c>
      <c r="AB64" s="22" t="e">
        <f aca="false">AND(#REF!,"AAAAAGWOxhs=")</f>
        <v>#VALUE!</v>
      </c>
      <c r="AC64" s="22" t="e">
        <f aca="false">AND(#REF!,"AAAAAGWOxhw=")</f>
        <v>#VALUE!</v>
      </c>
      <c r="AD64" s="22" t="e">
        <f aca="false">AND(#REF!,"AAAAAGWOxh0=")</f>
        <v>#VALUE!</v>
      </c>
      <c r="AE64" s="22" t="e">
        <f aca="false">AND(#REF!,"AAAAAGWOxh4=")</f>
        <v>#VALUE!</v>
      </c>
      <c r="AF64" s="22" t="e">
        <f aca="false">AND(#REF!,"AAAAAGWOxh8=")</f>
        <v>#VALUE!</v>
      </c>
      <c r="AG64" s="22" t="e">
        <f aca="false">IF(#REF!,"AAAAAGWOxiA=",0)</f>
        <v>#REF!</v>
      </c>
      <c r="AH64" s="22" t="e">
        <f aca="false">AND(#REF!,"AAAAAGWOxiE=")</f>
        <v>#VALUE!</v>
      </c>
      <c r="AI64" s="22" t="e">
        <f aca="false">AND(#REF!,"AAAAAGWOxiI=")</f>
        <v>#VALUE!</v>
      </c>
      <c r="AJ64" s="22" t="e">
        <f aca="false">AND(#REF!,"AAAAAGWOxiM=")</f>
        <v>#VALUE!</v>
      </c>
      <c r="AK64" s="22" t="e">
        <f aca="false">AND(#REF!,"AAAAAGWOxiQ=")</f>
        <v>#VALUE!</v>
      </c>
      <c r="AL64" s="22" t="e">
        <f aca="false">AND(#REF!,"AAAAAGWOxiU=")</f>
        <v>#VALUE!</v>
      </c>
      <c r="AM64" s="22" t="e">
        <f aca="false">AND(#REF!,"AAAAAGWOxiY=")</f>
        <v>#VALUE!</v>
      </c>
      <c r="AN64" s="22" t="e">
        <f aca="false">IF(#REF!,"AAAAAGWOxic=",0)</f>
        <v>#REF!</v>
      </c>
      <c r="AO64" s="22" t="e">
        <f aca="false">AND(#REF!,"AAAAAGWOxig=")</f>
        <v>#VALUE!</v>
      </c>
      <c r="AP64" s="22" t="e">
        <f aca="false">AND(#REF!,"AAAAAGWOxik=")</f>
        <v>#VALUE!</v>
      </c>
      <c r="AQ64" s="22" t="e">
        <f aca="false">AND(#REF!,"AAAAAGWOxio=")</f>
        <v>#VALUE!</v>
      </c>
      <c r="AR64" s="22" t="e">
        <f aca="false">AND(#REF!,"AAAAAGWOxis=")</f>
        <v>#VALUE!</v>
      </c>
      <c r="AS64" s="22" t="e">
        <f aca="false">AND(#REF!,"AAAAAGWOxiw=")</f>
        <v>#VALUE!</v>
      </c>
      <c r="AT64" s="22" t="e">
        <f aca="false">AND(#REF!,"AAAAAGWOxi0=")</f>
        <v>#VALUE!</v>
      </c>
      <c r="AU64" s="22" t="e">
        <f aca="false">IF(#REF!,"AAAAAGWOxi4=",0)</f>
        <v>#REF!</v>
      </c>
      <c r="AV64" s="22" t="e">
        <f aca="false">AND(#REF!,"AAAAAGWOxi8=")</f>
        <v>#VALUE!</v>
      </c>
      <c r="AW64" s="22" t="e">
        <f aca="false">AND(#REF!,"AAAAAGWOxjA=")</f>
        <v>#VALUE!</v>
      </c>
      <c r="AX64" s="22" t="e">
        <f aca="false">AND(#REF!,"AAAAAGWOxjE=")</f>
        <v>#VALUE!</v>
      </c>
      <c r="AY64" s="22" t="e">
        <f aca="false">AND(#REF!,"AAAAAGWOxjI=")</f>
        <v>#VALUE!</v>
      </c>
      <c r="AZ64" s="22" t="e">
        <f aca="false">AND(#REF!,"AAAAAGWOxjM=")</f>
        <v>#VALUE!</v>
      </c>
      <c r="BA64" s="22" t="e">
        <f aca="false">AND(#REF!,"AAAAAGWOxjQ=")</f>
        <v>#VALUE!</v>
      </c>
      <c r="BB64" s="22" t="e">
        <f aca="false">IF(#REF!,"AAAAAGWOxjU=",0)</f>
        <v>#REF!</v>
      </c>
      <c r="BC64" s="22" t="e">
        <f aca="false">AND(#REF!,"AAAAAGWOxjY=")</f>
        <v>#VALUE!</v>
      </c>
      <c r="BD64" s="22" t="e">
        <f aca="false">AND(#REF!,"AAAAAGWOxjc=")</f>
        <v>#VALUE!</v>
      </c>
      <c r="BE64" s="22" t="e">
        <f aca="false">AND(#REF!,"AAAAAGWOxjg=")</f>
        <v>#VALUE!</v>
      </c>
      <c r="BF64" s="22" t="e">
        <f aca="false">AND(#REF!,"AAAAAGWOxjk=")</f>
        <v>#VALUE!</v>
      </c>
      <c r="BG64" s="22" t="e">
        <f aca="false">AND(#REF!,"AAAAAGWOxjo=")</f>
        <v>#VALUE!</v>
      </c>
      <c r="BH64" s="22" t="e">
        <f aca="false">AND(#REF!,"AAAAAGWOxjs=")</f>
        <v>#VALUE!</v>
      </c>
      <c r="BI64" s="22" t="e">
        <f aca="false">IF(#REF!,"AAAAAGWOxjw=",0)</f>
        <v>#REF!</v>
      </c>
      <c r="BJ64" s="22" t="e">
        <f aca="false">AND(#REF!,"AAAAAGWOxj0=")</f>
        <v>#VALUE!</v>
      </c>
      <c r="BK64" s="22" t="e">
        <f aca="false">AND(#REF!,"AAAAAGWOxj4=")</f>
        <v>#VALUE!</v>
      </c>
      <c r="BL64" s="22" t="e">
        <f aca="false">AND(#REF!,"AAAAAGWOxj8=")</f>
        <v>#VALUE!</v>
      </c>
      <c r="BM64" s="22" t="e">
        <f aca="false">AND(#REF!,"AAAAAGWOxkA=")</f>
        <v>#VALUE!</v>
      </c>
      <c r="BN64" s="22" t="e">
        <f aca="false">AND(#REF!,"AAAAAGWOxkE=")</f>
        <v>#VALUE!</v>
      </c>
      <c r="BO64" s="22" t="e">
        <f aca="false">AND(#REF!,"AAAAAGWOxkI=")</f>
        <v>#VALUE!</v>
      </c>
      <c r="BP64" s="22" t="e">
        <f aca="false">IF(#REF!,"AAAAAGWOxkM=",0)</f>
        <v>#REF!</v>
      </c>
      <c r="BQ64" s="22" t="e">
        <f aca="false">AND(#REF!,"AAAAAGWOxkQ=")</f>
        <v>#VALUE!</v>
      </c>
      <c r="BR64" s="22" t="e">
        <f aca="false">AND(#REF!,"AAAAAGWOxkU=")</f>
        <v>#VALUE!</v>
      </c>
      <c r="BS64" s="22" t="e">
        <f aca="false">AND(#REF!,"AAAAAGWOxkY=")</f>
        <v>#VALUE!</v>
      </c>
      <c r="BT64" s="22" t="e">
        <f aca="false">AND(#REF!,"AAAAAGWOxkc=")</f>
        <v>#VALUE!</v>
      </c>
      <c r="BU64" s="22" t="e">
        <f aca="false">AND(#REF!,"AAAAAGWOxkg=")</f>
        <v>#VALUE!</v>
      </c>
      <c r="BV64" s="22" t="e">
        <f aca="false">AND(#REF!,"AAAAAGWOxkk=")</f>
        <v>#VALUE!</v>
      </c>
      <c r="BW64" s="22" t="e">
        <f aca="false">IF(#REF!,"AAAAAGWOxko=",0)</f>
        <v>#REF!</v>
      </c>
      <c r="BX64" s="22" t="e">
        <f aca="false">AND(#REF!,"AAAAAGWOxks=")</f>
        <v>#VALUE!</v>
      </c>
      <c r="BY64" s="22" t="e">
        <f aca="false">AND(#REF!,"AAAAAGWOxkw=")</f>
        <v>#VALUE!</v>
      </c>
      <c r="BZ64" s="22" t="e">
        <f aca="false">AND(#REF!,"AAAAAGWOxk0=")</f>
        <v>#VALUE!</v>
      </c>
      <c r="CA64" s="22" t="e">
        <f aca="false">AND(#REF!,"AAAAAGWOxk4=")</f>
        <v>#VALUE!</v>
      </c>
      <c r="CB64" s="22" t="e">
        <f aca="false">AND(#REF!,"AAAAAGWOxk8=")</f>
        <v>#VALUE!</v>
      </c>
      <c r="CC64" s="22" t="e">
        <f aca="false">AND(#REF!,"AAAAAGWOxlA=")</f>
        <v>#VALUE!</v>
      </c>
      <c r="CD64" s="22" t="e">
        <f aca="false">IF(#REF!,"AAAAAGWOxlE=",0)</f>
        <v>#REF!</v>
      </c>
      <c r="CE64" s="22" t="e">
        <f aca="false">AND(#REF!,"AAAAAGWOxlI=")</f>
        <v>#VALUE!</v>
      </c>
      <c r="CF64" s="22" t="e">
        <f aca="false">AND(#REF!,"AAAAAGWOxlM=")</f>
        <v>#VALUE!</v>
      </c>
      <c r="CG64" s="22" t="e">
        <f aca="false">AND(#REF!,"AAAAAGWOxlQ=")</f>
        <v>#VALUE!</v>
      </c>
      <c r="CH64" s="22" t="e">
        <f aca="false">AND(#REF!,"AAAAAGWOxlU=")</f>
        <v>#VALUE!</v>
      </c>
      <c r="CI64" s="22" t="e">
        <f aca="false">AND(#REF!,"AAAAAGWOxlY=")</f>
        <v>#VALUE!</v>
      </c>
      <c r="CJ64" s="22" t="e">
        <f aca="false">AND(#REF!,"AAAAAGWOxlc=")</f>
        <v>#VALUE!</v>
      </c>
      <c r="CK64" s="22" t="e">
        <f aca="false">IF(#REF!,"AAAAAGWOxlg=",0)</f>
        <v>#REF!</v>
      </c>
      <c r="CL64" s="22" t="e">
        <f aca="false">AND(#REF!,"AAAAAGWOxlk=")</f>
        <v>#VALUE!</v>
      </c>
      <c r="CM64" s="22" t="e">
        <f aca="false">AND(#REF!,"AAAAAGWOxlo=")</f>
        <v>#VALUE!</v>
      </c>
      <c r="CN64" s="22" t="e">
        <f aca="false">AND(#REF!,"AAAAAGWOxls=")</f>
        <v>#VALUE!</v>
      </c>
      <c r="CO64" s="22" t="e">
        <f aca="false">AND(#REF!,"AAAAAGWOxlw=")</f>
        <v>#VALUE!</v>
      </c>
      <c r="CP64" s="22" t="e">
        <f aca="false">AND(#REF!,"AAAAAGWOxl0=")</f>
        <v>#VALUE!</v>
      </c>
      <c r="CQ64" s="22" t="e">
        <f aca="false">AND(#REF!,"AAAAAGWOxl4=")</f>
        <v>#VALUE!</v>
      </c>
      <c r="CR64" s="22" t="e">
        <f aca="false">IF(#REF!,"AAAAAGWOxl8=",0)</f>
        <v>#REF!</v>
      </c>
      <c r="CS64" s="22" t="e">
        <f aca="false">AND(#REF!,"AAAAAGWOxmA=")</f>
        <v>#VALUE!</v>
      </c>
      <c r="CT64" s="22" t="e">
        <f aca="false">AND(#REF!,"AAAAAGWOxmE=")</f>
        <v>#VALUE!</v>
      </c>
      <c r="CU64" s="22" t="e">
        <f aca="false">AND(#REF!,"AAAAAGWOxmI=")</f>
        <v>#VALUE!</v>
      </c>
      <c r="CV64" s="22" t="e">
        <f aca="false">AND(#REF!,"AAAAAGWOxmM=")</f>
        <v>#VALUE!</v>
      </c>
      <c r="CW64" s="22" t="e">
        <f aca="false">AND(#REF!,"AAAAAGWOxmQ=")</f>
        <v>#VALUE!</v>
      </c>
      <c r="CX64" s="22" t="e">
        <f aca="false">AND(#REF!,"AAAAAGWOxmU=")</f>
        <v>#VALUE!</v>
      </c>
      <c r="CY64" s="22" t="e">
        <f aca="false">IF(#REF!,"AAAAAGWOxmY=",0)</f>
        <v>#REF!</v>
      </c>
      <c r="CZ64" s="22" t="e">
        <f aca="false">AND(#REF!,"AAAAAGWOxmc=")</f>
        <v>#VALUE!</v>
      </c>
      <c r="DA64" s="22" t="e">
        <f aca="false">AND(#REF!,"AAAAAGWOxmg=")</f>
        <v>#VALUE!</v>
      </c>
      <c r="DB64" s="22" t="e">
        <f aca="false">AND(#REF!,"AAAAAGWOxmk=")</f>
        <v>#VALUE!</v>
      </c>
      <c r="DC64" s="22" t="e">
        <f aca="false">AND(#REF!,"AAAAAGWOxmo=")</f>
        <v>#VALUE!</v>
      </c>
      <c r="DD64" s="22" t="e">
        <f aca="false">AND(#REF!,"AAAAAGWOxms=")</f>
        <v>#VALUE!</v>
      </c>
      <c r="DE64" s="22" t="e">
        <f aca="false">AND(#REF!,"AAAAAGWOxmw=")</f>
        <v>#VALUE!</v>
      </c>
      <c r="DF64" s="22" t="e">
        <f aca="false">IF(#REF!,"AAAAAGWOxm0=",0)</f>
        <v>#REF!</v>
      </c>
      <c r="DG64" s="22" t="e">
        <f aca="false">AND(#REF!,"AAAAAGWOxm4=")</f>
        <v>#VALUE!</v>
      </c>
      <c r="DH64" s="22" t="e">
        <f aca="false">AND(#REF!,"AAAAAGWOxm8=")</f>
        <v>#VALUE!</v>
      </c>
      <c r="DI64" s="22" t="e">
        <f aca="false">AND(#REF!,"AAAAAGWOxnA=")</f>
        <v>#VALUE!</v>
      </c>
      <c r="DJ64" s="22" t="e">
        <f aca="false">AND(#REF!,"AAAAAGWOxnE=")</f>
        <v>#VALUE!</v>
      </c>
      <c r="DK64" s="22" t="e">
        <f aca="false">AND(#REF!,"AAAAAGWOxnI=")</f>
        <v>#VALUE!</v>
      </c>
      <c r="DL64" s="22" t="e">
        <f aca="false">AND(#REF!,"AAAAAGWOxnM=")</f>
        <v>#VALUE!</v>
      </c>
      <c r="DM64" s="22" t="e">
        <f aca="false">IF(#REF!,"AAAAAGWOxnQ=",0)</f>
        <v>#REF!</v>
      </c>
      <c r="DN64" s="22" t="e">
        <f aca="false">AND(#REF!,"AAAAAGWOxnU=")</f>
        <v>#VALUE!</v>
      </c>
      <c r="DO64" s="22" t="e">
        <f aca="false">AND(#REF!,"AAAAAGWOxnY=")</f>
        <v>#VALUE!</v>
      </c>
      <c r="DP64" s="22" t="e">
        <f aca="false">AND(#REF!,"AAAAAGWOxnc=")</f>
        <v>#VALUE!</v>
      </c>
      <c r="DQ64" s="22" t="e">
        <f aca="false">AND(#REF!,"AAAAAGWOxng=")</f>
        <v>#VALUE!</v>
      </c>
      <c r="DR64" s="22" t="e">
        <f aca="false">AND(#REF!,"AAAAAGWOxnk=")</f>
        <v>#VALUE!</v>
      </c>
      <c r="DS64" s="22" t="e">
        <f aca="false">AND(#REF!,"AAAAAGWOxno=")</f>
        <v>#VALUE!</v>
      </c>
      <c r="DT64" s="22" t="e">
        <f aca="false">IF(#REF!,"AAAAAGWOxns=",0)</f>
        <v>#REF!</v>
      </c>
      <c r="DU64" s="22" t="e">
        <f aca="false">AND(#REF!,"AAAAAGWOxnw=")</f>
        <v>#VALUE!</v>
      </c>
      <c r="DV64" s="22" t="e">
        <f aca="false">AND(#REF!,"AAAAAGWOxn0=")</f>
        <v>#VALUE!</v>
      </c>
      <c r="DW64" s="22" t="e">
        <f aca="false">AND(#REF!,"AAAAAGWOxn4=")</f>
        <v>#VALUE!</v>
      </c>
      <c r="DX64" s="22" t="e">
        <f aca="false">AND(#REF!,"AAAAAGWOxn8=")</f>
        <v>#VALUE!</v>
      </c>
      <c r="DY64" s="22" t="e">
        <f aca="false">AND(#REF!,"AAAAAGWOxoA=")</f>
        <v>#VALUE!</v>
      </c>
      <c r="DZ64" s="22" t="e">
        <f aca="false">AND(#REF!,"AAAAAGWOxoE=")</f>
        <v>#VALUE!</v>
      </c>
      <c r="EA64" s="22" t="e">
        <f aca="false">IF(#REF!,"AAAAAGWOxoI=",0)</f>
        <v>#REF!</v>
      </c>
      <c r="EB64" s="22" t="e">
        <f aca="false">AND(#REF!,"AAAAAGWOxoM=")</f>
        <v>#VALUE!</v>
      </c>
      <c r="EC64" s="22" t="e">
        <f aca="false">AND(#REF!,"AAAAAGWOxoQ=")</f>
        <v>#VALUE!</v>
      </c>
      <c r="ED64" s="22" t="e">
        <f aca="false">AND(#REF!,"AAAAAGWOxoU=")</f>
        <v>#VALUE!</v>
      </c>
      <c r="EE64" s="22" t="e">
        <f aca="false">AND(#REF!,"AAAAAGWOxoY=")</f>
        <v>#VALUE!</v>
      </c>
      <c r="EF64" s="22" t="e">
        <f aca="false">AND(#REF!,"AAAAAGWOxoc=")</f>
        <v>#VALUE!</v>
      </c>
      <c r="EG64" s="22" t="e">
        <f aca="false">AND(#REF!,"AAAAAGWOxog=")</f>
        <v>#VALUE!</v>
      </c>
      <c r="EH64" s="22" t="e">
        <f aca="false">IF(#REF!,"AAAAAGWOxok=",0)</f>
        <v>#REF!</v>
      </c>
      <c r="EI64" s="22" t="e">
        <f aca="false">AND(#REF!,"AAAAAGWOxoo=")</f>
        <v>#VALUE!</v>
      </c>
      <c r="EJ64" s="22" t="e">
        <f aca="false">AND(#REF!,"AAAAAGWOxos=")</f>
        <v>#VALUE!</v>
      </c>
      <c r="EK64" s="22" t="e">
        <f aca="false">AND(#REF!,"AAAAAGWOxow=")</f>
        <v>#VALUE!</v>
      </c>
      <c r="EL64" s="22" t="e">
        <f aca="false">AND(#REF!,"AAAAAGWOxo0=")</f>
        <v>#VALUE!</v>
      </c>
      <c r="EM64" s="22" t="e">
        <f aca="false">AND(#REF!,"AAAAAGWOxo4=")</f>
        <v>#VALUE!</v>
      </c>
      <c r="EN64" s="22" t="e">
        <f aca="false">AND(#REF!,"AAAAAGWOxo8=")</f>
        <v>#VALUE!</v>
      </c>
      <c r="EO64" s="22" t="e">
        <f aca="false">IF(#REF!,"AAAAAGWOxpA=",0)</f>
        <v>#REF!</v>
      </c>
      <c r="EP64" s="22" t="e">
        <f aca="false">AND(#REF!,"AAAAAGWOxpE=")</f>
        <v>#VALUE!</v>
      </c>
      <c r="EQ64" s="22" t="e">
        <f aca="false">AND(#REF!,"AAAAAGWOxpI=")</f>
        <v>#VALUE!</v>
      </c>
      <c r="ER64" s="22" t="e">
        <f aca="false">AND(#REF!,"AAAAAGWOxpM=")</f>
        <v>#VALUE!</v>
      </c>
      <c r="ES64" s="22" t="e">
        <f aca="false">AND(#REF!,"AAAAAGWOxpQ=")</f>
        <v>#VALUE!</v>
      </c>
      <c r="ET64" s="22" t="e">
        <f aca="false">AND(#REF!,"AAAAAGWOxpU=")</f>
        <v>#VALUE!</v>
      </c>
      <c r="EU64" s="22" t="e">
        <f aca="false">AND(#REF!,"AAAAAGWOxpY=")</f>
        <v>#VALUE!</v>
      </c>
      <c r="EV64" s="22" t="e">
        <f aca="false">IF(#REF!,"AAAAAGWOxpc=",0)</f>
        <v>#REF!</v>
      </c>
      <c r="EW64" s="22" t="e">
        <f aca="false">AND(#REF!,"AAAAAGWOxpg=")</f>
        <v>#VALUE!</v>
      </c>
      <c r="EX64" s="22" t="e">
        <f aca="false">AND(#REF!,"AAAAAGWOxpk=")</f>
        <v>#VALUE!</v>
      </c>
      <c r="EY64" s="22" t="e">
        <f aca="false">AND(#REF!,"AAAAAGWOxpo=")</f>
        <v>#VALUE!</v>
      </c>
      <c r="EZ64" s="22" t="e">
        <f aca="false">AND(#REF!,"AAAAAGWOxps=")</f>
        <v>#VALUE!</v>
      </c>
      <c r="FA64" s="22" t="e">
        <f aca="false">AND(#REF!,"AAAAAGWOxpw=")</f>
        <v>#VALUE!</v>
      </c>
      <c r="FB64" s="22" t="e">
        <f aca="false">AND(#REF!,"AAAAAGWOxp0=")</f>
        <v>#VALUE!</v>
      </c>
      <c r="FC64" s="22" t="e">
        <f aca="false">IF(#REF!,"AAAAAGWOxp4=",0)</f>
        <v>#REF!</v>
      </c>
      <c r="FD64" s="22" t="e">
        <f aca="false">AND(#REF!,"AAAAAGWOxp8=")</f>
        <v>#VALUE!</v>
      </c>
      <c r="FE64" s="22" t="e">
        <f aca="false">AND(#REF!,"AAAAAGWOxqA=")</f>
        <v>#VALUE!</v>
      </c>
      <c r="FF64" s="22" t="e">
        <f aca="false">AND(#REF!,"AAAAAGWOxqE=")</f>
        <v>#VALUE!</v>
      </c>
      <c r="FG64" s="22" t="e">
        <f aca="false">AND(#REF!,"AAAAAGWOxqI=")</f>
        <v>#VALUE!</v>
      </c>
      <c r="FH64" s="22" t="e">
        <f aca="false">AND(#REF!,"AAAAAGWOxqM=")</f>
        <v>#VALUE!</v>
      </c>
      <c r="FI64" s="22" t="e">
        <f aca="false">AND(#REF!,"AAAAAGWOxqQ=")</f>
        <v>#VALUE!</v>
      </c>
      <c r="FJ64" s="22" t="e">
        <f aca="false">IF(#REF!,"AAAAAGWOxqU=",0)</f>
        <v>#REF!</v>
      </c>
      <c r="FK64" s="22" t="e">
        <f aca="false">AND(#REF!,"AAAAAGWOxqY=")</f>
        <v>#VALUE!</v>
      </c>
      <c r="FL64" s="22" t="e">
        <f aca="false">AND(#REF!,"AAAAAGWOxqc=")</f>
        <v>#VALUE!</v>
      </c>
      <c r="FM64" s="22" t="e">
        <f aca="false">AND(#REF!,"AAAAAGWOxqg=")</f>
        <v>#VALUE!</v>
      </c>
      <c r="FN64" s="22" t="e">
        <f aca="false">AND(#REF!,"AAAAAGWOxqk=")</f>
        <v>#VALUE!</v>
      </c>
      <c r="FO64" s="22" t="e">
        <f aca="false">AND(#REF!,"AAAAAGWOxqo=")</f>
        <v>#VALUE!</v>
      </c>
      <c r="FP64" s="22" t="e">
        <f aca="false">AND(#REF!,"AAAAAGWOxqs=")</f>
        <v>#VALUE!</v>
      </c>
      <c r="FQ64" s="22" t="e">
        <f aca="false">IF(#REF!,"AAAAAGWOxqw=",0)</f>
        <v>#REF!</v>
      </c>
      <c r="FR64" s="22" t="e">
        <f aca="false">AND(#REF!,"AAAAAGWOxq0=")</f>
        <v>#VALUE!</v>
      </c>
      <c r="FS64" s="22" t="e">
        <f aca="false">AND(#REF!,"AAAAAGWOxq4=")</f>
        <v>#VALUE!</v>
      </c>
      <c r="FT64" s="22" t="e">
        <f aca="false">AND(#REF!,"AAAAAGWOxq8=")</f>
        <v>#VALUE!</v>
      </c>
      <c r="FU64" s="22" t="e">
        <f aca="false">AND(#REF!,"AAAAAGWOxrA=")</f>
        <v>#VALUE!</v>
      </c>
      <c r="FV64" s="22" t="e">
        <f aca="false">AND(#REF!,"AAAAAGWOxrE=")</f>
        <v>#VALUE!</v>
      </c>
      <c r="FW64" s="22" t="e">
        <f aca="false">AND(#REF!,"AAAAAGWOxrI=")</f>
        <v>#VALUE!</v>
      </c>
      <c r="FX64" s="22" t="e">
        <f aca="false">IF(#REF!,"AAAAAGWOxrM=",0)</f>
        <v>#REF!</v>
      </c>
      <c r="FY64" s="22" t="e">
        <f aca="false">AND(#REF!,"AAAAAGWOxrQ=")</f>
        <v>#VALUE!</v>
      </c>
      <c r="FZ64" s="22" t="e">
        <f aca="false">AND(#REF!,"AAAAAGWOxrU=")</f>
        <v>#VALUE!</v>
      </c>
      <c r="GA64" s="22" t="e">
        <f aca="false">AND(#REF!,"AAAAAGWOxrY=")</f>
        <v>#VALUE!</v>
      </c>
      <c r="GB64" s="22" t="e">
        <f aca="false">AND(#REF!,"AAAAAGWOxrc=")</f>
        <v>#VALUE!</v>
      </c>
      <c r="GC64" s="22" t="e">
        <f aca="false">AND(#REF!,"AAAAAGWOxrg=")</f>
        <v>#VALUE!</v>
      </c>
      <c r="GD64" s="22" t="e">
        <f aca="false">AND(#REF!,"AAAAAGWOxrk=")</f>
        <v>#VALUE!</v>
      </c>
      <c r="GE64" s="22" t="e">
        <f aca="false">IF(#REF!,"AAAAAGWOxro=",0)</f>
        <v>#REF!</v>
      </c>
      <c r="GF64" s="22" t="e">
        <f aca="false">AND(#REF!,"AAAAAGWOxrs=")</f>
        <v>#VALUE!</v>
      </c>
      <c r="GG64" s="22" t="e">
        <f aca="false">AND(#REF!,"AAAAAGWOxrw=")</f>
        <v>#VALUE!</v>
      </c>
      <c r="GH64" s="22" t="e">
        <f aca="false">AND(#REF!,"AAAAAGWOxr0=")</f>
        <v>#VALUE!</v>
      </c>
      <c r="GI64" s="22" t="e">
        <f aca="false">AND(#REF!,"AAAAAGWOxr4=")</f>
        <v>#VALUE!</v>
      </c>
      <c r="GJ64" s="22" t="e">
        <f aca="false">AND(#REF!,"AAAAAGWOxr8=")</f>
        <v>#VALUE!</v>
      </c>
      <c r="GK64" s="22" t="e">
        <f aca="false">AND(#REF!,"AAAAAGWOxsA=")</f>
        <v>#VALUE!</v>
      </c>
      <c r="GL64" s="22" t="e">
        <f aca="false">IF(#REF!,"AAAAAGWOxsE=",0)</f>
        <v>#REF!</v>
      </c>
      <c r="GM64" s="22" t="e">
        <f aca="false">AND(#REF!,"AAAAAGWOxsI=")</f>
        <v>#VALUE!</v>
      </c>
      <c r="GN64" s="22" t="e">
        <f aca="false">AND(#REF!,"AAAAAGWOxsM=")</f>
        <v>#VALUE!</v>
      </c>
      <c r="GO64" s="22" t="e">
        <f aca="false">AND(#REF!,"AAAAAGWOxsQ=")</f>
        <v>#VALUE!</v>
      </c>
      <c r="GP64" s="22" t="e">
        <f aca="false">AND(#REF!,"AAAAAGWOxsU=")</f>
        <v>#VALUE!</v>
      </c>
      <c r="GQ64" s="22" t="e">
        <f aca="false">AND(#REF!,"AAAAAGWOxsY=")</f>
        <v>#VALUE!</v>
      </c>
      <c r="GR64" s="22" t="e">
        <f aca="false">AND(#REF!,"AAAAAGWOxsc=")</f>
        <v>#VALUE!</v>
      </c>
      <c r="GS64" s="22" t="e">
        <f aca="false">IF(#REF!,"AAAAAGWOxsg=",0)</f>
        <v>#REF!</v>
      </c>
      <c r="GT64" s="22" t="e">
        <f aca="false">AND(#REF!,"AAAAAGWOxsk=")</f>
        <v>#VALUE!</v>
      </c>
      <c r="GU64" s="22" t="e">
        <f aca="false">AND(#REF!,"AAAAAGWOxso=")</f>
        <v>#VALUE!</v>
      </c>
      <c r="GV64" s="22" t="e">
        <f aca="false">AND(#REF!,"AAAAAGWOxss=")</f>
        <v>#VALUE!</v>
      </c>
      <c r="GW64" s="22" t="e">
        <f aca="false">AND(#REF!,"AAAAAGWOxsw=")</f>
        <v>#VALUE!</v>
      </c>
      <c r="GX64" s="22" t="e">
        <f aca="false">AND(#REF!,"AAAAAGWOxs0=")</f>
        <v>#VALUE!</v>
      </c>
      <c r="GY64" s="22" t="e">
        <f aca="false">AND(#REF!,"AAAAAGWOxs4=")</f>
        <v>#VALUE!</v>
      </c>
      <c r="GZ64" s="22" t="e">
        <f aca="false">IF(#REF!,"AAAAAGWOxs8=",0)</f>
        <v>#REF!</v>
      </c>
      <c r="HA64" s="22" t="e">
        <f aca="false">AND(#REF!,"AAAAAGWOxtA=")</f>
        <v>#VALUE!</v>
      </c>
      <c r="HB64" s="22" t="e">
        <f aca="false">AND(#REF!,"AAAAAGWOxtE=")</f>
        <v>#VALUE!</v>
      </c>
      <c r="HC64" s="22" t="e">
        <f aca="false">AND(#REF!,"AAAAAGWOxtI=")</f>
        <v>#VALUE!</v>
      </c>
      <c r="HD64" s="22" t="e">
        <f aca="false">AND(#REF!,"AAAAAGWOxtM=")</f>
        <v>#VALUE!</v>
      </c>
      <c r="HE64" s="22" t="e">
        <f aca="false">AND(#REF!,"AAAAAGWOxtQ=")</f>
        <v>#VALUE!</v>
      </c>
      <c r="HF64" s="22" t="e">
        <f aca="false">AND(#REF!,"AAAAAGWOxtU=")</f>
        <v>#VALUE!</v>
      </c>
      <c r="HG64" s="22" t="e">
        <f aca="false">IF(#REF!,"AAAAAGWOxtY=",0)</f>
        <v>#REF!</v>
      </c>
      <c r="HH64" s="22" t="e">
        <f aca="false">AND(#REF!,"AAAAAGWOxtc=")</f>
        <v>#VALUE!</v>
      </c>
      <c r="HI64" s="22" t="e">
        <f aca="false">AND(#REF!,"AAAAAGWOxtg=")</f>
        <v>#VALUE!</v>
      </c>
      <c r="HJ64" s="22" t="e">
        <f aca="false">AND(#REF!,"AAAAAGWOxtk=")</f>
        <v>#VALUE!</v>
      </c>
      <c r="HK64" s="22" t="e">
        <f aca="false">AND(#REF!,"AAAAAGWOxto=")</f>
        <v>#VALUE!</v>
      </c>
      <c r="HL64" s="22" t="e">
        <f aca="false">AND(#REF!,"AAAAAGWOxts=")</f>
        <v>#VALUE!</v>
      </c>
      <c r="HM64" s="22" t="e">
        <f aca="false">AND(#REF!,"AAAAAGWOxtw=")</f>
        <v>#VALUE!</v>
      </c>
      <c r="HN64" s="22" t="e">
        <f aca="false">IF(#REF!,"AAAAAGWOxt0=",0)</f>
        <v>#REF!</v>
      </c>
      <c r="HO64" s="22" t="e">
        <f aca="false">AND(#REF!,"AAAAAGWOxt4=")</f>
        <v>#VALUE!</v>
      </c>
      <c r="HP64" s="22" t="e">
        <f aca="false">AND(#REF!,"AAAAAGWOxt8=")</f>
        <v>#VALUE!</v>
      </c>
      <c r="HQ64" s="22" t="e">
        <f aca="false">AND(#REF!,"AAAAAGWOxuA=")</f>
        <v>#VALUE!</v>
      </c>
      <c r="HR64" s="22" t="e">
        <f aca="false">AND(#REF!,"AAAAAGWOxuE=")</f>
        <v>#VALUE!</v>
      </c>
      <c r="HS64" s="22" t="e">
        <f aca="false">AND(#REF!,"AAAAAGWOxuI=")</f>
        <v>#VALUE!</v>
      </c>
      <c r="HT64" s="22" t="e">
        <f aca="false">AND(#REF!,"AAAAAGWOxuM=")</f>
        <v>#VALUE!</v>
      </c>
      <c r="HU64" s="22" t="e">
        <f aca="false">IF(#REF!,"AAAAAGWOxuQ=",0)</f>
        <v>#REF!</v>
      </c>
      <c r="HV64" s="22" t="e">
        <f aca="false">AND(#REF!,"AAAAAGWOxuU=")</f>
        <v>#VALUE!</v>
      </c>
      <c r="HW64" s="22" t="e">
        <f aca="false">AND(#REF!,"AAAAAGWOxuY=")</f>
        <v>#VALUE!</v>
      </c>
      <c r="HX64" s="22" t="e">
        <f aca="false">AND(#REF!,"AAAAAGWOxuc=")</f>
        <v>#VALUE!</v>
      </c>
      <c r="HY64" s="22" t="e">
        <f aca="false">AND(#REF!,"AAAAAGWOxug=")</f>
        <v>#VALUE!</v>
      </c>
      <c r="HZ64" s="22" t="e">
        <f aca="false">AND(#REF!,"AAAAAGWOxuk=")</f>
        <v>#VALUE!</v>
      </c>
      <c r="IA64" s="22" t="e">
        <f aca="false">AND(#REF!,"AAAAAGWOxuo=")</f>
        <v>#VALUE!</v>
      </c>
      <c r="IB64" s="22" t="e">
        <f aca="false">IF(#REF!,"AAAAAGWOxus=",0)</f>
        <v>#REF!</v>
      </c>
      <c r="IC64" s="22" t="e">
        <f aca="false">AND(#REF!,"AAAAAGWOxuw=")</f>
        <v>#VALUE!</v>
      </c>
      <c r="ID64" s="22" t="e">
        <f aca="false">AND(#REF!,"AAAAAGWOxu0=")</f>
        <v>#VALUE!</v>
      </c>
      <c r="IE64" s="22" t="e">
        <f aca="false">AND(#REF!,"AAAAAGWOxu4=")</f>
        <v>#VALUE!</v>
      </c>
      <c r="IF64" s="22" t="e">
        <f aca="false">AND(#REF!,"AAAAAGWOxu8=")</f>
        <v>#VALUE!</v>
      </c>
      <c r="IG64" s="22" t="e">
        <f aca="false">AND(#REF!,"AAAAAGWOxvA=")</f>
        <v>#VALUE!</v>
      </c>
      <c r="IH64" s="22" t="e">
        <f aca="false">AND(#REF!,"AAAAAGWOxvE=")</f>
        <v>#VALUE!</v>
      </c>
      <c r="II64" s="22" t="e">
        <f aca="false">IF(#REF!,"AAAAAGWOxvI=",0)</f>
        <v>#REF!</v>
      </c>
      <c r="IJ64" s="22" t="e">
        <f aca="false">AND(#REF!,"AAAAAGWOxvM=")</f>
        <v>#VALUE!</v>
      </c>
      <c r="IK64" s="22" t="e">
        <f aca="false">AND(#REF!,"AAAAAGWOxvQ=")</f>
        <v>#VALUE!</v>
      </c>
      <c r="IL64" s="22" t="e">
        <f aca="false">AND(#REF!,"AAAAAGWOxvU=")</f>
        <v>#VALUE!</v>
      </c>
      <c r="IM64" s="22" t="e">
        <f aca="false">AND(#REF!,"AAAAAGWOxvY=")</f>
        <v>#VALUE!</v>
      </c>
      <c r="IN64" s="22" t="e">
        <f aca="false">AND(#REF!,"AAAAAGWOxvc=")</f>
        <v>#VALUE!</v>
      </c>
      <c r="IO64" s="22" t="e">
        <f aca="false">AND(#REF!,"AAAAAGWOxvg=")</f>
        <v>#VALUE!</v>
      </c>
      <c r="IP64" s="22" t="e">
        <f aca="false">IF(#REF!,"AAAAAGWOxvk=",0)</f>
        <v>#REF!</v>
      </c>
      <c r="IQ64" s="22" t="e">
        <f aca="false">AND(#REF!,"AAAAAGWOxvo=")</f>
        <v>#VALUE!</v>
      </c>
      <c r="IR64" s="22" t="e">
        <f aca="false">AND(#REF!,"AAAAAGWOxvs=")</f>
        <v>#VALUE!</v>
      </c>
      <c r="IS64" s="22" t="e">
        <f aca="false">AND(#REF!,"AAAAAGWOxvw=")</f>
        <v>#VALUE!</v>
      </c>
      <c r="IT64" s="22" t="e">
        <f aca="false">AND(#REF!,"AAAAAGWOxv0=")</f>
        <v>#VALUE!</v>
      </c>
      <c r="IU64" s="22" t="e">
        <f aca="false">AND(#REF!,"AAAAAGWOxv4=")</f>
        <v>#VALUE!</v>
      </c>
      <c r="IV64" s="22" t="e">
        <f aca="false">AND(#REF!,"AAAAAGWOxv8=")</f>
        <v>#VALUE!</v>
      </c>
    </row>
    <row r="65" customFormat="false" ht="12.75" hidden="false" customHeight="false" outlineLevel="0" collapsed="false">
      <c r="A65" s="22" t="e">
        <f aca="false">IF(#REF!,"AAAAAH+/6wA=",0)</f>
        <v>#REF!</v>
      </c>
      <c r="B65" s="22" t="e">
        <f aca="false">AND(#REF!,"AAAAAH+/6wE=")</f>
        <v>#VALUE!</v>
      </c>
      <c r="C65" s="22" t="e">
        <f aca="false">AND(#REF!,"AAAAAH+/6wI=")</f>
        <v>#VALUE!</v>
      </c>
      <c r="D65" s="22" t="e">
        <f aca="false">AND(#REF!,"AAAAAH+/6wM=")</f>
        <v>#VALUE!</v>
      </c>
      <c r="E65" s="22" t="e">
        <f aca="false">AND(#REF!,"AAAAAH+/6wQ=")</f>
        <v>#VALUE!</v>
      </c>
      <c r="F65" s="22" t="e">
        <f aca="false">AND(#REF!,"AAAAAH+/6wU=")</f>
        <v>#VALUE!</v>
      </c>
      <c r="G65" s="22" t="e">
        <f aca="false">AND(#REF!,"AAAAAH+/6wY=")</f>
        <v>#VALUE!</v>
      </c>
      <c r="H65" s="22" t="e">
        <f aca="false">IF(#REF!,"AAAAAH+/6wc=",0)</f>
        <v>#REF!</v>
      </c>
      <c r="I65" s="22" t="e">
        <f aca="false">AND(#REF!,"AAAAAH+/6wg=")</f>
        <v>#VALUE!</v>
      </c>
      <c r="J65" s="22" t="e">
        <f aca="false">AND(#REF!,"AAAAAH+/6wk=")</f>
        <v>#VALUE!</v>
      </c>
      <c r="K65" s="22" t="e">
        <f aca="false">AND(#REF!,"AAAAAH+/6wo=")</f>
        <v>#VALUE!</v>
      </c>
      <c r="L65" s="22" t="e">
        <f aca="false">AND(#REF!,"AAAAAH+/6ws=")</f>
        <v>#VALUE!</v>
      </c>
      <c r="M65" s="22" t="e">
        <f aca="false">AND(#REF!,"AAAAAH+/6ww=")</f>
        <v>#VALUE!</v>
      </c>
      <c r="N65" s="22" t="e">
        <f aca="false">AND(#REF!,"AAAAAH+/6w0=")</f>
        <v>#VALUE!</v>
      </c>
      <c r="O65" s="22" t="e">
        <f aca="false">IF(#REF!,"AAAAAH+/6w4=",0)</f>
        <v>#REF!</v>
      </c>
      <c r="P65" s="22" t="e">
        <f aca="false">AND(#REF!,"AAAAAH+/6w8=")</f>
        <v>#VALUE!</v>
      </c>
      <c r="Q65" s="22" t="e">
        <f aca="false">AND(#REF!,"AAAAAH+/6xA=")</f>
        <v>#VALUE!</v>
      </c>
      <c r="R65" s="22" t="e">
        <f aca="false">AND(#REF!,"AAAAAH+/6xE=")</f>
        <v>#VALUE!</v>
      </c>
      <c r="S65" s="22" t="e">
        <f aca="false">AND(#REF!,"AAAAAH+/6xI=")</f>
        <v>#VALUE!</v>
      </c>
      <c r="T65" s="22" t="e">
        <f aca="false">AND(#REF!,"AAAAAH+/6xM=")</f>
        <v>#VALUE!</v>
      </c>
      <c r="U65" s="22" t="e">
        <f aca="false">AND(#REF!,"AAAAAH+/6xQ=")</f>
        <v>#VALUE!</v>
      </c>
      <c r="V65" s="22" t="e">
        <f aca="false">IF(#REF!,"AAAAAH+/6xU=",0)</f>
        <v>#REF!</v>
      </c>
      <c r="W65" s="22" t="e">
        <f aca="false">AND(#REF!,"AAAAAH+/6xY=")</f>
        <v>#VALUE!</v>
      </c>
      <c r="X65" s="22" t="e">
        <f aca="false">AND(#REF!,"AAAAAH+/6xc=")</f>
        <v>#VALUE!</v>
      </c>
      <c r="Y65" s="22" t="e">
        <f aca="false">AND(#REF!,"AAAAAH+/6xg=")</f>
        <v>#VALUE!</v>
      </c>
      <c r="Z65" s="22" t="e">
        <f aca="false">AND(#REF!,"AAAAAH+/6xk=")</f>
        <v>#VALUE!</v>
      </c>
      <c r="AA65" s="22" t="e">
        <f aca="false">AND(#REF!,"AAAAAH+/6xo=")</f>
        <v>#VALUE!</v>
      </c>
      <c r="AB65" s="22" t="e">
        <f aca="false">AND(#REF!,"AAAAAH+/6xs=")</f>
        <v>#VALUE!</v>
      </c>
      <c r="AC65" s="22" t="e">
        <f aca="false">IF(#REF!,"AAAAAH+/6xw=",0)</f>
        <v>#REF!</v>
      </c>
      <c r="AD65" s="22" t="e">
        <f aca="false">AND(#REF!,"AAAAAH+/6x0=")</f>
        <v>#VALUE!</v>
      </c>
      <c r="AE65" s="22" t="e">
        <f aca="false">AND(#REF!,"AAAAAH+/6x4=")</f>
        <v>#VALUE!</v>
      </c>
      <c r="AF65" s="22" t="e">
        <f aca="false">AND(#REF!,"AAAAAH+/6x8=")</f>
        <v>#VALUE!</v>
      </c>
      <c r="AG65" s="22" t="e">
        <f aca="false">AND(#REF!,"AAAAAH+/6yA=")</f>
        <v>#VALUE!</v>
      </c>
      <c r="AH65" s="22" t="e">
        <f aca="false">AND(#REF!,"AAAAAH+/6yE=")</f>
        <v>#VALUE!</v>
      </c>
      <c r="AI65" s="22" t="e">
        <f aca="false">AND(#REF!,"AAAAAH+/6yI=")</f>
        <v>#VALUE!</v>
      </c>
      <c r="AJ65" s="22" t="e">
        <f aca="false">IF(#REF!,"AAAAAH+/6yM=",0)</f>
        <v>#REF!</v>
      </c>
      <c r="AK65" s="22" t="e">
        <f aca="false">AND(#REF!,"AAAAAH+/6yQ=")</f>
        <v>#VALUE!</v>
      </c>
      <c r="AL65" s="22" t="e">
        <f aca="false">AND(#REF!,"AAAAAH+/6yU=")</f>
        <v>#VALUE!</v>
      </c>
      <c r="AM65" s="22" t="e">
        <f aca="false">AND(#REF!,"AAAAAH+/6yY=")</f>
        <v>#VALUE!</v>
      </c>
      <c r="AN65" s="22" t="e">
        <f aca="false">AND(#REF!,"AAAAAH+/6yc=")</f>
        <v>#VALUE!</v>
      </c>
      <c r="AO65" s="22" t="e">
        <f aca="false">AND(#REF!,"AAAAAH+/6yg=")</f>
        <v>#VALUE!</v>
      </c>
      <c r="AP65" s="22" t="e">
        <f aca="false">AND(#REF!,"AAAAAH+/6yk=")</f>
        <v>#VALUE!</v>
      </c>
      <c r="AQ65" s="22" t="e">
        <f aca="false">IF(#REF!,"AAAAAH+/6yo=",0)</f>
        <v>#REF!</v>
      </c>
      <c r="AR65" s="22" t="e">
        <f aca="false">AND(#REF!,"AAAAAH+/6ys=")</f>
        <v>#VALUE!</v>
      </c>
      <c r="AS65" s="22" t="e">
        <f aca="false">AND(#REF!,"AAAAAH+/6yw=")</f>
        <v>#VALUE!</v>
      </c>
      <c r="AT65" s="22" t="e">
        <f aca="false">AND(#REF!,"AAAAAH+/6y0=")</f>
        <v>#VALUE!</v>
      </c>
      <c r="AU65" s="22" t="e">
        <f aca="false">AND(#REF!,"AAAAAH+/6y4=")</f>
        <v>#VALUE!</v>
      </c>
      <c r="AV65" s="22" t="e">
        <f aca="false">AND(#REF!,"AAAAAH+/6y8=")</f>
        <v>#VALUE!</v>
      </c>
      <c r="AW65" s="22" t="e">
        <f aca="false">AND(#REF!,"AAAAAH+/6zA=")</f>
        <v>#VALUE!</v>
      </c>
      <c r="AX65" s="22" t="e">
        <f aca="false">IF(#REF!,"AAAAAH+/6zE=",0)</f>
        <v>#REF!</v>
      </c>
      <c r="AY65" s="22" t="e">
        <f aca="false">AND(#REF!,"AAAAAH+/6zI=")</f>
        <v>#VALUE!</v>
      </c>
      <c r="AZ65" s="22" t="e">
        <f aca="false">AND(#REF!,"AAAAAH+/6zM=")</f>
        <v>#VALUE!</v>
      </c>
      <c r="BA65" s="22" t="e">
        <f aca="false">AND(#REF!,"AAAAAH+/6zQ=")</f>
        <v>#VALUE!</v>
      </c>
      <c r="BB65" s="22" t="e">
        <f aca="false">AND(#REF!,"AAAAAH+/6zU=")</f>
        <v>#VALUE!</v>
      </c>
      <c r="BC65" s="22" t="e">
        <f aca="false">AND(#REF!,"AAAAAH+/6zY=")</f>
        <v>#VALUE!</v>
      </c>
      <c r="BD65" s="22" t="e">
        <f aca="false">AND(#REF!,"AAAAAH+/6zc=")</f>
        <v>#VALUE!</v>
      </c>
      <c r="BE65" s="22" t="e">
        <f aca="false">IF(#REF!,"AAAAAH+/6zg=",0)</f>
        <v>#REF!</v>
      </c>
      <c r="BF65" s="22" t="e">
        <f aca="false">AND(#REF!,"AAAAAH+/6zk=")</f>
        <v>#VALUE!</v>
      </c>
      <c r="BG65" s="22" t="e">
        <f aca="false">AND(#REF!,"AAAAAH+/6zo=")</f>
        <v>#VALUE!</v>
      </c>
      <c r="BH65" s="22" t="e">
        <f aca="false">AND(#REF!,"AAAAAH+/6zs=")</f>
        <v>#VALUE!</v>
      </c>
      <c r="BI65" s="22" t="e">
        <f aca="false">AND(#REF!,"AAAAAH+/6zw=")</f>
        <v>#VALUE!</v>
      </c>
      <c r="BJ65" s="22" t="e">
        <f aca="false">AND(#REF!,"AAAAAH+/6z0=")</f>
        <v>#VALUE!</v>
      </c>
      <c r="BK65" s="22" t="e">
        <f aca="false">AND(#REF!,"AAAAAH+/6z4=")</f>
        <v>#VALUE!</v>
      </c>
      <c r="BL65" s="22" t="e">
        <f aca="false">IF(#REF!,"AAAAAH+/6z8=",0)</f>
        <v>#REF!</v>
      </c>
      <c r="BM65" s="22" t="e">
        <f aca="false">AND(#REF!,"AAAAAH+/60A=")</f>
        <v>#VALUE!</v>
      </c>
      <c r="BN65" s="22" t="e">
        <f aca="false">AND(#REF!,"AAAAAH+/60E=")</f>
        <v>#VALUE!</v>
      </c>
      <c r="BO65" s="22" t="e">
        <f aca="false">AND(#REF!,"AAAAAH+/60I=")</f>
        <v>#VALUE!</v>
      </c>
      <c r="BP65" s="22" t="e">
        <f aca="false">AND(#REF!,"AAAAAH+/60M=")</f>
        <v>#VALUE!</v>
      </c>
      <c r="BQ65" s="22" t="e">
        <f aca="false">AND(#REF!,"AAAAAH+/60Q=")</f>
        <v>#VALUE!</v>
      </c>
      <c r="BR65" s="22" t="e">
        <f aca="false">AND(#REF!,"AAAAAH+/60U=")</f>
        <v>#VALUE!</v>
      </c>
      <c r="BS65" s="22" t="e">
        <f aca="false">IF(#REF!,"AAAAAH+/60Y=",0)</f>
        <v>#REF!</v>
      </c>
      <c r="BT65" s="22" t="e">
        <f aca="false">AND(#REF!,"AAAAAH+/60c=")</f>
        <v>#VALUE!</v>
      </c>
      <c r="BU65" s="22" t="e">
        <f aca="false">AND(#REF!,"AAAAAH+/60g=")</f>
        <v>#VALUE!</v>
      </c>
      <c r="BV65" s="22" t="e">
        <f aca="false">AND(#REF!,"AAAAAH+/60k=")</f>
        <v>#VALUE!</v>
      </c>
      <c r="BW65" s="22" t="e">
        <f aca="false">AND(#REF!,"AAAAAH+/60o=")</f>
        <v>#VALUE!</v>
      </c>
      <c r="BX65" s="22" t="e">
        <f aca="false">AND(#REF!,"AAAAAH+/60s=")</f>
        <v>#VALUE!</v>
      </c>
      <c r="BY65" s="22" t="e">
        <f aca="false">AND(#REF!,"AAAAAH+/60w=")</f>
        <v>#VALUE!</v>
      </c>
      <c r="BZ65" s="22" t="e">
        <f aca="false">IF(#REF!,"AAAAAH+/600=",0)</f>
        <v>#REF!</v>
      </c>
      <c r="CA65" s="22" t="e">
        <f aca="false">AND(#REF!,"AAAAAH+/604=")</f>
        <v>#VALUE!</v>
      </c>
      <c r="CB65" s="22" t="e">
        <f aca="false">AND(#REF!,"AAAAAH+/608=")</f>
        <v>#VALUE!</v>
      </c>
      <c r="CC65" s="22" t="e">
        <f aca="false">AND(#REF!,"AAAAAH+/61A=")</f>
        <v>#VALUE!</v>
      </c>
      <c r="CD65" s="22" t="e">
        <f aca="false">AND(#REF!,"AAAAAH+/61E=")</f>
        <v>#VALUE!</v>
      </c>
      <c r="CE65" s="22" t="e">
        <f aca="false">AND(#REF!,"AAAAAH+/61I=")</f>
        <v>#VALUE!</v>
      </c>
      <c r="CF65" s="22" t="e">
        <f aca="false">AND(#REF!,"AAAAAH+/61M=")</f>
        <v>#VALUE!</v>
      </c>
      <c r="CG65" s="22" t="e">
        <f aca="false">IF(#REF!,"AAAAAH+/61Q=",0)</f>
        <v>#REF!</v>
      </c>
      <c r="CH65" s="22" t="e">
        <f aca="false">AND(#REF!,"AAAAAH+/61U=")</f>
        <v>#VALUE!</v>
      </c>
      <c r="CI65" s="22" t="e">
        <f aca="false">AND(#REF!,"AAAAAH+/61Y=")</f>
        <v>#VALUE!</v>
      </c>
      <c r="CJ65" s="22" t="e">
        <f aca="false">AND(#REF!,"AAAAAH+/61c=")</f>
        <v>#VALUE!</v>
      </c>
      <c r="CK65" s="22" t="e">
        <f aca="false">AND(#REF!,"AAAAAH+/61g=")</f>
        <v>#VALUE!</v>
      </c>
      <c r="CL65" s="22" t="e">
        <f aca="false">AND(#REF!,"AAAAAH+/61k=")</f>
        <v>#VALUE!</v>
      </c>
      <c r="CM65" s="22" t="e">
        <f aca="false">AND(#REF!,"AAAAAH+/61o=")</f>
        <v>#VALUE!</v>
      </c>
      <c r="CN65" s="22" t="e">
        <f aca="false">IF(#REF!,"AAAAAH+/61s=",0)</f>
        <v>#REF!</v>
      </c>
      <c r="CO65" s="22" t="e">
        <f aca="false">AND(#REF!,"AAAAAH+/61w=")</f>
        <v>#VALUE!</v>
      </c>
      <c r="CP65" s="22" t="e">
        <f aca="false">AND(#REF!,"AAAAAH+/610=")</f>
        <v>#VALUE!</v>
      </c>
      <c r="CQ65" s="22" t="e">
        <f aca="false">AND(#REF!,"AAAAAH+/614=")</f>
        <v>#VALUE!</v>
      </c>
      <c r="CR65" s="22" t="e">
        <f aca="false">AND(#REF!,"AAAAAH+/618=")</f>
        <v>#VALUE!</v>
      </c>
      <c r="CS65" s="22" t="e">
        <f aca="false">AND(#REF!,"AAAAAH+/62A=")</f>
        <v>#VALUE!</v>
      </c>
      <c r="CT65" s="22" t="e">
        <f aca="false">AND(#REF!,"AAAAAH+/62E=")</f>
        <v>#VALUE!</v>
      </c>
      <c r="CU65" s="22" t="e">
        <f aca="false">IF(#REF!,"AAAAAH+/62I=",0)</f>
        <v>#REF!</v>
      </c>
      <c r="CV65" s="22" t="e">
        <f aca="false">AND(#REF!,"AAAAAH+/62M=")</f>
        <v>#VALUE!</v>
      </c>
      <c r="CW65" s="22" t="e">
        <f aca="false">AND(#REF!,"AAAAAH+/62Q=")</f>
        <v>#VALUE!</v>
      </c>
      <c r="CX65" s="22" t="e">
        <f aca="false">AND(#REF!,"AAAAAH+/62U=")</f>
        <v>#VALUE!</v>
      </c>
      <c r="CY65" s="22" t="e">
        <f aca="false">AND(#REF!,"AAAAAH+/62Y=")</f>
        <v>#VALUE!</v>
      </c>
      <c r="CZ65" s="22" t="e">
        <f aca="false">AND(#REF!,"AAAAAH+/62c=")</f>
        <v>#VALUE!</v>
      </c>
      <c r="DA65" s="22" t="e">
        <f aca="false">AND(#REF!,"AAAAAH+/62g=")</f>
        <v>#VALUE!</v>
      </c>
      <c r="DB65" s="22" t="e">
        <f aca="false">IF(#REF!,"AAAAAH+/62k=",0)</f>
        <v>#REF!</v>
      </c>
      <c r="DC65" s="22" t="e">
        <f aca="false">AND(#REF!,"AAAAAH+/62o=")</f>
        <v>#VALUE!</v>
      </c>
      <c r="DD65" s="22" t="e">
        <f aca="false">AND(#REF!,"AAAAAH+/62s=")</f>
        <v>#VALUE!</v>
      </c>
      <c r="DE65" s="22" t="e">
        <f aca="false">AND(#REF!,"AAAAAH+/62w=")</f>
        <v>#VALUE!</v>
      </c>
      <c r="DF65" s="22" t="e">
        <f aca="false">AND(#REF!,"AAAAAH+/620=")</f>
        <v>#VALUE!</v>
      </c>
      <c r="DG65" s="22" t="e">
        <f aca="false">AND(#REF!,"AAAAAH+/624=")</f>
        <v>#VALUE!</v>
      </c>
      <c r="DH65" s="22" t="e">
        <f aca="false">AND(#REF!,"AAAAAH+/628=")</f>
        <v>#VALUE!</v>
      </c>
      <c r="DI65" s="22" t="e">
        <f aca="false">IF(#REF!,"AAAAAH+/63A=",0)</f>
        <v>#REF!</v>
      </c>
      <c r="DJ65" s="22" t="e">
        <f aca="false">AND(#REF!,"AAAAAH+/63E=")</f>
        <v>#VALUE!</v>
      </c>
      <c r="DK65" s="22" t="e">
        <f aca="false">AND(#REF!,"AAAAAH+/63I=")</f>
        <v>#VALUE!</v>
      </c>
      <c r="DL65" s="22" t="e">
        <f aca="false">AND(#REF!,"AAAAAH+/63M=")</f>
        <v>#VALUE!</v>
      </c>
      <c r="DM65" s="22" t="e">
        <f aca="false">AND(#REF!,"AAAAAH+/63Q=")</f>
        <v>#VALUE!</v>
      </c>
      <c r="DN65" s="22" t="e">
        <f aca="false">AND(#REF!,"AAAAAH+/63U=")</f>
        <v>#VALUE!</v>
      </c>
      <c r="DO65" s="22" t="e">
        <f aca="false">AND(#REF!,"AAAAAH+/63Y=")</f>
        <v>#VALUE!</v>
      </c>
      <c r="DP65" s="22" t="e">
        <f aca="false">IF(#REF!,"AAAAAH+/63c=",0)</f>
        <v>#REF!</v>
      </c>
      <c r="DQ65" s="22" t="e">
        <f aca="false">AND(#REF!,"AAAAAH+/63g=")</f>
        <v>#VALUE!</v>
      </c>
      <c r="DR65" s="22" t="e">
        <f aca="false">AND(#REF!,"AAAAAH+/63k=")</f>
        <v>#VALUE!</v>
      </c>
      <c r="DS65" s="22" t="e">
        <f aca="false">AND(#REF!,"AAAAAH+/63o=")</f>
        <v>#VALUE!</v>
      </c>
      <c r="DT65" s="22" t="e">
        <f aca="false">AND(#REF!,"AAAAAH+/63s=")</f>
        <v>#VALUE!</v>
      </c>
      <c r="DU65" s="22" t="e">
        <f aca="false">AND(#REF!,"AAAAAH+/63w=")</f>
        <v>#VALUE!</v>
      </c>
      <c r="DV65" s="22" t="e">
        <f aca="false">AND(#REF!,"AAAAAH+/630=")</f>
        <v>#VALUE!</v>
      </c>
      <c r="DW65" s="22" t="e">
        <f aca="false">IF(#REF!,"AAAAAH+/634=",0)</f>
        <v>#REF!</v>
      </c>
      <c r="DX65" s="22" t="e">
        <f aca="false">AND(#REF!,"AAAAAH+/638=")</f>
        <v>#VALUE!</v>
      </c>
      <c r="DY65" s="22" t="e">
        <f aca="false">AND(#REF!,"AAAAAH+/64A=")</f>
        <v>#VALUE!</v>
      </c>
      <c r="DZ65" s="22" t="e">
        <f aca="false">AND(#REF!,"AAAAAH+/64E=")</f>
        <v>#VALUE!</v>
      </c>
      <c r="EA65" s="22" t="e">
        <f aca="false">AND(#REF!,"AAAAAH+/64I=")</f>
        <v>#VALUE!</v>
      </c>
      <c r="EB65" s="22" t="e">
        <f aca="false">AND(#REF!,"AAAAAH+/64M=")</f>
        <v>#VALUE!</v>
      </c>
      <c r="EC65" s="22" t="e">
        <f aca="false">AND(#REF!,"AAAAAH+/64Q=")</f>
        <v>#VALUE!</v>
      </c>
      <c r="ED65" s="22" t="e">
        <f aca="false">IF(#REF!,"AAAAAH+/64U=",0)</f>
        <v>#REF!</v>
      </c>
      <c r="EE65" s="22" t="e">
        <f aca="false">AND(#REF!,"AAAAAH+/64Y=")</f>
        <v>#VALUE!</v>
      </c>
      <c r="EF65" s="22" t="e">
        <f aca="false">AND(#REF!,"AAAAAH+/64c=")</f>
        <v>#VALUE!</v>
      </c>
      <c r="EG65" s="22" t="e">
        <f aca="false">AND(#REF!,"AAAAAH+/64g=")</f>
        <v>#VALUE!</v>
      </c>
      <c r="EH65" s="22" t="e">
        <f aca="false">AND(#REF!,"AAAAAH+/64k=")</f>
        <v>#VALUE!</v>
      </c>
      <c r="EI65" s="22" t="e">
        <f aca="false">AND(#REF!,"AAAAAH+/64o=")</f>
        <v>#VALUE!</v>
      </c>
      <c r="EJ65" s="22" t="e">
        <f aca="false">AND(#REF!,"AAAAAH+/64s=")</f>
        <v>#VALUE!</v>
      </c>
      <c r="EK65" s="22" t="e">
        <f aca="false">IF(#REF!,"AAAAAH+/64w=",0)</f>
        <v>#REF!</v>
      </c>
      <c r="EL65" s="22" t="e">
        <f aca="false">AND(#REF!,"AAAAAH+/640=")</f>
        <v>#VALUE!</v>
      </c>
      <c r="EM65" s="22" t="e">
        <f aca="false">AND(#REF!,"AAAAAH+/644=")</f>
        <v>#VALUE!</v>
      </c>
      <c r="EN65" s="22" t="e">
        <f aca="false">AND(#REF!,"AAAAAH+/648=")</f>
        <v>#VALUE!</v>
      </c>
      <c r="EO65" s="22" t="e">
        <f aca="false">AND(#REF!,"AAAAAH+/65A=")</f>
        <v>#VALUE!</v>
      </c>
      <c r="EP65" s="22" t="e">
        <f aca="false">AND(#REF!,"AAAAAH+/65E=")</f>
        <v>#VALUE!</v>
      </c>
      <c r="EQ65" s="22" t="e">
        <f aca="false">AND(#REF!,"AAAAAH+/65I=")</f>
        <v>#VALUE!</v>
      </c>
      <c r="ER65" s="22" t="e">
        <f aca="false">IF(#REF!,"AAAAAH+/65M=",0)</f>
        <v>#REF!</v>
      </c>
      <c r="ES65" s="22" t="e">
        <f aca="false">AND(#REF!,"AAAAAH+/65Q=")</f>
        <v>#VALUE!</v>
      </c>
      <c r="ET65" s="22" t="e">
        <f aca="false">AND(#REF!,"AAAAAH+/65U=")</f>
        <v>#VALUE!</v>
      </c>
      <c r="EU65" s="22" t="e">
        <f aca="false">AND(#REF!,"AAAAAH+/65Y=")</f>
        <v>#VALUE!</v>
      </c>
      <c r="EV65" s="22" t="e">
        <f aca="false">AND(#REF!,"AAAAAH+/65c=")</f>
        <v>#VALUE!</v>
      </c>
      <c r="EW65" s="22" t="e">
        <f aca="false">AND(#REF!,"AAAAAH+/65g=")</f>
        <v>#VALUE!</v>
      </c>
      <c r="EX65" s="22" t="e">
        <f aca="false">AND(#REF!,"AAAAAH+/65k=")</f>
        <v>#VALUE!</v>
      </c>
      <c r="EY65" s="22" t="e">
        <f aca="false">IF(#REF!,"AAAAAH+/65o=",0)</f>
        <v>#REF!</v>
      </c>
      <c r="EZ65" s="22" t="e">
        <f aca="false">AND(#REF!,"AAAAAH+/65s=")</f>
        <v>#VALUE!</v>
      </c>
      <c r="FA65" s="22" t="e">
        <f aca="false">AND(#REF!,"AAAAAH+/65w=")</f>
        <v>#VALUE!</v>
      </c>
      <c r="FB65" s="22" t="e">
        <f aca="false">AND(#REF!,"AAAAAH+/650=")</f>
        <v>#VALUE!</v>
      </c>
      <c r="FC65" s="22" t="e">
        <f aca="false">AND(#REF!,"AAAAAH+/654=")</f>
        <v>#VALUE!</v>
      </c>
      <c r="FD65" s="22" t="e">
        <f aca="false">AND(#REF!,"AAAAAH+/658=")</f>
        <v>#VALUE!</v>
      </c>
      <c r="FE65" s="22" t="e">
        <f aca="false">AND(#REF!,"AAAAAH+/66A=")</f>
        <v>#VALUE!</v>
      </c>
      <c r="FF65" s="22" t="e">
        <f aca="false">IF(#REF!,"AAAAAH+/66E=",0)</f>
        <v>#REF!</v>
      </c>
      <c r="FG65" s="22" t="e">
        <f aca="false">AND(#REF!,"AAAAAH+/66I=")</f>
        <v>#VALUE!</v>
      </c>
      <c r="FH65" s="22" t="e">
        <f aca="false">AND(#REF!,"AAAAAH+/66M=")</f>
        <v>#VALUE!</v>
      </c>
      <c r="FI65" s="22" t="e">
        <f aca="false">AND(#REF!,"AAAAAH+/66Q=")</f>
        <v>#VALUE!</v>
      </c>
      <c r="FJ65" s="22" t="e">
        <f aca="false">AND(#REF!,"AAAAAH+/66U=")</f>
        <v>#VALUE!</v>
      </c>
      <c r="FK65" s="22" t="e">
        <f aca="false">AND(#REF!,"AAAAAH+/66Y=")</f>
        <v>#VALUE!</v>
      </c>
      <c r="FL65" s="22" t="e">
        <f aca="false">AND(#REF!,"AAAAAH+/66c=")</f>
        <v>#VALUE!</v>
      </c>
      <c r="FM65" s="22" t="e">
        <f aca="false">IF(#REF!,"AAAAAH+/66g=",0)</f>
        <v>#REF!</v>
      </c>
      <c r="FN65" s="22" t="e">
        <f aca="false">AND(#REF!,"AAAAAH+/66k=")</f>
        <v>#VALUE!</v>
      </c>
      <c r="FO65" s="22" t="e">
        <f aca="false">AND(#REF!,"AAAAAH+/66o=")</f>
        <v>#VALUE!</v>
      </c>
      <c r="FP65" s="22" t="e">
        <f aca="false">AND(#REF!,"AAAAAH+/66s=")</f>
        <v>#VALUE!</v>
      </c>
      <c r="FQ65" s="22" t="e">
        <f aca="false">AND(#REF!,"AAAAAH+/66w=")</f>
        <v>#VALUE!</v>
      </c>
      <c r="FR65" s="22" t="e">
        <f aca="false">AND(#REF!,"AAAAAH+/660=")</f>
        <v>#VALUE!</v>
      </c>
      <c r="FS65" s="22" t="e">
        <f aca="false">AND(#REF!,"AAAAAH+/664=")</f>
        <v>#VALUE!</v>
      </c>
      <c r="FT65" s="22" t="e">
        <f aca="false">IF(#REF!,"AAAAAH+/668=",0)</f>
        <v>#REF!</v>
      </c>
      <c r="FU65" s="22" t="e">
        <f aca="false">AND(#REF!,"AAAAAH+/67A=")</f>
        <v>#VALUE!</v>
      </c>
      <c r="FV65" s="22" t="e">
        <f aca="false">AND(#REF!,"AAAAAH+/67E=")</f>
        <v>#VALUE!</v>
      </c>
      <c r="FW65" s="22" t="e">
        <f aca="false">AND(#REF!,"AAAAAH+/67I=")</f>
        <v>#VALUE!</v>
      </c>
      <c r="FX65" s="22" t="e">
        <f aca="false">AND(#REF!,"AAAAAH+/67M=")</f>
        <v>#VALUE!</v>
      </c>
      <c r="FY65" s="22" t="e">
        <f aca="false">AND(#REF!,"AAAAAH+/67Q=")</f>
        <v>#VALUE!</v>
      </c>
      <c r="FZ65" s="22" t="e">
        <f aca="false">AND(#REF!,"AAAAAH+/67U=")</f>
        <v>#VALUE!</v>
      </c>
      <c r="GA65" s="22" t="e">
        <f aca="false">IF(#REF!,"AAAAAH+/67Y=",0)</f>
        <v>#REF!</v>
      </c>
      <c r="GB65" s="22" t="e">
        <f aca="false">AND(#REF!,"AAAAAH+/67c=")</f>
        <v>#VALUE!</v>
      </c>
      <c r="GC65" s="22" t="e">
        <f aca="false">AND(#REF!,"AAAAAH+/67g=")</f>
        <v>#VALUE!</v>
      </c>
      <c r="GD65" s="22" t="e">
        <f aca="false">AND(#REF!,"AAAAAH+/67k=")</f>
        <v>#VALUE!</v>
      </c>
      <c r="GE65" s="22" t="e">
        <f aca="false">AND(#REF!,"AAAAAH+/67o=")</f>
        <v>#VALUE!</v>
      </c>
      <c r="GF65" s="22" t="e">
        <f aca="false">AND(#REF!,"AAAAAH+/67s=")</f>
        <v>#VALUE!</v>
      </c>
      <c r="GG65" s="22" t="e">
        <f aca="false">AND(#REF!,"AAAAAH+/67w=")</f>
        <v>#VALUE!</v>
      </c>
      <c r="GH65" s="22" t="e">
        <f aca="false">IF(#REF!,"AAAAAH+/670=",0)</f>
        <v>#REF!</v>
      </c>
      <c r="GI65" s="22" t="e">
        <f aca="false">AND(#REF!,"AAAAAH+/674=")</f>
        <v>#VALUE!</v>
      </c>
      <c r="GJ65" s="22" t="e">
        <f aca="false">AND(#REF!,"AAAAAH+/678=")</f>
        <v>#VALUE!</v>
      </c>
      <c r="GK65" s="22" t="e">
        <f aca="false">AND(#REF!,"AAAAAH+/68A=")</f>
        <v>#VALUE!</v>
      </c>
      <c r="GL65" s="22" t="e">
        <f aca="false">AND(#REF!,"AAAAAH+/68E=")</f>
        <v>#VALUE!</v>
      </c>
      <c r="GM65" s="22" t="e">
        <f aca="false">AND(#REF!,"AAAAAH+/68I=")</f>
        <v>#VALUE!</v>
      </c>
      <c r="GN65" s="22" t="e">
        <f aca="false">AND(#REF!,"AAAAAH+/68M=")</f>
        <v>#VALUE!</v>
      </c>
      <c r="GO65" s="22" t="e">
        <f aca="false">IF(#REF!,"AAAAAH+/68Q=",0)</f>
        <v>#REF!</v>
      </c>
      <c r="GP65" s="22" t="e">
        <f aca="false">AND(#REF!,"AAAAAH+/68U=")</f>
        <v>#VALUE!</v>
      </c>
      <c r="GQ65" s="22" t="e">
        <f aca="false">AND(#REF!,"AAAAAH+/68Y=")</f>
        <v>#VALUE!</v>
      </c>
      <c r="GR65" s="22" t="e">
        <f aca="false">AND(#REF!,"AAAAAH+/68c=")</f>
        <v>#VALUE!</v>
      </c>
      <c r="GS65" s="22" t="e">
        <f aca="false">AND(#REF!,"AAAAAH+/68g=")</f>
        <v>#VALUE!</v>
      </c>
      <c r="GT65" s="22" t="e">
        <f aca="false">AND(#REF!,"AAAAAH+/68k=")</f>
        <v>#VALUE!</v>
      </c>
      <c r="GU65" s="22" t="e">
        <f aca="false">AND(#REF!,"AAAAAH+/68o=")</f>
        <v>#VALUE!</v>
      </c>
      <c r="GV65" s="22" t="e">
        <f aca="false">IF(#REF!,"AAAAAH+/68s=",0)</f>
        <v>#REF!</v>
      </c>
      <c r="GW65" s="22" t="e">
        <f aca="false">AND(#REF!,"AAAAAH+/68w=")</f>
        <v>#VALUE!</v>
      </c>
      <c r="GX65" s="22" t="e">
        <f aca="false">AND(#REF!,"AAAAAH+/680=")</f>
        <v>#VALUE!</v>
      </c>
      <c r="GY65" s="22" t="e">
        <f aca="false">AND(#REF!,"AAAAAH+/684=")</f>
        <v>#VALUE!</v>
      </c>
      <c r="GZ65" s="22" t="e">
        <f aca="false">AND(#REF!,"AAAAAH+/688=")</f>
        <v>#VALUE!</v>
      </c>
      <c r="HA65" s="22" t="e">
        <f aca="false">AND(#REF!,"AAAAAH+/69A=")</f>
        <v>#VALUE!</v>
      </c>
      <c r="HB65" s="22" t="e">
        <f aca="false">AND(#REF!,"AAAAAH+/69E=")</f>
        <v>#VALUE!</v>
      </c>
      <c r="HC65" s="22" t="e">
        <f aca="false">IF(#REF!,"AAAAAH+/69I=",0)</f>
        <v>#REF!</v>
      </c>
      <c r="HD65" s="22" t="e">
        <f aca="false">AND(#REF!,"AAAAAH+/69M=")</f>
        <v>#VALUE!</v>
      </c>
      <c r="HE65" s="22" t="e">
        <f aca="false">AND(#REF!,"AAAAAH+/69Q=")</f>
        <v>#VALUE!</v>
      </c>
      <c r="HF65" s="22" t="e">
        <f aca="false">AND(#REF!,"AAAAAH+/69U=")</f>
        <v>#VALUE!</v>
      </c>
      <c r="HG65" s="22" t="e">
        <f aca="false">AND(#REF!,"AAAAAH+/69Y=")</f>
        <v>#VALUE!</v>
      </c>
      <c r="HH65" s="22" t="e">
        <f aca="false">AND(#REF!,"AAAAAH+/69c=")</f>
        <v>#VALUE!</v>
      </c>
      <c r="HI65" s="22" t="e">
        <f aca="false">AND(#REF!,"AAAAAH+/69g=")</f>
        <v>#VALUE!</v>
      </c>
      <c r="HJ65" s="22" t="e">
        <f aca="false">IF(#REF!,"AAAAAH+/69k=",0)</f>
        <v>#REF!</v>
      </c>
      <c r="HK65" s="22" t="e">
        <f aca="false">AND(#REF!,"AAAAAH+/69o=")</f>
        <v>#VALUE!</v>
      </c>
      <c r="HL65" s="22" t="e">
        <f aca="false">AND(#REF!,"AAAAAH+/69s=")</f>
        <v>#VALUE!</v>
      </c>
      <c r="HM65" s="22" t="e">
        <f aca="false">AND(#REF!,"AAAAAH+/69w=")</f>
        <v>#VALUE!</v>
      </c>
      <c r="HN65" s="22" t="e">
        <f aca="false">AND(#REF!,"AAAAAH+/690=")</f>
        <v>#VALUE!</v>
      </c>
      <c r="HO65" s="22" t="e">
        <f aca="false">AND(#REF!,"AAAAAH+/694=")</f>
        <v>#VALUE!</v>
      </c>
      <c r="HP65" s="22" t="e">
        <f aca="false">AND(#REF!,"AAAAAH+/698=")</f>
        <v>#VALUE!</v>
      </c>
      <c r="HQ65" s="22" t="e">
        <f aca="false">IF(#REF!,"AAAAAH+/6+A=",0)</f>
        <v>#REF!</v>
      </c>
      <c r="HR65" s="22" t="e">
        <f aca="false">AND(#REF!,"AAAAAH+/6+E=")</f>
        <v>#VALUE!</v>
      </c>
      <c r="HS65" s="22" t="e">
        <f aca="false">AND(#REF!,"AAAAAH+/6+I=")</f>
        <v>#VALUE!</v>
      </c>
      <c r="HT65" s="22" t="e">
        <f aca="false">AND(#REF!,"AAAAAH+/6+M=")</f>
        <v>#VALUE!</v>
      </c>
      <c r="HU65" s="22" t="e">
        <f aca="false">AND(#REF!,"AAAAAH+/6+Q=")</f>
        <v>#VALUE!</v>
      </c>
      <c r="HV65" s="22" t="e">
        <f aca="false">AND(#REF!,"AAAAAH+/6+U=")</f>
        <v>#VALUE!</v>
      </c>
      <c r="HW65" s="22" t="e">
        <f aca="false">AND(#REF!,"AAAAAH+/6+Y=")</f>
        <v>#VALUE!</v>
      </c>
      <c r="HX65" s="22" t="e">
        <f aca="false">IF(#REF!,"AAAAAH+/6+c=",0)</f>
        <v>#REF!</v>
      </c>
      <c r="HY65" s="22" t="e">
        <f aca="false">AND(#REF!,"AAAAAH+/6+g=")</f>
        <v>#VALUE!</v>
      </c>
      <c r="HZ65" s="22" t="e">
        <f aca="false">AND(#REF!,"AAAAAH+/6+k=")</f>
        <v>#VALUE!</v>
      </c>
      <c r="IA65" s="22" t="e">
        <f aca="false">AND(#REF!,"AAAAAH+/6+o=")</f>
        <v>#VALUE!</v>
      </c>
      <c r="IB65" s="22" t="e">
        <f aca="false">AND(#REF!,"AAAAAH+/6+s=")</f>
        <v>#VALUE!</v>
      </c>
      <c r="IC65" s="22" t="e">
        <f aca="false">AND(#REF!,"AAAAAH+/6+w=")</f>
        <v>#VALUE!</v>
      </c>
      <c r="ID65" s="22" t="e">
        <f aca="false">AND(#REF!,"AAAAAH+/6+0=")</f>
        <v>#VALUE!</v>
      </c>
      <c r="IE65" s="22" t="e">
        <f aca="false">IF(#REF!,"AAAAAH+/6+4=",0)</f>
        <v>#REF!</v>
      </c>
      <c r="IF65" s="22" t="e">
        <f aca="false">AND(#REF!,"AAAAAH+/6+8=")</f>
        <v>#VALUE!</v>
      </c>
      <c r="IG65" s="22" t="e">
        <f aca="false">AND(#REF!,"AAAAAH+/6/A=")</f>
        <v>#VALUE!</v>
      </c>
      <c r="IH65" s="22" t="e">
        <f aca="false">AND(#REF!,"AAAAAH+/6/E=")</f>
        <v>#VALUE!</v>
      </c>
      <c r="II65" s="22" t="e">
        <f aca="false">AND(#REF!,"AAAAAH+/6/I=")</f>
        <v>#VALUE!</v>
      </c>
      <c r="IJ65" s="22" t="e">
        <f aca="false">AND(#REF!,"AAAAAH+/6/M=")</f>
        <v>#VALUE!</v>
      </c>
      <c r="IK65" s="22" t="e">
        <f aca="false">AND(#REF!,"AAAAAH+/6/Q=")</f>
        <v>#VALUE!</v>
      </c>
      <c r="IL65" s="22" t="e">
        <f aca="false">IF(#REF!,"AAAAAH+/6/U=",0)</f>
        <v>#REF!</v>
      </c>
      <c r="IM65" s="22" t="e">
        <f aca="false">AND(#REF!,"AAAAAH+/6/Y=")</f>
        <v>#VALUE!</v>
      </c>
      <c r="IN65" s="22" t="e">
        <f aca="false">AND(#REF!,"AAAAAH+/6/c=")</f>
        <v>#VALUE!</v>
      </c>
      <c r="IO65" s="22" t="e">
        <f aca="false">AND(#REF!,"AAAAAH+/6/g=")</f>
        <v>#VALUE!</v>
      </c>
      <c r="IP65" s="22" t="e">
        <f aca="false">AND(#REF!,"AAAAAH+/6/k=")</f>
        <v>#VALUE!</v>
      </c>
      <c r="IQ65" s="22" t="e">
        <f aca="false">AND(#REF!,"AAAAAH+/6/o=")</f>
        <v>#VALUE!</v>
      </c>
      <c r="IR65" s="22" t="e">
        <f aca="false">AND(#REF!,"AAAAAH+/6/s=")</f>
        <v>#VALUE!</v>
      </c>
      <c r="IS65" s="22" t="e">
        <f aca="false">IF(#REF!,"AAAAAH+/6/w=",0)</f>
        <v>#REF!</v>
      </c>
      <c r="IT65" s="22" t="e">
        <f aca="false">AND(#REF!,"AAAAAH+/6/0=")</f>
        <v>#VALUE!</v>
      </c>
      <c r="IU65" s="22" t="e">
        <f aca="false">AND(#REF!,"AAAAAH+/6/4=")</f>
        <v>#VALUE!</v>
      </c>
      <c r="IV65" s="22" t="e">
        <f aca="false">AND(#REF!,"AAAAAH+/6/8=")</f>
        <v>#VALUE!</v>
      </c>
    </row>
    <row r="66" customFormat="false" ht="12.75" hidden="false" customHeight="false" outlineLevel="0" collapsed="false">
      <c r="A66" s="22" t="e">
        <f aca="false">AND(#REF!,"AAAAAH/7/wA=")</f>
        <v>#VALUE!</v>
      </c>
      <c r="B66" s="22" t="e">
        <f aca="false">AND(#REF!,"AAAAAH/7/wE=")</f>
        <v>#VALUE!</v>
      </c>
      <c r="C66" s="22" t="e">
        <f aca="false">AND(#REF!,"AAAAAH/7/wI=")</f>
        <v>#VALUE!</v>
      </c>
      <c r="D66" s="22" t="e">
        <f aca="false">IF(#REF!,"AAAAAH/7/wM=",0)</f>
        <v>#REF!</v>
      </c>
      <c r="E66" s="22" t="e">
        <f aca="false">AND(#REF!,"AAAAAH/7/wQ=")</f>
        <v>#VALUE!</v>
      </c>
      <c r="F66" s="22" t="e">
        <f aca="false">AND(#REF!,"AAAAAH/7/wU=")</f>
        <v>#VALUE!</v>
      </c>
      <c r="G66" s="22" t="e">
        <f aca="false">AND(#REF!,"AAAAAH/7/wY=")</f>
        <v>#VALUE!</v>
      </c>
      <c r="H66" s="22" t="e">
        <f aca="false">AND(#REF!,"AAAAAH/7/wc=")</f>
        <v>#VALUE!</v>
      </c>
      <c r="I66" s="22" t="e">
        <f aca="false">AND(#REF!,"AAAAAH/7/wg=")</f>
        <v>#VALUE!</v>
      </c>
      <c r="J66" s="22" t="e">
        <f aca="false">AND(#REF!,"AAAAAH/7/wk=")</f>
        <v>#VALUE!</v>
      </c>
      <c r="K66" s="22" t="e">
        <f aca="false">IF(#REF!,"AAAAAH/7/wo=",0)</f>
        <v>#REF!</v>
      </c>
      <c r="L66" s="22" t="e">
        <f aca="false">AND(#REF!,"AAAAAH/7/ws=")</f>
        <v>#VALUE!</v>
      </c>
      <c r="M66" s="22" t="e">
        <f aca="false">AND(#REF!,"AAAAAH/7/ww=")</f>
        <v>#VALUE!</v>
      </c>
      <c r="N66" s="22" t="e">
        <f aca="false">AND(#REF!,"AAAAAH/7/w0=")</f>
        <v>#VALUE!</v>
      </c>
      <c r="O66" s="22" t="e">
        <f aca="false">AND(#REF!,"AAAAAH/7/w4=")</f>
        <v>#VALUE!</v>
      </c>
      <c r="P66" s="22" t="e">
        <f aca="false">AND(#REF!,"AAAAAH/7/w8=")</f>
        <v>#VALUE!</v>
      </c>
      <c r="Q66" s="22" t="e">
        <f aca="false">AND(#REF!,"AAAAAH/7/xA=")</f>
        <v>#VALUE!</v>
      </c>
      <c r="R66" s="22" t="e">
        <f aca="false">IF(#REF!,"AAAAAH/7/xE=",0)</f>
        <v>#REF!</v>
      </c>
      <c r="S66" s="22" t="e">
        <f aca="false">AND(#REF!,"AAAAAH/7/xI=")</f>
        <v>#VALUE!</v>
      </c>
      <c r="T66" s="22" t="e">
        <f aca="false">AND(#REF!,"AAAAAH/7/xM=")</f>
        <v>#VALUE!</v>
      </c>
      <c r="U66" s="22" t="e">
        <f aca="false">AND(#REF!,"AAAAAH/7/xQ=")</f>
        <v>#VALUE!</v>
      </c>
      <c r="V66" s="22" t="e">
        <f aca="false">AND(#REF!,"AAAAAH/7/xU=")</f>
        <v>#VALUE!</v>
      </c>
      <c r="W66" s="22" t="e">
        <f aca="false">AND(#REF!,"AAAAAH/7/xY=")</f>
        <v>#VALUE!</v>
      </c>
      <c r="X66" s="22" t="e">
        <f aca="false">AND(#REF!,"AAAAAH/7/xc=")</f>
        <v>#VALUE!</v>
      </c>
      <c r="Y66" s="22" t="e">
        <f aca="false">IF(#REF!,"AAAAAH/7/xg=",0)</f>
        <v>#REF!</v>
      </c>
      <c r="Z66" s="22" t="e">
        <f aca="false">AND(#REF!,"AAAAAH/7/xk=")</f>
        <v>#VALUE!</v>
      </c>
      <c r="AA66" s="22" t="e">
        <f aca="false">AND(#REF!,"AAAAAH/7/xo=")</f>
        <v>#VALUE!</v>
      </c>
      <c r="AB66" s="22" t="e">
        <f aca="false">AND(#REF!,"AAAAAH/7/xs=")</f>
        <v>#VALUE!</v>
      </c>
      <c r="AC66" s="22" t="e">
        <f aca="false">AND(#REF!,"AAAAAH/7/xw=")</f>
        <v>#VALUE!</v>
      </c>
      <c r="AD66" s="22" t="e">
        <f aca="false">AND(#REF!,"AAAAAH/7/x0=")</f>
        <v>#VALUE!</v>
      </c>
      <c r="AE66" s="22" t="e">
        <f aca="false">AND(#REF!,"AAAAAH/7/x4=")</f>
        <v>#VALUE!</v>
      </c>
      <c r="AF66" s="22" t="e">
        <f aca="false">IF(#REF!,"AAAAAH/7/x8=",0)</f>
        <v>#REF!</v>
      </c>
      <c r="AG66" s="22" t="e">
        <f aca="false">AND(#REF!,"AAAAAH/7/yA=")</f>
        <v>#VALUE!</v>
      </c>
      <c r="AH66" s="22" t="e">
        <f aca="false">AND(#REF!,"AAAAAH/7/yE=")</f>
        <v>#VALUE!</v>
      </c>
      <c r="AI66" s="22" t="e">
        <f aca="false">AND(#REF!,"AAAAAH/7/yI=")</f>
        <v>#VALUE!</v>
      </c>
      <c r="AJ66" s="22" t="e">
        <f aca="false">AND(#REF!,"AAAAAH/7/yM=")</f>
        <v>#VALUE!</v>
      </c>
      <c r="AK66" s="22" t="e">
        <f aca="false">AND(#REF!,"AAAAAH/7/yQ=")</f>
        <v>#VALUE!</v>
      </c>
      <c r="AL66" s="22" t="e">
        <f aca="false">AND(#REF!,"AAAAAH/7/yU=")</f>
        <v>#VALUE!</v>
      </c>
      <c r="AM66" s="22" t="e">
        <f aca="false">IF(#REF!,"AAAAAH/7/yY=",0)</f>
        <v>#REF!</v>
      </c>
      <c r="AN66" s="22" t="e">
        <f aca="false">AND(#REF!,"AAAAAH/7/yc=")</f>
        <v>#VALUE!</v>
      </c>
      <c r="AO66" s="22" t="e">
        <f aca="false">AND(#REF!,"AAAAAH/7/yg=")</f>
        <v>#VALUE!</v>
      </c>
      <c r="AP66" s="22" t="e">
        <f aca="false">AND(#REF!,"AAAAAH/7/yk=")</f>
        <v>#VALUE!</v>
      </c>
      <c r="AQ66" s="22" t="e">
        <f aca="false">AND(#REF!,"AAAAAH/7/yo=")</f>
        <v>#VALUE!</v>
      </c>
      <c r="AR66" s="22" t="e">
        <f aca="false">AND(#REF!,"AAAAAH/7/ys=")</f>
        <v>#VALUE!</v>
      </c>
      <c r="AS66" s="22" t="e">
        <f aca="false">AND(#REF!,"AAAAAH/7/yw=")</f>
        <v>#VALUE!</v>
      </c>
      <c r="AT66" s="22" t="e">
        <f aca="false">IF(#REF!,"AAAAAH/7/y0=",0)</f>
        <v>#REF!</v>
      </c>
      <c r="AU66" s="22" t="e">
        <f aca="false">AND(#REF!,"AAAAAH/7/y4=")</f>
        <v>#VALUE!</v>
      </c>
      <c r="AV66" s="22" t="e">
        <f aca="false">AND(#REF!,"AAAAAH/7/y8=")</f>
        <v>#VALUE!</v>
      </c>
      <c r="AW66" s="22" t="e">
        <f aca="false">AND(#REF!,"AAAAAH/7/zA=")</f>
        <v>#VALUE!</v>
      </c>
      <c r="AX66" s="22" t="e">
        <f aca="false">AND(#REF!,"AAAAAH/7/zE=")</f>
        <v>#VALUE!</v>
      </c>
      <c r="AY66" s="22" t="e">
        <f aca="false">AND(#REF!,"AAAAAH/7/zI=")</f>
        <v>#VALUE!</v>
      </c>
      <c r="AZ66" s="22" t="e">
        <f aca="false">AND(#REF!,"AAAAAH/7/zM=")</f>
        <v>#VALUE!</v>
      </c>
      <c r="BA66" s="22" t="e">
        <f aca="false">IF(#REF!,"AAAAAH/7/zQ=",0)</f>
        <v>#REF!</v>
      </c>
      <c r="BB66" s="22" t="e">
        <f aca="false">AND(#REF!,"AAAAAH/7/zU=")</f>
        <v>#VALUE!</v>
      </c>
      <c r="BC66" s="22" t="e">
        <f aca="false">AND(#REF!,"AAAAAH/7/zY=")</f>
        <v>#VALUE!</v>
      </c>
      <c r="BD66" s="22" t="e">
        <f aca="false">AND(#REF!,"AAAAAH/7/zc=")</f>
        <v>#VALUE!</v>
      </c>
      <c r="BE66" s="22" t="e">
        <f aca="false">AND(#REF!,"AAAAAH/7/zg=")</f>
        <v>#VALUE!</v>
      </c>
      <c r="BF66" s="22" t="e">
        <f aca="false">AND(#REF!,"AAAAAH/7/zk=")</f>
        <v>#VALUE!</v>
      </c>
      <c r="BG66" s="22" t="e">
        <f aca="false">AND(#REF!,"AAAAAH/7/zo=")</f>
        <v>#VALUE!</v>
      </c>
      <c r="BH66" s="22" t="e">
        <f aca="false">IF(#REF!,"AAAAAH/7/zs=",0)</f>
        <v>#REF!</v>
      </c>
      <c r="BI66" s="22" t="e">
        <f aca="false">AND(#REF!,"AAAAAH/7/zw=")</f>
        <v>#VALUE!</v>
      </c>
      <c r="BJ66" s="22" t="e">
        <f aca="false">AND(#REF!,"AAAAAH/7/z0=")</f>
        <v>#VALUE!</v>
      </c>
      <c r="BK66" s="22" t="e">
        <f aca="false">AND(#REF!,"AAAAAH/7/z4=")</f>
        <v>#VALUE!</v>
      </c>
      <c r="BL66" s="22" t="e">
        <f aca="false">AND(#REF!,"AAAAAH/7/z8=")</f>
        <v>#VALUE!</v>
      </c>
      <c r="BM66" s="22" t="e">
        <f aca="false">AND(#REF!,"AAAAAH/7/0A=")</f>
        <v>#VALUE!</v>
      </c>
      <c r="BN66" s="22" t="e">
        <f aca="false">AND(#REF!,"AAAAAH/7/0E=")</f>
        <v>#VALUE!</v>
      </c>
      <c r="BO66" s="22" t="e">
        <f aca="false">IF(#REF!,"AAAAAH/7/0I=",0)</f>
        <v>#REF!</v>
      </c>
      <c r="BP66" s="22" t="e">
        <f aca="false">AND(#REF!,"AAAAAH/7/0M=")</f>
        <v>#VALUE!</v>
      </c>
      <c r="BQ66" s="22" t="e">
        <f aca="false">AND(#REF!,"AAAAAH/7/0Q=")</f>
        <v>#VALUE!</v>
      </c>
      <c r="BR66" s="22" t="e">
        <f aca="false">AND(#REF!,"AAAAAH/7/0U=")</f>
        <v>#VALUE!</v>
      </c>
      <c r="BS66" s="22" t="e">
        <f aca="false">AND(#REF!,"AAAAAH/7/0Y=")</f>
        <v>#VALUE!</v>
      </c>
      <c r="BT66" s="22" t="e">
        <f aca="false">AND(#REF!,"AAAAAH/7/0c=")</f>
        <v>#VALUE!</v>
      </c>
      <c r="BU66" s="22" t="e">
        <f aca="false">AND(#REF!,"AAAAAH/7/0g=")</f>
        <v>#VALUE!</v>
      </c>
      <c r="BV66" s="22" t="e">
        <f aca="false">IF(#REF!,"AAAAAH/7/0k=",0)</f>
        <v>#REF!</v>
      </c>
      <c r="BW66" s="22" t="e">
        <f aca="false">AND(#REF!,"AAAAAH/7/0o=")</f>
        <v>#VALUE!</v>
      </c>
      <c r="BX66" s="22" t="e">
        <f aca="false">AND(#REF!,"AAAAAH/7/0s=")</f>
        <v>#VALUE!</v>
      </c>
      <c r="BY66" s="22" t="e">
        <f aca="false">AND(#REF!,"AAAAAH/7/0w=")</f>
        <v>#VALUE!</v>
      </c>
      <c r="BZ66" s="22" t="e">
        <f aca="false">AND(#REF!,"AAAAAH/7/00=")</f>
        <v>#VALUE!</v>
      </c>
      <c r="CA66" s="22" t="e">
        <f aca="false">AND(#REF!,"AAAAAH/7/04=")</f>
        <v>#VALUE!</v>
      </c>
      <c r="CB66" s="22" t="e">
        <f aca="false">AND(#REF!,"AAAAAH/7/08=")</f>
        <v>#VALUE!</v>
      </c>
      <c r="CC66" s="22" t="e">
        <f aca="false">IF(#REF!,"AAAAAH/7/1A=",0)</f>
        <v>#REF!</v>
      </c>
      <c r="CD66" s="22" t="e">
        <f aca="false">AND(#REF!,"AAAAAH/7/1E=")</f>
        <v>#VALUE!</v>
      </c>
      <c r="CE66" s="22" t="e">
        <f aca="false">AND(#REF!,"AAAAAH/7/1I=")</f>
        <v>#VALUE!</v>
      </c>
      <c r="CF66" s="22" t="e">
        <f aca="false">AND(#REF!,"AAAAAH/7/1M=")</f>
        <v>#VALUE!</v>
      </c>
      <c r="CG66" s="22" t="e">
        <f aca="false">AND(#REF!,"AAAAAH/7/1Q=")</f>
        <v>#VALUE!</v>
      </c>
      <c r="CH66" s="22" t="e">
        <f aca="false">AND(#REF!,"AAAAAH/7/1U=")</f>
        <v>#VALUE!</v>
      </c>
      <c r="CI66" s="22" t="e">
        <f aca="false">AND(#REF!,"AAAAAH/7/1Y=")</f>
        <v>#VALUE!</v>
      </c>
      <c r="CJ66" s="22" t="e">
        <f aca="false">IF(#REF!,"AAAAAH/7/1c=",0)</f>
        <v>#REF!</v>
      </c>
      <c r="CK66" s="22" t="e">
        <f aca="false">AND(#REF!,"AAAAAH/7/1g=")</f>
        <v>#VALUE!</v>
      </c>
      <c r="CL66" s="22" t="e">
        <f aca="false">AND(#REF!,"AAAAAH/7/1k=")</f>
        <v>#VALUE!</v>
      </c>
      <c r="CM66" s="22" t="e">
        <f aca="false">AND(#REF!,"AAAAAH/7/1o=")</f>
        <v>#VALUE!</v>
      </c>
      <c r="CN66" s="22" t="e">
        <f aca="false">AND(#REF!,"AAAAAH/7/1s=")</f>
        <v>#VALUE!</v>
      </c>
      <c r="CO66" s="22" t="e">
        <f aca="false">AND(#REF!,"AAAAAH/7/1w=")</f>
        <v>#VALUE!</v>
      </c>
      <c r="CP66" s="22" t="e">
        <f aca="false">AND(#REF!,"AAAAAH/7/10=")</f>
        <v>#VALUE!</v>
      </c>
      <c r="CQ66" s="22" t="e">
        <f aca="false">IF(#REF!,"AAAAAH/7/14=",0)</f>
        <v>#REF!</v>
      </c>
      <c r="CR66" s="22" t="e">
        <f aca="false">AND(#REF!,"AAAAAH/7/18=")</f>
        <v>#VALUE!</v>
      </c>
      <c r="CS66" s="22" t="e">
        <f aca="false">AND(#REF!,"AAAAAH/7/2A=")</f>
        <v>#VALUE!</v>
      </c>
      <c r="CT66" s="22" t="e">
        <f aca="false">AND(#REF!,"AAAAAH/7/2E=")</f>
        <v>#VALUE!</v>
      </c>
      <c r="CU66" s="22" t="e">
        <f aca="false">AND(#REF!,"AAAAAH/7/2I=")</f>
        <v>#VALUE!</v>
      </c>
      <c r="CV66" s="22" t="e">
        <f aca="false">AND(#REF!,"AAAAAH/7/2M=")</f>
        <v>#VALUE!</v>
      </c>
      <c r="CW66" s="22" t="e">
        <f aca="false">AND(#REF!,"AAAAAH/7/2Q=")</f>
        <v>#VALUE!</v>
      </c>
      <c r="CX66" s="22" t="e">
        <f aca="false">IF(#REF!,"AAAAAH/7/2U=",0)</f>
        <v>#REF!</v>
      </c>
      <c r="CY66" s="22" t="e">
        <f aca="false">AND(#REF!,"AAAAAH/7/2Y=")</f>
        <v>#VALUE!</v>
      </c>
      <c r="CZ66" s="22" t="e">
        <f aca="false">AND(#REF!,"AAAAAH/7/2c=")</f>
        <v>#VALUE!</v>
      </c>
      <c r="DA66" s="22" t="e">
        <f aca="false">AND(#REF!,"AAAAAH/7/2g=")</f>
        <v>#VALUE!</v>
      </c>
      <c r="DB66" s="22" t="e">
        <f aca="false">AND(#REF!,"AAAAAH/7/2k=")</f>
        <v>#VALUE!</v>
      </c>
      <c r="DC66" s="22" t="e">
        <f aca="false">AND(#REF!,"AAAAAH/7/2o=")</f>
        <v>#VALUE!</v>
      </c>
      <c r="DD66" s="22" t="e">
        <f aca="false">AND(#REF!,"AAAAAH/7/2s=")</f>
        <v>#VALUE!</v>
      </c>
      <c r="DE66" s="22" t="e">
        <f aca="false">IF(#REF!,"AAAAAH/7/2w=",0)</f>
        <v>#REF!</v>
      </c>
      <c r="DF66" s="22" t="e">
        <f aca="false">AND(#REF!,"AAAAAH/7/20=")</f>
        <v>#VALUE!</v>
      </c>
      <c r="DG66" s="22" t="e">
        <f aca="false">AND(#REF!,"AAAAAH/7/24=")</f>
        <v>#VALUE!</v>
      </c>
      <c r="DH66" s="22" t="e">
        <f aca="false">AND(#REF!,"AAAAAH/7/28=")</f>
        <v>#VALUE!</v>
      </c>
      <c r="DI66" s="22" t="e">
        <f aca="false">AND(#REF!,"AAAAAH/7/3A=")</f>
        <v>#VALUE!</v>
      </c>
      <c r="DJ66" s="22" t="e">
        <f aca="false">AND(#REF!,"AAAAAH/7/3E=")</f>
        <v>#VALUE!</v>
      </c>
      <c r="DK66" s="22" t="e">
        <f aca="false">AND(#REF!,"AAAAAH/7/3I=")</f>
        <v>#VALUE!</v>
      </c>
      <c r="DL66" s="22" t="e">
        <f aca="false">IF(#REF!,"AAAAAH/7/3M=",0)</f>
        <v>#REF!</v>
      </c>
      <c r="DM66" s="22" t="e">
        <f aca="false">AND(#REF!,"AAAAAH/7/3Q=")</f>
        <v>#VALUE!</v>
      </c>
      <c r="DN66" s="22" t="e">
        <f aca="false">AND(#REF!,"AAAAAH/7/3U=")</f>
        <v>#VALUE!</v>
      </c>
      <c r="DO66" s="22" t="e">
        <f aca="false">AND(#REF!,"AAAAAH/7/3Y=")</f>
        <v>#VALUE!</v>
      </c>
      <c r="DP66" s="22" t="e">
        <f aca="false">AND(#REF!,"AAAAAH/7/3c=")</f>
        <v>#VALUE!</v>
      </c>
      <c r="DQ66" s="22" t="e">
        <f aca="false">AND(#REF!,"AAAAAH/7/3g=")</f>
        <v>#VALUE!</v>
      </c>
      <c r="DR66" s="22" t="e">
        <f aca="false">AND(#REF!,"AAAAAH/7/3k=")</f>
        <v>#VALUE!</v>
      </c>
      <c r="DS66" s="22" t="e">
        <f aca="false">IF(#REF!,"AAAAAH/7/3o=",0)</f>
        <v>#REF!</v>
      </c>
      <c r="DT66" s="22" t="e">
        <f aca="false">AND(#REF!,"AAAAAH/7/3s=")</f>
        <v>#VALUE!</v>
      </c>
      <c r="DU66" s="22" t="e">
        <f aca="false">AND(#REF!,"AAAAAH/7/3w=")</f>
        <v>#VALUE!</v>
      </c>
      <c r="DV66" s="22" t="e">
        <f aca="false">AND(#REF!,"AAAAAH/7/30=")</f>
        <v>#VALUE!</v>
      </c>
      <c r="DW66" s="22" t="e">
        <f aca="false">AND(#REF!,"AAAAAH/7/34=")</f>
        <v>#VALUE!</v>
      </c>
      <c r="DX66" s="22" t="e">
        <f aca="false">AND(#REF!,"AAAAAH/7/38=")</f>
        <v>#VALUE!</v>
      </c>
      <c r="DY66" s="22" t="e">
        <f aca="false">AND(#REF!,"AAAAAH/7/4A=")</f>
        <v>#VALUE!</v>
      </c>
      <c r="DZ66" s="22" t="e">
        <f aca="false">IF(#REF!,"AAAAAH/7/4E=",0)</f>
        <v>#REF!</v>
      </c>
      <c r="EA66" s="22" t="e">
        <f aca="false">AND(#REF!,"AAAAAH/7/4I=")</f>
        <v>#VALUE!</v>
      </c>
      <c r="EB66" s="22" t="e">
        <f aca="false">AND(#REF!,"AAAAAH/7/4M=")</f>
        <v>#VALUE!</v>
      </c>
      <c r="EC66" s="22" t="e">
        <f aca="false">AND(#REF!,"AAAAAH/7/4Q=")</f>
        <v>#VALUE!</v>
      </c>
      <c r="ED66" s="22" t="e">
        <f aca="false">AND(#REF!,"AAAAAH/7/4U=")</f>
        <v>#VALUE!</v>
      </c>
      <c r="EE66" s="22" t="e">
        <f aca="false">AND(#REF!,"AAAAAH/7/4Y=")</f>
        <v>#VALUE!</v>
      </c>
      <c r="EF66" s="22" t="e">
        <f aca="false">AND(#REF!,"AAAAAH/7/4c=")</f>
        <v>#VALUE!</v>
      </c>
      <c r="EG66" s="22" t="e">
        <f aca="false">IF(#REF!,"AAAAAH/7/4g=",0)</f>
        <v>#REF!</v>
      </c>
      <c r="EH66" s="22" t="e">
        <f aca="false">AND(#REF!,"AAAAAH/7/4k=")</f>
        <v>#VALUE!</v>
      </c>
      <c r="EI66" s="22" t="e">
        <f aca="false">AND(#REF!,"AAAAAH/7/4o=")</f>
        <v>#VALUE!</v>
      </c>
      <c r="EJ66" s="22" t="e">
        <f aca="false">AND(#REF!,"AAAAAH/7/4s=")</f>
        <v>#VALUE!</v>
      </c>
      <c r="EK66" s="22" t="e">
        <f aca="false">AND(#REF!,"AAAAAH/7/4w=")</f>
        <v>#VALUE!</v>
      </c>
      <c r="EL66" s="22" t="e">
        <f aca="false">AND(#REF!,"AAAAAH/7/40=")</f>
        <v>#VALUE!</v>
      </c>
      <c r="EM66" s="22" t="e">
        <f aca="false">AND(#REF!,"AAAAAH/7/44=")</f>
        <v>#VALUE!</v>
      </c>
      <c r="EN66" s="22" t="e">
        <f aca="false">IF(#REF!,"AAAAAH/7/48=",0)</f>
        <v>#REF!</v>
      </c>
      <c r="EO66" s="22" t="e">
        <f aca="false">AND(#REF!,"AAAAAH/7/5A=")</f>
        <v>#VALUE!</v>
      </c>
      <c r="EP66" s="22" t="e">
        <f aca="false">AND(#REF!,"AAAAAH/7/5E=")</f>
        <v>#VALUE!</v>
      </c>
      <c r="EQ66" s="22" t="e">
        <f aca="false">AND(#REF!,"AAAAAH/7/5I=")</f>
        <v>#VALUE!</v>
      </c>
      <c r="ER66" s="22" t="e">
        <f aca="false">AND(#REF!,"AAAAAH/7/5M=")</f>
        <v>#VALUE!</v>
      </c>
      <c r="ES66" s="22" t="e">
        <f aca="false">AND(#REF!,"AAAAAH/7/5Q=")</f>
        <v>#VALUE!</v>
      </c>
      <c r="ET66" s="22" t="e">
        <f aca="false">AND(#REF!,"AAAAAH/7/5U=")</f>
        <v>#VALUE!</v>
      </c>
      <c r="EU66" s="22" t="e">
        <f aca="false">IF(#REF!,"AAAAAH/7/5Y=",0)</f>
        <v>#REF!</v>
      </c>
      <c r="EV66" s="22" t="e">
        <f aca="false">AND(#REF!,"AAAAAH/7/5c=")</f>
        <v>#VALUE!</v>
      </c>
      <c r="EW66" s="22" t="e">
        <f aca="false">AND(#REF!,"AAAAAH/7/5g=")</f>
        <v>#VALUE!</v>
      </c>
      <c r="EX66" s="22" t="e">
        <f aca="false">AND(#REF!,"AAAAAH/7/5k=")</f>
        <v>#VALUE!</v>
      </c>
      <c r="EY66" s="22" t="e">
        <f aca="false">AND(#REF!,"AAAAAH/7/5o=")</f>
        <v>#VALUE!</v>
      </c>
      <c r="EZ66" s="22" t="e">
        <f aca="false">AND(#REF!,"AAAAAH/7/5s=")</f>
        <v>#VALUE!</v>
      </c>
      <c r="FA66" s="22" t="e">
        <f aca="false">AND(#REF!,"AAAAAH/7/5w=")</f>
        <v>#VALUE!</v>
      </c>
      <c r="FB66" s="22" t="e">
        <f aca="false">IF(#REF!,"AAAAAH/7/50=",0)</f>
        <v>#REF!</v>
      </c>
      <c r="FC66" s="22" t="e">
        <f aca="false">AND(#REF!,"AAAAAH/7/54=")</f>
        <v>#VALUE!</v>
      </c>
      <c r="FD66" s="22" t="e">
        <f aca="false">AND(#REF!,"AAAAAH/7/58=")</f>
        <v>#VALUE!</v>
      </c>
      <c r="FE66" s="22" t="e">
        <f aca="false">AND(#REF!,"AAAAAH/7/6A=")</f>
        <v>#VALUE!</v>
      </c>
      <c r="FF66" s="22" t="e">
        <f aca="false">AND(#REF!,"AAAAAH/7/6E=")</f>
        <v>#VALUE!</v>
      </c>
      <c r="FG66" s="22" t="e">
        <f aca="false">AND(#REF!,"AAAAAH/7/6I=")</f>
        <v>#VALUE!</v>
      </c>
      <c r="FH66" s="22" t="e">
        <f aca="false">AND(#REF!,"AAAAAH/7/6M=")</f>
        <v>#VALUE!</v>
      </c>
      <c r="FI66" s="22" t="e">
        <f aca="false">IF(#REF!,"AAAAAH/7/6Q=",0)</f>
        <v>#REF!</v>
      </c>
      <c r="FJ66" s="22" t="e">
        <f aca="false">AND(#REF!,"AAAAAH/7/6U=")</f>
        <v>#VALUE!</v>
      </c>
      <c r="FK66" s="22" t="e">
        <f aca="false">AND(#REF!,"AAAAAH/7/6Y=")</f>
        <v>#VALUE!</v>
      </c>
      <c r="FL66" s="22" t="e">
        <f aca="false">AND(#REF!,"AAAAAH/7/6c=")</f>
        <v>#VALUE!</v>
      </c>
      <c r="FM66" s="22" t="e">
        <f aca="false">AND(#REF!,"AAAAAH/7/6g=")</f>
        <v>#VALUE!</v>
      </c>
      <c r="FN66" s="22" t="e">
        <f aca="false">AND(#REF!,"AAAAAH/7/6k=")</f>
        <v>#VALUE!</v>
      </c>
      <c r="FO66" s="22" t="e">
        <f aca="false">AND(#REF!,"AAAAAH/7/6o=")</f>
        <v>#VALUE!</v>
      </c>
      <c r="FP66" s="22" t="e">
        <f aca="false">IF(#REF!,"AAAAAH/7/6s=",0)</f>
        <v>#REF!</v>
      </c>
      <c r="FQ66" s="22" t="e">
        <f aca="false">AND(#REF!,"AAAAAH/7/6w=")</f>
        <v>#VALUE!</v>
      </c>
      <c r="FR66" s="22" t="e">
        <f aca="false">AND(#REF!,"AAAAAH/7/60=")</f>
        <v>#VALUE!</v>
      </c>
      <c r="FS66" s="22" t="e">
        <f aca="false">AND(#REF!,"AAAAAH/7/64=")</f>
        <v>#VALUE!</v>
      </c>
      <c r="FT66" s="22" t="e">
        <f aca="false">AND(#REF!,"AAAAAH/7/68=")</f>
        <v>#VALUE!</v>
      </c>
      <c r="FU66" s="22" t="e">
        <f aca="false">AND(#REF!,"AAAAAH/7/7A=")</f>
        <v>#VALUE!</v>
      </c>
      <c r="FV66" s="22" t="e">
        <f aca="false">AND(#REF!,"AAAAAH/7/7E=")</f>
        <v>#VALUE!</v>
      </c>
      <c r="FW66" s="22" t="e">
        <f aca="false">IF(#REF!,"AAAAAH/7/7I=",0)</f>
        <v>#REF!</v>
      </c>
      <c r="FX66" s="22" t="e">
        <f aca="false">AND(#REF!,"AAAAAH/7/7M=")</f>
        <v>#VALUE!</v>
      </c>
      <c r="FY66" s="22" t="e">
        <f aca="false">AND(#REF!,"AAAAAH/7/7Q=")</f>
        <v>#VALUE!</v>
      </c>
      <c r="FZ66" s="22" t="e">
        <f aca="false">AND(#REF!,"AAAAAH/7/7U=")</f>
        <v>#VALUE!</v>
      </c>
      <c r="GA66" s="22" t="e">
        <f aca="false">AND(#REF!,"AAAAAH/7/7Y=")</f>
        <v>#VALUE!</v>
      </c>
      <c r="GB66" s="22" t="e">
        <f aca="false">AND(#REF!,"AAAAAH/7/7c=")</f>
        <v>#VALUE!</v>
      </c>
      <c r="GC66" s="22" t="e">
        <f aca="false">AND(#REF!,"AAAAAH/7/7g=")</f>
        <v>#VALUE!</v>
      </c>
      <c r="GD66" s="22" t="e">
        <f aca="false">IF(#REF!,"AAAAAH/7/7k=",0)</f>
        <v>#REF!</v>
      </c>
      <c r="GE66" s="22" t="e">
        <f aca="false">AND(#REF!,"AAAAAH/7/7o=")</f>
        <v>#VALUE!</v>
      </c>
      <c r="GF66" s="22" t="e">
        <f aca="false">AND(#REF!,"AAAAAH/7/7s=")</f>
        <v>#VALUE!</v>
      </c>
      <c r="GG66" s="22" t="e">
        <f aca="false">AND(#REF!,"AAAAAH/7/7w=")</f>
        <v>#VALUE!</v>
      </c>
      <c r="GH66" s="22" t="e">
        <f aca="false">AND(#REF!,"AAAAAH/7/70=")</f>
        <v>#VALUE!</v>
      </c>
      <c r="GI66" s="22" t="e">
        <f aca="false">AND(#REF!,"AAAAAH/7/74=")</f>
        <v>#VALUE!</v>
      </c>
      <c r="GJ66" s="22" t="e">
        <f aca="false">AND(#REF!,"AAAAAH/7/78=")</f>
        <v>#VALUE!</v>
      </c>
      <c r="GK66" s="22" t="e">
        <f aca="false">IF(#REF!,"AAAAAH/7/8A=",0)</f>
        <v>#REF!</v>
      </c>
      <c r="GL66" s="22" t="e">
        <f aca="false">AND(#REF!,"AAAAAH/7/8E=")</f>
        <v>#VALUE!</v>
      </c>
      <c r="GM66" s="22" t="e">
        <f aca="false">AND(#REF!,"AAAAAH/7/8I=")</f>
        <v>#VALUE!</v>
      </c>
      <c r="GN66" s="22" t="e">
        <f aca="false">AND(#REF!,"AAAAAH/7/8M=")</f>
        <v>#VALUE!</v>
      </c>
      <c r="GO66" s="22" t="e">
        <f aca="false">AND(#REF!,"AAAAAH/7/8Q=")</f>
        <v>#VALUE!</v>
      </c>
      <c r="GP66" s="22" t="e">
        <f aca="false">AND(#REF!,"AAAAAH/7/8U=")</f>
        <v>#VALUE!</v>
      </c>
      <c r="GQ66" s="22" t="e">
        <f aca="false">AND(#REF!,"AAAAAH/7/8Y=")</f>
        <v>#VALUE!</v>
      </c>
      <c r="GR66" s="22" t="e">
        <f aca="false">IF(#REF!,"AAAAAH/7/8c=",0)</f>
        <v>#REF!</v>
      </c>
      <c r="GS66" s="22" t="e">
        <f aca="false">AND(#REF!,"AAAAAH/7/8g=")</f>
        <v>#VALUE!</v>
      </c>
      <c r="GT66" s="22" t="e">
        <f aca="false">AND(#REF!,"AAAAAH/7/8k=")</f>
        <v>#VALUE!</v>
      </c>
      <c r="GU66" s="22" t="e">
        <f aca="false">AND(#REF!,"AAAAAH/7/8o=")</f>
        <v>#VALUE!</v>
      </c>
      <c r="GV66" s="22" t="e">
        <f aca="false">AND(#REF!,"AAAAAH/7/8s=")</f>
        <v>#VALUE!</v>
      </c>
      <c r="GW66" s="22" t="e">
        <f aca="false">AND(#REF!,"AAAAAH/7/8w=")</f>
        <v>#VALUE!</v>
      </c>
      <c r="GX66" s="22" t="e">
        <f aca="false">AND(#REF!,"AAAAAH/7/80=")</f>
        <v>#VALUE!</v>
      </c>
      <c r="GY66" s="22" t="e">
        <f aca="false">IF(#REF!,"AAAAAH/7/84=",0)</f>
        <v>#REF!</v>
      </c>
      <c r="GZ66" s="22" t="e">
        <f aca="false">AND(#REF!,"AAAAAH/7/88=")</f>
        <v>#VALUE!</v>
      </c>
      <c r="HA66" s="22" t="e">
        <f aca="false">AND(#REF!,"AAAAAH/7/9A=")</f>
        <v>#VALUE!</v>
      </c>
      <c r="HB66" s="22" t="e">
        <f aca="false">AND(#REF!,"AAAAAH/7/9E=")</f>
        <v>#VALUE!</v>
      </c>
      <c r="HC66" s="22" t="e">
        <f aca="false">AND(#REF!,"AAAAAH/7/9I=")</f>
        <v>#VALUE!</v>
      </c>
      <c r="HD66" s="22" t="e">
        <f aca="false">AND(#REF!,"AAAAAH/7/9M=")</f>
        <v>#VALUE!</v>
      </c>
      <c r="HE66" s="22" t="e">
        <f aca="false">AND(#REF!,"AAAAAH/7/9Q=")</f>
        <v>#VALUE!</v>
      </c>
      <c r="HF66" s="22" t="e">
        <f aca="false">IF(#REF!,"AAAAAH/7/9U=",0)</f>
        <v>#REF!</v>
      </c>
      <c r="HG66" s="22" t="e">
        <f aca="false">AND(#REF!,"AAAAAH/7/9Y=")</f>
        <v>#VALUE!</v>
      </c>
      <c r="HH66" s="22" t="e">
        <f aca="false">AND(#REF!,"AAAAAH/7/9c=")</f>
        <v>#VALUE!</v>
      </c>
      <c r="HI66" s="22" t="e">
        <f aca="false">AND(#REF!,"AAAAAH/7/9g=")</f>
        <v>#VALUE!</v>
      </c>
      <c r="HJ66" s="22" t="e">
        <f aca="false">AND(#REF!,"AAAAAH/7/9k=")</f>
        <v>#VALUE!</v>
      </c>
      <c r="HK66" s="22" t="e">
        <f aca="false">AND(#REF!,"AAAAAH/7/9o=")</f>
        <v>#VALUE!</v>
      </c>
      <c r="HL66" s="22" t="e">
        <f aca="false">AND(#REF!,"AAAAAH/7/9s=")</f>
        <v>#VALUE!</v>
      </c>
      <c r="HM66" s="22" t="e">
        <f aca="false">IF(#REF!,"AAAAAH/7/9w=",0)</f>
        <v>#REF!</v>
      </c>
      <c r="HN66" s="22" t="e">
        <f aca="false">AND(#REF!,"AAAAAH/7/90=")</f>
        <v>#VALUE!</v>
      </c>
      <c r="HO66" s="22" t="e">
        <f aca="false">AND(#REF!,"AAAAAH/7/94=")</f>
        <v>#VALUE!</v>
      </c>
      <c r="HP66" s="22" t="e">
        <f aca="false">AND(#REF!,"AAAAAH/7/98=")</f>
        <v>#VALUE!</v>
      </c>
      <c r="HQ66" s="22" t="e">
        <f aca="false">AND(#REF!,"AAAAAH/7/+A=")</f>
        <v>#VALUE!</v>
      </c>
      <c r="HR66" s="22" t="e">
        <f aca="false">AND(#REF!,"AAAAAH/7/+E=")</f>
        <v>#VALUE!</v>
      </c>
      <c r="HS66" s="22" t="e">
        <f aca="false">AND(#REF!,"AAAAAH/7/+I=")</f>
        <v>#VALUE!</v>
      </c>
      <c r="HT66" s="22" t="e">
        <f aca="false">IF(#REF!,"AAAAAH/7/+M=",0)</f>
        <v>#REF!</v>
      </c>
      <c r="HU66" s="22" t="e">
        <f aca="false">AND(#REF!,"AAAAAH/7/+Q=")</f>
        <v>#VALUE!</v>
      </c>
      <c r="HV66" s="22" t="e">
        <f aca="false">AND(#REF!,"AAAAAH/7/+U=")</f>
        <v>#VALUE!</v>
      </c>
      <c r="HW66" s="22" t="e">
        <f aca="false">AND(#REF!,"AAAAAH/7/+Y=")</f>
        <v>#VALUE!</v>
      </c>
      <c r="HX66" s="22" t="e">
        <f aca="false">AND(#REF!,"AAAAAH/7/+c=")</f>
        <v>#VALUE!</v>
      </c>
      <c r="HY66" s="22" t="e">
        <f aca="false">AND(#REF!,"AAAAAH/7/+g=")</f>
        <v>#VALUE!</v>
      </c>
      <c r="HZ66" s="22" t="e">
        <f aca="false">AND(#REF!,"AAAAAH/7/+k=")</f>
        <v>#VALUE!</v>
      </c>
      <c r="IA66" s="22" t="e">
        <f aca="false">IF(#REF!,"AAAAAH/7/+o=",0)</f>
        <v>#REF!</v>
      </c>
      <c r="IB66" s="22" t="e">
        <f aca="false">AND(#REF!,"AAAAAH/7/+s=")</f>
        <v>#VALUE!</v>
      </c>
      <c r="IC66" s="22" t="e">
        <f aca="false">AND(#REF!,"AAAAAH/7/+w=")</f>
        <v>#VALUE!</v>
      </c>
      <c r="ID66" s="22" t="e">
        <f aca="false">AND(#REF!,"AAAAAH/7/+0=")</f>
        <v>#VALUE!</v>
      </c>
      <c r="IE66" s="22" t="e">
        <f aca="false">AND(#REF!,"AAAAAH/7/+4=")</f>
        <v>#VALUE!</v>
      </c>
      <c r="IF66" s="22" t="e">
        <f aca="false">AND(#REF!,"AAAAAH/7/+8=")</f>
        <v>#VALUE!</v>
      </c>
      <c r="IG66" s="22" t="e">
        <f aca="false">AND(#REF!,"AAAAAH/7//A=")</f>
        <v>#VALUE!</v>
      </c>
      <c r="IH66" s="22" t="e">
        <f aca="false">IF(#REF!,"AAAAAH/7//E=",0)</f>
        <v>#REF!</v>
      </c>
      <c r="II66" s="22" t="e">
        <f aca="false">AND(#REF!,"AAAAAH/7//I=")</f>
        <v>#VALUE!</v>
      </c>
      <c r="IJ66" s="22" t="e">
        <f aca="false">AND(#REF!,"AAAAAH/7//M=")</f>
        <v>#VALUE!</v>
      </c>
      <c r="IK66" s="22" t="e">
        <f aca="false">AND(#REF!,"AAAAAH/7//Q=")</f>
        <v>#VALUE!</v>
      </c>
      <c r="IL66" s="22" t="e">
        <f aca="false">AND(#REF!,"AAAAAH/7//U=")</f>
        <v>#VALUE!</v>
      </c>
      <c r="IM66" s="22" t="e">
        <f aca="false">AND(#REF!,"AAAAAH/7//Y=")</f>
        <v>#VALUE!</v>
      </c>
      <c r="IN66" s="22" t="e">
        <f aca="false">AND(#REF!,"AAAAAH/7//c=")</f>
        <v>#VALUE!</v>
      </c>
      <c r="IO66" s="22" t="e">
        <f aca="false">IF(#REF!,"AAAAAH/7//g=",0)</f>
        <v>#REF!</v>
      </c>
      <c r="IP66" s="22" t="e">
        <f aca="false">AND(#REF!,"AAAAAH/7//k=")</f>
        <v>#VALUE!</v>
      </c>
      <c r="IQ66" s="22" t="e">
        <f aca="false">AND(#REF!,"AAAAAH/7//o=")</f>
        <v>#VALUE!</v>
      </c>
      <c r="IR66" s="22" t="e">
        <f aca="false">AND(#REF!,"AAAAAH/7//s=")</f>
        <v>#VALUE!</v>
      </c>
      <c r="IS66" s="22" t="e">
        <f aca="false">AND(#REF!,"AAAAAH/7//w=")</f>
        <v>#VALUE!</v>
      </c>
      <c r="IT66" s="22" t="e">
        <f aca="false">AND(#REF!,"AAAAAH/7//0=")</f>
        <v>#VALUE!</v>
      </c>
      <c r="IU66" s="22" t="e">
        <f aca="false">AND(#REF!,"AAAAAH/7//4=")</f>
        <v>#VALUE!</v>
      </c>
      <c r="IV66" s="22" t="e">
        <f aca="false">IF(#REF!,"AAAAAH/7//8=",0)</f>
        <v>#REF!</v>
      </c>
    </row>
    <row r="67" customFormat="false" ht="12.75" hidden="false" customHeight="false" outlineLevel="0" collapsed="false">
      <c r="A67" s="22" t="e">
        <f aca="false">AND(#REF!,"AAAAAB///AA=")</f>
        <v>#VALUE!</v>
      </c>
      <c r="B67" s="22" t="e">
        <f aca="false">AND(#REF!,"AAAAAB///AE=")</f>
        <v>#VALUE!</v>
      </c>
      <c r="C67" s="22" t="e">
        <f aca="false">AND(#REF!,"AAAAAB///AI=")</f>
        <v>#VALUE!</v>
      </c>
      <c r="D67" s="22" t="e">
        <f aca="false">AND(#REF!,"AAAAAB///AM=")</f>
        <v>#VALUE!</v>
      </c>
      <c r="E67" s="22" t="e">
        <f aca="false">AND(#REF!,"AAAAAB///AQ=")</f>
        <v>#VALUE!</v>
      </c>
      <c r="F67" s="22" t="e">
        <f aca="false">AND(#REF!,"AAAAAB///AU=")</f>
        <v>#VALUE!</v>
      </c>
      <c r="G67" s="22" t="e">
        <f aca="false">IF(#REF!,"AAAAAB///AY=",0)</f>
        <v>#REF!</v>
      </c>
      <c r="H67" s="22" t="e">
        <f aca="false">AND(#REF!,"AAAAAB///Ac=")</f>
        <v>#VALUE!</v>
      </c>
      <c r="I67" s="22" t="e">
        <f aca="false">AND(#REF!,"AAAAAB///Ag=")</f>
        <v>#VALUE!</v>
      </c>
      <c r="J67" s="22" t="e">
        <f aca="false">AND(#REF!,"AAAAAB///Ak=")</f>
        <v>#VALUE!</v>
      </c>
      <c r="K67" s="22" t="e">
        <f aca="false">AND(#REF!,"AAAAAB///Ao=")</f>
        <v>#VALUE!</v>
      </c>
      <c r="L67" s="22" t="e">
        <f aca="false">AND(#REF!,"AAAAAB///As=")</f>
        <v>#VALUE!</v>
      </c>
      <c r="M67" s="22" t="e">
        <f aca="false">AND(#REF!,"AAAAAB///Aw=")</f>
        <v>#VALUE!</v>
      </c>
      <c r="N67" s="22" t="e">
        <f aca="false">IF(#REF!,"AAAAAB///A0=",0)</f>
        <v>#REF!</v>
      </c>
      <c r="O67" s="22" t="e">
        <f aca="false">AND(#REF!,"AAAAAB///A4=")</f>
        <v>#VALUE!</v>
      </c>
      <c r="P67" s="22" t="e">
        <f aca="false">AND(#REF!,"AAAAAB///A8=")</f>
        <v>#VALUE!</v>
      </c>
      <c r="Q67" s="22" t="e">
        <f aca="false">AND(#REF!,"AAAAAB///BA=")</f>
        <v>#VALUE!</v>
      </c>
      <c r="R67" s="22" t="e">
        <f aca="false">AND(#REF!,"AAAAAB///BE=")</f>
        <v>#VALUE!</v>
      </c>
      <c r="S67" s="22" t="e">
        <f aca="false">AND(#REF!,"AAAAAB///BI=")</f>
        <v>#VALUE!</v>
      </c>
      <c r="T67" s="22" t="e">
        <f aca="false">AND(#REF!,"AAAAAB///BM=")</f>
        <v>#VALUE!</v>
      </c>
      <c r="U67" s="22" t="e">
        <f aca="false">IF(#REF!,"AAAAAB///BQ=",0)</f>
        <v>#REF!</v>
      </c>
      <c r="V67" s="22" t="e">
        <f aca="false">AND(#REF!,"AAAAAB///BU=")</f>
        <v>#VALUE!</v>
      </c>
      <c r="W67" s="22" t="e">
        <f aca="false">AND(#REF!,"AAAAAB///BY=")</f>
        <v>#VALUE!</v>
      </c>
      <c r="X67" s="22" t="e">
        <f aca="false">AND(#REF!,"AAAAAB///Bc=")</f>
        <v>#VALUE!</v>
      </c>
      <c r="Y67" s="22" t="e">
        <f aca="false">AND(#REF!,"AAAAAB///Bg=")</f>
        <v>#VALUE!</v>
      </c>
      <c r="Z67" s="22" t="e">
        <f aca="false">AND(#REF!,"AAAAAB///Bk=")</f>
        <v>#VALUE!</v>
      </c>
      <c r="AA67" s="22" t="e">
        <f aca="false">AND(#REF!,"AAAAAB///Bo=")</f>
        <v>#VALUE!</v>
      </c>
      <c r="AB67" s="22" t="e">
        <f aca="false">IF(#REF!,"AAAAAB///Bs=",0)</f>
        <v>#REF!</v>
      </c>
      <c r="AC67" s="22" t="e">
        <f aca="false">AND(#REF!,"AAAAAB///Bw=")</f>
        <v>#VALUE!</v>
      </c>
      <c r="AD67" s="22" t="e">
        <f aca="false">AND(#REF!,"AAAAAB///B0=")</f>
        <v>#VALUE!</v>
      </c>
      <c r="AE67" s="22" t="e">
        <f aca="false">AND(#REF!,"AAAAAB///B4=")</f>
        <v>#VALUE!</v>
      </c>
      <c r="AF67" s="22" t="e">
        <f aca="false">AND(#REF!,"AAAAAB///B8=")</f>
        <v>#VALUE!</v>
      </c>
      <c r="AG67" s="22" t="e">
        <f aca="false">AND(#REF!,"AAAAAB///CA=")</f>
        <v>#VALUE!</v>
      </c>
      <c r="AH67" s="22" t="e">
        <f aca="false">AND(#REF!,"AAAAAB///CE=")</f>
        <v>#VALUE!</v>
      </c>
      <c r="AI67" s="22" t="e">
        <f aca="false">IF(#REF!,"AAAAAB///CI=",0)</f>
        <v>#REF!</v>
      </c>
      <c r="AJ67" s="22" t="e">
        <f aca="false">AND(#REF!,"AAAAAB///CM=")</f>
        <v>#VALUE!</v>
      </c>
      <c r="AK67" s="22" t="e">
        <f aca="false">AND(#REF!,"AAAAAB///CQ=")</f>
        <v>#VALUE!</v>
      </c>
      <c r="AL67" s="22" t="e">
        <f aca="false">AND(#REF!,"AAAAAB///CU=")</f>
        <v>#VALUE!</v>
      </c>
      <c r="AM67" s="22" t="e">
        <f aca="false">AND(#REF!,"AAAAAB///CY=")</f>
        <v>#VALUE!</v>
      </c>
      <c r="AN67" s="22" t="e">
        <f aca="false">AND(#REF!,"AAAAAB///Cc=")</f>
        <v>#VALUE!</v>
      </c>
      <c r="AO67" s="22" t="e">
        <f aca="false">AND(#REF!,"AAAAAB///Cg=")</f>
        <v>#VALUE!</v>
      </c>
      <c r="AP67" s="22" t="e">
        <f aca="false">IF(#REF!,"AAAAAB///Ck=",0)</f>
        <v>#REF!</v>
      </c>
      <c r="AQ67" s="22" t="e">
        <f aca="false">AND(#REF!,"AAAAAB///Co=")</f>
        <v>#VALUE!</v>
      </c>
      <c r="AR67" s="22" t="e">
        <f aca="false">AND(#REF!,"AAAAAB///Cs=")</f>
        <v>#VALUE!</v>
      </c>
      <c r="AS67" s="22" t="e">
        <f aca="false">AND(#REF!,"AAAAAB///Cw=")</f>
        <v>#VALUE!</v>
      </c>
      <c r="AT67" s="22" t="e">
        <f aca="false">AND(#REF!,"AAAAAB///C0=")</f>
        <v>#VALUE!</v>
      </c>
      <c r="AU67" s="22" t="e">
        <f aca="false">AND(#REF!,"AAAAAB///C4=")</f>
        <v>#VALUE!</v>
      </c>
      <c r="AV67" s="22" t="e">
        <f aca="false">AND(#REF!,"AAAAAB///C8=")</f>
        <v>#VALUE!</v>
      </c>
      <c r="AW67" s="22" t="e">
        <f aca="false">IF(#REF!,"AAAAAB///DA=",0)</f>
        <v>#REF!</v>
      </c>
      <c r="AX67" s="22" t="e">
        <f aca="false">AND(#REF!,"AAAAAB///DE=")</f>
        <v>#VALUE!</v>
      </c>
      <c r="AY67" s="22" t="e">
        <f aca="false">AND(#REF!,"AAAAAB///DI=")</f>
        <v>#VALUE!</v>
      </c>
      <c r="AZ67" s="22" t="e">
        <f aca="false">AND(#REF!,"AAAAAB///DM=")</f>
        <v>#VALUE!</v>
      </c>
      <c r="BA67" s="22" t="e">
        <f aca="false">AND(#REF!,"AAAAAB///DQ=")</f>
        <v>#VALUE!</v>
      </c>
      <c r="BB67" s="22" t="e">
        <f aca="false">AND(#REF!,"AAAAAB///DU=")</f>
        <v>#VALUE!</v>
      </c>
      <c r="BC67" s="22" t="e">
        <f aca="false">AND(#REF!,"AAAAAB///DY=")</f>
        <v>#VALUE!</v>
      </c>
      <c r="BD67" s="22" t="e">
        <f aca="false">IF(#REF!,"AAAAAB///Dc=",0)</f>
        <v>#REF!</v>
      </c>
      <c r="BE67" s="22" t="e">
        <f aca="false">AND(#REF!,"AAAAAB///Dg=")</f>
        <v>#VALUE!</v>
      </c>
      <c r="BF67" s="22" t="e">
        <f aca="false">AND(#REF!,"AAAAAB///Dk=")</f>
        <v>#VALUE!</v>
      </c>
      <c r="BG67" s="22" t="e">
        <f aca="false">AND(#REF!,"AAAAAB///Do=")</f>
        <v>#VALUE!</v>
      </c>
      <c r="BH67" s="22" t="e">
        <f aca="false">AND(#REF!,"AAAAAB///Ds=")</f>
        <v>#VALUE!</v>
      </c>
      <c r="BI67" s="22" t="e">
        <f aca="false">AND(#REF!,"AAAAAB///Dw=")</f>
        <v>#VALUE!</v>
      </c>
      <c r="BJ67" s="22" t="e">
        <f aca="false">AND(#REF!,"AAAAAB///D0=")</f>
        <v>#VALUE!</v>
      </c>
      <c r="BK67" s="22" t="e">
        <f aca="false">IF(#REF!,"AAAAAB///D4=",0)</f>
        <v>#REF!</v>
      </c>
      <c r="BL67" s="22" t="e">
        <f aca="false">AND(#REF!,"AAAAAB///D8=")</f>
        <v>#VALUE!</v>
      </c>
      <c r="BM67" s="22" t="e">
        <f aca="false">AND(#REF!,"AAAAAB///EA=")</f>
        <v>#VALUE!</v>
      </c>
      <c r="BN67" s="22" t="e">
        <f aca="false">AND(#REF!,"AAAAAB///EE=")</f>
        <v>#VALUE!</v>
      </c>
      <c r="BO67" s="22" t="e">
        <f aca="false">AND(#REF!,"AAAAAB///EI=")</f>
        <v>#VALUE!</v>
      </c>
      <c r="BP67" s="22" t="e">
        <f aca="false">AND(#REF!,"AAAAAB///EM=")</f>
        <v>#VALUE!</v>
      </c>
      <c r="BQ67" s="22" t="e">
        <f aca="false">AND(#REF!,"AAAAAB///EQ=")</f>
        <v>#VALUE!</v>
      </c>
      <c r="BR67" s="22" t="e">
        <f aca="false">IF(#REF!,"AAAAAB///EU=",0)</f>
        <v>#REF!</v>
      </c>
      <c r="BS67" s="22" t="e">
        <f aca="false">AND(#REF!,"AAAAAB///EY=")</f>
        <v>#VALUE!</v>
      </c>
      <c r="BT67" s="22" t="e">
        <f aca="false">AND(#REF!,"AAAAAB///Ec=")</f>
        <v>#VALUE!</v>
      </c>
      <c r="BU67" s="22" t="e">
        <f aca="false">AND(#REF!,"AAAAAB///Eg=")</f>
        <v>#VALUE!</v>
      </c>
      <c r="BV67" s="22" t="e">
        <f aca="false">AND(#REF!,"AAAAAB///Ek=")</f>
        <v>#VALUE!</v>
      </c>
      <c r="BW67" s="22" t="e">
        <f aca="false">AND(#REF!,"AAAAAB///Eo=")</f>
        <v>#VALUE!</v>
      </c>
      <c r="BX67" s="22" t="e">
        <f aca="false">AND(#REF!,"AAAAAB///Es=")</f>
        <v>#VALUE!</v>
      </c>
      <c r="BY67" s="22" t="e">
        <f aca="false">IF(#REF!,"AAAAAB///Ew=",0)</f>
        <v>#REF!</v>
      </c>
      <c r="BZ67" s="22" t="e">
        <f aca="false">AND(#REF!,"AAAAAB///E0=")</f>
        <v>#VALUE!</v>
      </c>
      <c r="CA67" s="22" t="e">
        <f aca="false">AND(#REF!,"AAAAAB///E4=")</f>
        <v>#VALUE!</v>
      </c>
      <c r="CB67" s="22" t="e">
        <f aca="false">AND(#REF!,"AAAAAB///E8=")</f>
        <v>#VALUE!</v>
      </c>
      <c r="CC67" s="22" t="e">
        <f aca="false">AND(#REF!,"AAAAAB///FA=")</f>
        <v>#VALUE!</v>
      </c>
      <c r="CD67" s="22" t="e">
        <f aca="false">AND(#REF!,"AAAAAB///FE=")</f>
        <v>#VALUE!</v>
      </c>
      <c r="CE67" s="22" t="e">
        <f aca="false">AND(#REF!,"AAAAAB///FI=")</f>
        <v>#VALUE!</v>
      </c>
      <c r="CF67" s="22" t="e">
        <f aca="false">IF(#REF!,"AAAAAB///FM=",0)</f>
        <v>#REF!</v>
      </c>
      <c r="CG67" s="22" t="e">
        <f aca="false">AND(#REF!,"AAAAAB///FQ=")</f>
        <v>#VALUE!</v>
      </c>
      <c r="CH67" s="22" t="e">
        <f aca="false">AND(#REF!,"AAAAAB///FU=")</f>
        <v>#VALUE!</v>
      </c>
      <c r="CI67" s="22" t="e">
        <f aca="false">AND(#REF!,"AAAAAB///FY=")</f>
        <v>#VALUE!</v>
      </c>
      <c r="CJ67" s="22" t="e">
        <f aca="false">AND(#REF!,"AAAAAB///Fc=")</f>
        <v>#VALUE!</v>
      </c>
      <c r="CK67" s="22" t="e">
        <f aca="false">AND(#REF!,"AAAAAB///Fg=")</f>
        <v>#VALUE!</v>
      </c>
      <c r="CL67" s="22" t="e">
        <f aca="false">AND(#REF!,"AAAAAB///Fk=")</f>
        <v>#VALUE!</v>
      </c>
      <c r="CM67" s="22" t="e">
        <f aca="false">IF(#REF!,"AAAAAB///Fo=",0)</f>
        <v>#REF!</v>
      </c>
      <c r="CN67" s="22" t="e">
        <f aca="false">AND(#REF!,"AAAAAB///Fs=")</f>
        <v>#VALUE!</v>
      </c>
      <c r="CO67" s="22" t="e">
        <f aca="false">AND(#REF!,"AAAAAB///Fw=")</f>
        <v>#VALUE!</v>
      </c>
      <c r="CP67" s="22" t="e">
        <f aca="false">AND(#REF!,"AAAAAB///F0=")</f>
        <v>#VALUE!</v>
      </c>
      <c r="CQ67" s="22" t="e">
        <f aca="false">AND(#REF!,"AAAAAB///F4=")</f>
        <v>#VALUE!</v>
      </c>
      <c r="CR67" s="22" t="e">
        <f aca="false">AND(#REF!,"AAAAAB///F8=")</f>
        <v>#VALUE!</v>
      </c>
      <c r="CS67" s="22" t="e">
        <f aca="false">AND(#REF!,"AAAAAB///GA=")</f>
        <v>#VALUE!</v>
      </c>
      <c r="CT67" s="22" t="e">
        <f aca="false">IF(#REF!,"AAAAAB///GE=",0)</f>
        <v>#REF!</v>
      </c>
      <c r="CU67" s="22" t="e">
        <f aca="false">AND(#REF!,"AAAAAB///GI=")</f>
        <v>#VALUE!</v>
      </c>
      <c r="CV67" s="22" t="e">
        <f aca="false">AND(#REF!,"AAAAAB///GM=")</f>
        <v>#VALUE!</v>
      </c>
      <c r="CW67" s="22" t="e">
        <f aca="false">AND(#REF!,"AAAAAB///GQ=")</f>
        <v>#VALUE!</v>
      </c>
      <c r="CX67" s="22" t="e">
        <f aca="false">AND(#REF!,"AAAAAB///GU=")</f>
        <v>#VALUE!</v>
      </c>
      <c r="CY67" s="22" t="e">
        <f aca="false">AND(#REF!,"AAAAAB///GY=")</f>
        <v>#VALUE!</v>
      </c>
      <c r="CZ67" s="22" t="e">
        <f aca="false">AND(#REF!,"AAAAAB///Gc=")</f>
        <v>#VALUE!</v>
      </c>
      <c r="DA67" s="22" t="e">
        <f aca="false">IF(#REF!,"AAAAAB///Gg=",0)</f>
        <v>#REF!</v>
      </c>
      <c r="DB67" s="22" t="e">
        <f aca="false">AND(#REF!,"AAAAAB///Gk=")</f>
        <v>#VALUE!</v>
      </c>
      <c r="DC67" s="22" t="e">
        <f aca="false">AND(#REF!,"AAAAAB///Go=")</f>
        <v>#VALUE!</v>
      </c>
      <c r="DD67" s="22" t="e">
        <f aca="false">AND(#REF!,"AAAAAB///Gs=")</f>
        <v>#VALUE!</v>
      </c>
      <c r="DE67" s="22" t="e">
        <f aca="false">AND(#REF!,"AAAAAB///Gw=")</f>
        <v>#VALUE!</v>
      </c>
      <c r="DF67" s="22" t="e">
        <f aca="false">AND(#REF!,"AAAAAB///G0=")</f>
        <v>#VALUE!</v>
      </c>
      <c r="DG67" s="22" t="e">
        <f aca="false">AND(#REF!,"AAAAAB///G4=")</f>
        <v>#VALUE!</v>
      </c>
      <c r="DH67" s="22" t="e">
        <f aca="false">IF(#REF!,"AAAAAB///G8=",0)</f>
        <v>#REF!</v>
      </c>
      <c r="DI67" s="22" t="e">
        <f aca="false">AND(#REF!,"AAAAAB///HA=")</f>
        <v>#VALUE!</v>
      </c>
      <c r="DJ67" s="22" t="e">
        <f aca="false">AND(#REF!,"AAAAAB///HE=")</f>
        <v>#VALUE!</v>
      </c>
      <c r="DK67" s="22" t="e">
        <f aca="false">AND(#REF!,"AAAAAB///HI=")</f>
        <v>#VALUE!</v>
      </c>
      <c r="DL67" s="22" t="e">
        <f aca="false">AND(#REF!,"AAAAAB///HM=")</f>
        <v>#VALUE!</v>
      </c>
      <c r="DM67" s="22" t="e">
        <f aca="false">AND(#REF!,"AAAAAB///HQ=")</f>
        <v>#VALUE!</v>
      </c>
      <c r="DN67" s="22" t="e">
        <f aca="false">AND(#REF!,"AAAAAB///HU=")</f>
        <v>#VALUE!</v>
      </c>
      <c r="DO67" s="22" t="e">
        <f aca="false">IF(#REF!,"AAAAAB///HY=",0)</f>
        <v>#REF!</v>
      </c>
      <c r="DP67" s="22" t="e">
        <f aca="false">AND(#REF!,"AAAAAB///Hc=")</f>
        <v>#VALUE!</v>
      </c>
      <c r="DQ67" s="22" t="e">
        <f aca="false">AND(#REF!,"AAAAAB///Hg=")</f>
        <v>#VALUE!</v>
      </c>
      <c r="DR67" s="22" t="e">
        <f aca="false">AND(#REF!,"AAAAAB///Hk=")</f>
        <v>#VALUE!</v>
      </c>
      <c r="DS67" s="22" t="e">
        <f aca="false">AND(#REF!,"AAAAAB///Ho=")</f>
        <v>#VALUE!</v>
      </c>
      <c r="DT67" s="22" t="e">
        <f aca="false">AND(#REF!,"AAAAAB///Hs=")</f>
        <v>#VALUE!</v>
      </c>
      <c r="DU67" s="22" t="e">
        <f aca="false">AND(#REF!,"AAAAAB///Hw=")</f>
        <v>#VALUE!</v>
      </c>
      <c r="DV67" s="22" t="e">
        <f aca="false">IF(#REF!,"AAAAAB///H0=",0)</f>
        <v>#REF!</v>
      </c>
      <c r="DW67" s="22" t="e">
        <f aca="false">AND(#REF!,"AAAAAB///H4=")</f>
        <v>#VALUE!</v>
      </c>
      <c r="DX67" s="22" t="e">
        <f aca="false">AND(#REF!,"AAAAAB///H8=")</f>
        <v>#VALUE!</v>
      </c>
      <c r="DY67" s="22" t="e">
        <f aca="false">AND(#REF!,"AAAAAB///IA=")</f>
        <v>#VALUE!</v>
      </c>
      <c r="DZ67" s="22" t="e">
        <f aca="false">AND(#REF!,"AAAAAB///IE=")</f>
        <v>#VALUE!</v>
      </c>
      <c r="EA67" s="22" t="e">
        <f aca="false">AND(#REF!,"AAAAAB///II=")</f>
        <v>#VALUE!</v>
      </c>
      <c r="EB67" s="22" t="e">
        <f aca="false">AND(#REF!,"AAAAAB///IM=")</f>
        <v>#VALUE!</v>
      </c>
      <c r="EC67" s="22" t="e">
        <f aca="false">IF(#REF!,"AAAAAB///IQ=",0)</f>
        <v>#REF!</v>
      </c>
      <c r="ED67" s="22" t="e">
        <f aca="false">AND(#REF!,"AAAAAB///IU=")</f>
        <v>#VALUE!</v>
      </c>
      <c r="EE67" s="22" t="e">
        <f aca="false">AND(#REF!,"AAAAAB///IY=")</f>
        <v>#VALUE!</v>
      </c>
      <c r="EF67" s="22" t="e">
        <f aca="false">AND(#REF!,"AAAAAB///Ic=")</f>
        <v>#VALUE!</v>
      </c>
      <c r="EG67" s="22" t="e">
        <f aca="false">AND(#REF!,"AAAAAB///Ig=")</f>
        <v>#VALUE!</v>
      </c>
      <c r="EH67" s="22" t="e">
        <f aca="false">AND(#REF!,"AAAAAB///Ik=")</f>
        <v>#VALUE!</v>
      </c>
      <c r="EI67" s="22" t="e">
        <f aca="false">AND(#REF!,"AAAAAB///Io=")</f>
        <v>#VALUE!</v>
      </c>
      <c r="EJ67" s="22" t="e">
        <f aca="false">IF(#REF!,"AAAAAB///Is=",0)</f>
        <v>#REF!</v>
      </c>
      <c r="EK67" s="22" t="e">
        <f aca="false">AND(#REF!,"AAAAAB///Iw=")</f>
        <v>#VALUE!</v>
      </c>
      <c r="EL67" s="22" t="e">
        <f aca="false">AND(#REF!,"AAAAAB///I0=")</f>
        <v>#VALUE!</v>
      </c>
      <c r="EM67" s="22" t="e">
        <f aca="false">AND(#REF!,"AAAAAB///I4=")</f>
        <v>#VALUE!</v>
      </c>
      <c r="EN67" s="22" t="e">
        <f aca="false">AND(#REF!,"AAAAAB///I8=")</f>
        <v>#VALUE!</v>
      </c>
      <c r="EO67" s="22" t="e">
        <f aca="false">AND(#REF!,"AAAAAB///JA=")</f>
        <v>#VALUE!</v>
      </c>
      <c r="EP67" s="22" t="e">
        <f aca="false">AND(#REF!,"AAAAAB///JE=")</f>
        <v>#VALUE!</v>
      </c>
      <c r="EQ67" s="22" t="e">
        <f aca="false">IF(#REF!,"AAAAAB///JI=",0)</f>
        <v>#REF!</v>
      </c>
      <c r="ER67" s="22" t="e">
        <f aca="false">AND(#REF!,"AAAAAB///JM=")</f>
        <v>#VALUE!</v>
      </c>
      <c r="ES67" s="22" t="e">
        <f aca="false">AND(#REF!,"AAAAAB///JQ=")</f>
        <v>#VALUE!</v>
      </c>
      <c r="ET67" s="22" t="e">
        <f aca="false">AND(#REF!,"AAAAAB///JU=")</f>
        <v>#VALUE!</v>
      </c>
      <c r="EU67" s="22" t="e">
        <f aca="false">AND(#REF!,"AAAAAB///JY=")</f>
        <v>#VALUE!</v>
      </c>
      <c r="EV67" s="22" t="e">
        <f aca="false">AND(#REF!,"AAAAAB///Jc=")</f>
        <v>#VALUE!</v>
      </c>
      <c r="EW67" s="22" t="e">
        <f aca="false">AND(#REF!,"AAAAAB///Jg=")</f>
        <v>#VALUE!</v>
      </c>
      <c r="EX67" s="22" t="e">
        <f aca="false">IF(#REF!,"AAAAAB///Jk=",0)</f>
        <v>#REF!</v>
      </c>
      <c r="EY67" s="22" t="e">
        <f aca="false">AND(#REF!,"AAAAAB///Jo=")</f>
        <v>#VALUE!</v>
      </c>
      <c r="EZ67" s="22" t="e">
        <f aca="false">AND(#REF!,"AAAAAB///Js=")</f>
        <v>#VALUE!</v>
      </c>
      <c r="FA67" s="22" t="e">
        <f aca="false">AND(#REF!,"AAAAAB///Jw=")</f>
        <v>#VALUE!</v>
      </c>
      <c r="FB67" s="22" t="e">
        <f aca="false">AND(#REF!,"AAAAAB///J0=")</f>
        <v>#VALUE!</v>
      </c>
      <c r="FC67" s="22" t="e">
        <f aca="false">AND(#REF!,"AAAAAB///J4=")</f>
        <v>#VALUE!</v>
      </c>
      <c r="FD67" s="22" t="e">
        <f aca="false">AND(#REF!,"AAAAAB///J8=")</f>
        <v>#VALUE!</v>
      </c>
      <c r="FE67" s="22" t="e">
        <f aca="false">IF(#REF!,"AAAAAB///KA=",0)</f>
        <v>#REF!</v>
      </c>
      <c r="FF67" s="22" t="e">
        <f aca="false">AND(#REF!,"AAAAAB///KE=")</f>
        <v>#VALUE!</v>
      </c>
      <c r="FG67" s="22" t="e">
        <f aca="false">AND(#REF!,"AAAAAB///KI=")</f>
        <v>#VALUE!</v>
      </c>
      <c r="FH67" s="22" t="e">
        <f aca="false">AND(#REF!,"AAAAAB///KM=")</f>
        <v>#VALUE!</v>
      </c>
      <c r="FI67" s="22" t="e">
        <f aca="false">AND(#REF!,"AAAAAB///KQ=")</f>
        <v>#VALUE!</v>
      </c>
      <c r="FJ67" s="22" t="e">
        <f aca="false">AND(#REF!,"AAAAAB///KU=")</f>
        <v>#VALUE!</v>
      </c>
      <c r="FK67" s="22" t="e">
        <f aca="false">AND(#REF!,"AAAAAB///KY=")</f>
        <v>#VALUE!</v>
      </c>
      <c r="FL67" s="22" t="e">
        <f aca="false">IF(#REF!,"AAAAAB///Kc=",0)</f>
        <v>#REF!</v>
      </c>
      <c r="FM67" s="22" t="e">
        <f aca="false">AND(#REF!,"AAAAAB///Kg=")</f>
        <v>#VALUE!</v>
      </c>
      <c r="FN67" s="22" t="e">
        <f aca="false">AND(#REF!,"AAAAAB///Kk=")</f>
        <v>#VALUE!</v>
      </c>
      <c r="FO67" s="22" t="e">
        <f aca="false">AND(#REF!,"AAAAAB///Ko=")</f>
        <v>#VALUE!</v>
      </c>
      <c r="FP67" s="22" t="e">
        <f aca="false">AND(#REF!,"AAAAAB///Ks=")</f>
        <v>#VALUE!</v>
      </c>
      <c r="FQ67" s="22" t="e">
        <f aca="false">AND(#REF!,"AAAAAB///Kw=")</f>
        <v>#VALUE!</v>
      </c>
      <c r="FR67" s="22" t="e">
        <f aca="false">AND(#REF!,"AAAAAB///K0=")</f>
        <v>#VALUE!</v>
      </c>
      <c r="FS67" s="22" t="e">
        <f aca="false">IF(#REF!,"AAAAAB///K4=",0)</f>
        <v>#REF!</v>
      </c>
      <c r="FT67" s="22" t="e">
        <f aca="false">AND(#REF!,"AAAAAB///K8=")</f>
        <v>#VALUE!</v>
      </c>
      <c r="FU67" s="22" t="e">
        <f aca="false">AND(#REF!,"AAAAAB///LA=")</f>
        <v>#VALUE!</v>
      </c>
      <c r="FV67" s="22" t="e">
        <f aca="false">AND(#REF!,"AAAAAB///LE=")</f>
        <v>#VALUE!</v>
      </c>
      <c r="FW67" s="22" t="e">
        <f aca="false">AND(#REF!,"AAAAAB///LI=")</f>
        <v>#VALUE!</v>
      </c>
      <c r="FX67" s="22" t="e">
        <f aca="false">AND(#REF!,"AAAAAB///LM=")</f>
        <v>#VALUE!</v>
      </c>
      <c r="FY67" s="22" t="e">
        <f aca="false">AND(#REF!,"AAAAAB///LQ=")</f>
        <v>#VALUE!</v>
      </c>
      <c r="FZ67" s="22" t="e">
        <f aca="false">IF(#REF!,"AAAAAB///LU=",0)</f>
        <v>#REF!</v>
      </c>
      <c r="GA67" s="22" t="e">
        <f aca="false">AND(#REF!,"AAAAAB///LY=")</f>
        <v>#VALUE!</v>
      </c>
      <c r="GB67" s="22" t="e">
        <f aca="false">AND(#REF!,"AAAAAB///Lc=")</f>
        <v>#VALUE!</v>
      </c>
      <c r="GC67" s="22" t="e">
        <f aca="false">AND(#REF!,"AAAAAB///Lg=")</f>
        <v>#VALUE!</v>
      </c>
      <c r="GD67" s="22" t="e">
        <f aca="false">AND(#REF!,"AAAAAB///Lk=")</f>
        <v>#VALUE!</v>
      </c>
      <c r="GE67" s="22" t="e">
        <f aca="false">AND(#REF!,"AAAAAB///Lo=")</f>
        <v>#VALUE!</v>
      </c>
      <c r="GF67" s="22" t="e">
        <f aca="false">AND(#REF!,"AAAAAB///Ls=")</f>
        <v>#VALUE!</v>
      </c>
      <c r="GG67" s="22" t="e">
        <f aca="false">IF(#REF!,"AAAAAB///Lw=",0)</f>
        <v>#REF!</v>
      </c>
      <c r="GH67" s="22" t="e">
        <f aca="false">AND(#REF!,"AAAAAB///L0=")</f>
        <v>#VALUE!</v>
      </c>
      <c r="GI67" s="22" t="e">
        <f aca="false">AND(#REF!,"AAAAAB///L4=")</f>
        <v>#VALUE!</v>
      </c>
      <c r="GJ67" s="22" t="e">
        <f aca="false">AND(#REF!,"AAAAAB///L8=")</f>
        <v>#VALUE!</v>
      </c>
      <c r="GK67" s="22" t="e">
        <f aca="false">AND(#REF!,"AAAAAB///MA=")</f>
        <v>#VALUE!</v>
      </c>
      <c r="GL67" s="22" t="e">
        <f aca="false">AND(#REF!,"AAAAAB///ME=")</f>
        <v>#VALUE!</v>
      </c>
      <c r="GM67" s="22" t="e">
        <f aca="false">AND(#REF!,"AAAAAB///MI=")</f>
        <v>#VALUE!</v>
      </c>
      <c r="GN67" s="22" t="e">
        <f aca="false">IF(#REF!,"AAAAAB///MM=",0)</f>
        <v>#REF!</v>
      </c>
      <c r="GO67" s="22" t="e">
        <f aca="false">AND(#REF!,"AAAAAB///MQ=")</f>
        <v>#VALUE!</v>
      </c>
      <c r="GP67" s="22" t="e">
        <f aca="false">AND(#REF!,"AAAAAB///MU=")</f>
        <v>#VALUE!</v>
      </c>
      <c r="GQ67" s="22" t="e">
        <f aca="false">AND(#REF!,"AAAAAB///MY=")</f>
        <v>#VALUE!</v>
      </c>
      <c r="GR67" s="22" t="e">
        <f aca="false">AND(#REF!,"AAAAAB///Mc=")</f>
        <v>#VALUE!</v>
      </c>
      <c r="GS67" s="22" t="e">
        <f aca="false">AND(#REF!,"AAAAAB///Mg=")</f>
        <v>#VALUE!</v>
      </c>
      <c r="GT67" s="22" t="e">
        <f aca="false">AND(#REF!,"AAAAAB///Mk=")</f>
        <v>#VALUE!</v>
      </c>
      <c r="GU67" s="22" t="e">
        <f aca="false">IF(#REF!,"AAAAAB///Mo=",0)</f>
        <v>#REF!</v>
      </c>
      <c r="GV67" s="22" t="e">
        <f aca="false">AND(#REF!,"AAAAAB///Ms=")</f>
        <v>#VALUE!</v>
      </c>
      <c r="GW67" s="22" t="e">
        <f aca="false">AND(#REF!,"AAAAAB///Mw=")</f>
        <v>#VALUE!</v>
      </c>
      <c r="GX67" s="22" t="e">
        <f aca="false">AND(#REF!,"AAAAAB///M0=")</f>
        <v>#VALUE!</v>
      </c>
      <c r="GY67" s="22" t="e">
        <f aca="false">AND(#REF!,"AAAAAB///M4=")</f>
        <v>#VALUE!</v>
      </c>
      <c r="GZ67" s="22" t="e">
        <f aca="false">AND(#REF!,"AAAAAB///M8=")</f>
        <v>#VALUE!</v>
      </c>
      <c r="HA67" s="22" t="e">
        <f aca="false">AND(#REF!,"AAAAAB///NA=")</f>
        <v>#VALUE!</v>
      </c>
      <c r="HB67" s="22" t="e">
        <f aca="false">IF(#REF!,"AAAAAB///NE=",0)</f>
        <v>#REF!</v>
      </c>
      <c r="HC67" s="22" t="e">
        <f aca="false">AND(#REF!,"AAAAAB///NI=")</f>
        <v>#VALUE!</v>
      </c>
      <c r="HD67" s="22" t="e">
        <f aca="false">AND(#REF!,"AAAAAB///NM=")</f>
        <v>#VALUE!</v>
      </c>
      <c r="HE67" s="22" t="e">
        <f aca="false">AND(#REF!,"AAAAAB///NQ=")</f>
        <v>#VALUE!</v>
      </c>
      <c r="HF67" s="22" t="e">
        <f aca="false">AND(#REF!,"AAAAAB///NU=")</f>
        <v>#VALUE!</v>
      </c>
      <c r="HG67" s="22" t="e">
        <f aca="false">AND(#REF!,"AAAAAB///NY=")</f>
        <v>#VALUE!</v>
      </c>
      <c r="HH67" s="22" t="e">
        <f aca="false">AND(#REF!,"AAAAAB///Nc=")</f>
        <v>#VALUE!</v>
      </c>
      <c r="HI67" s="22" t="e">
        <f aca="false">IF(#REF!,"AAAAAB///Ng=",0)</f>
        <v>#REF!</v>
      </c>
      <c r="HJ67" s="22" t="e">
        <f aca="false">AND(#REF!,"AAAAAB///Nk=")</f>
        <v>#VALUE!</v>
      </c>
      <c r="HK67" s="22" t="e">
        <f aca="false">AND(#REF!,"AAAAAB///No=")</f>
        <v>#VALUE!</v>
      </c>
      <c r="HL67" s="22" t="e">
        <f aca="false">AND(#REF!,"AAAAAB///Ns=")</f>
        <v>#VALUE!</v>
      </c>
      <c r="HM67" s="22" t="e">
        <f aca="false">AND(#REF!,"AAAAAB///Nw=")</f>
        <v>#VALUE!</v>
      </c>
      <c r="HN67" s="22" t="e">
        <f aca="false">IF(#REF!,"AAAAAB///N0=",0)</f>
        <v>#REF!</v>
      </c>
      <c r="HO67" s="22" t="e">
        <f aca="false">AND(#REF!,"AAAAAB///N4=")</f>
        <v>#VALUE!</v>
      </c>
      <c r="HP67" s="22" t="e">
        <f aca="false">AND(#REF!,"AAAAAB///N8=")</f>
        <v>#VALUE!</v>
      </c>
      <c r="HQ67" s="22" t="e">
        <f aca="false">AND(#REF!,"AAAAAB///OA=")</f>
        <v>#VALUE!</v>
      </c>
      <c r="HR67" s="22" t="e">
        <f aca="false">AND(#REF!,"AAAAAB///OE=")</f>
        <v>#VALUE!</v>
      </c>
      <c r="HS67" s="22" t="e">
        <f aca="false">IF(#REF!,"AAAAAB///OI=",0)</f>
        <v>#REF!</v>
      </c>
      <c r="HT67" s="22" t="e">
        <f aca="false">IF(#REF!,"AAAAAB///OM=",0)</f>
        <v>#REF!</v>
      </c>
      <c r="HU67" s="22" t="e">
        <f aca="false">IF(#REF!,"AAAAAB///OQ=",0)</f>
        <v>#REF!</v>
      </c>
      <c r="HV67" s="22" t="e">
        <f aca="false">IF(#REF!,"AAAAAB///OU=",0)</f>
        <v>#REF!</v>
      </c>
      <c r="HW67" s="22" t="e">
        <f aca="false">IF(#REF!,"AAAAAB///OY=",0)</f>
        <v>#REF!</v>
      </c>
      <c r="HX67" s="22" t="e">
        <f aca="false">IF(#REF!,"AAAAAB///Oc=",0)</f>
        <v>#REF!</v>
      </c>
      <c r="HY67" s="22" t="e">
        <f aca="false">IF(#REF!,"AAAAAB///Og=",0)</f>
        <v>#REF!</v>
      </c>
      <c r="HZ67" s="22" t="e">
        <f aca="false">IF(#REF!,"AAAAAB///Ok=",0)</f>
        <v>#REF!</v>
      </c>
      <c r="IA67" s="22" t="e">
        <f aca="false">AND(#REF!,"AAAAAB///Oo=")</f>
        <v>#VALUE!</v>
      </c>
      <c r="IB67" s="22" t="e">
        <f aca="false">AND(#REF!,"AAAAAB///Os=")</f>
        <v>#VALUE!</v>
      </c>
      <c r="IC67" s="22" t="e">
        <f aca="false">AND(#REF!,"AAAAAB///Ow=")</f>
        <v>#VALUE!</v>
      </c>
      <c r="ID67" s="22" t="e">
        <f aca="false">AND(#REF!,"AAAAAB///O0=")</f>
        <v>#VALUE!</v>
      </c>
      <c r="IE67" s="22" t="e">
        <f aca="false">AND(#REF!,"AAAAAB///O4=")</f>
        <v>#VALUE!</v>
      </c>
      <c r="IF67" s="22" t="e">
        <f aca="false">IF(#REF!,"AAAAAB///O8=",0)</f>
        <v>#REF!</v>
      </c>
      <c r="IG67" s="22" t="e">
        <f aca="false">AND(#REF!,"AAAAAB///PA=")</f>
        <v>#VALUE!</v>
      </c>
      <c r="IH67" s="22" t="e">
        <f aca="false">AND(#REF!,"AAAAAB///PE=")</f>
        <v>#VALUE!</v>
      </c>
      <c r="II67" s="22" t="e">
        <f aca="false">AND(#REF!,"AAAAAB///PI=")</f>
        <v>#VALUE!</v>
      </c>
      <c r="IJ67" s="22" t="e">
        <f aca="false">AND(#REF!,"AAAAAB///PM=")</f>
        <v>#VALUE!</v>
      </c>
      <c r="IK67" s="22" t="e">
        <f aca="false">AND(#REF!,"AAAAAB///PQ=")</f>
        <v>#VALUE!</v>
      </c>
      <c r="IL67" s="22" t="e">
        <f aca="false">IF(#REF!,"AAAAAB///PU=",0)</f>
        <v>#REF!</v>
      </c>
      <c r="IM67" s="22" t="e">
        <f aca="false">AND(#REF!,"AAAAAB///PY=")</f>
        <v>#VALUE!</v>
      </c>
      <c r="IN67" s="22" t="e">
        <f aca="false">AND(#REF!,"AAAAAB///Pc=")</f>
        <v>#VALUE!</v>
      </c>
      <c r="IO67" s="22" t="e">
        <f aca="false">AND(#REF!,"AAAAAB///Pg=")</f>
        <v>#VALUE!</v>
      </c>
      <c r="IP67" s="22" t="e">
        <f aca="false">AND(#REF!,"AAAAAB///Pk=")</f>
        <v>#VALUE!</v>
      </c>
      <c r="IQ67" s="22" t="e">
        <f aca="false">AND(#REF!,"AAAAAB///Po=")</f>
        <v>#VALUE!</v>
      </c>
      <c r="IR67" s="22" t="e">
        <f aca="false">IF(#REF!,"AAAAAB///Ps=",0)</f>
        <v>#REF!</v>
      </c>
      <c r="IS67" s="22" t="e">
        <f aca="false">AND(#REF!,"AAAAAB///Pw=")</f>
        <v>#VALUE!</v>
      </c>
      <c r="IT67" s="22" t="e">
        <f aca="false">AND(#REF!,"AAAAAB///P0=")</f>
        <v>#VALUE!</v>
      </c>
      <c r="IU67" s="22" t="e">
        <f aca="false">AND(#REF!,"AAAAAB///P4=")</f>
        <v>#VALUE!</v>
      </c>
      <c r="IV67" s="22" t="e">
        <f aca="false">AND(#REF!,"AAAAAB///P8=")</f>
        <v>#VALUE!</v>
      </c>
    </row>
    <row r="68" customFormat="false" ht="12.75" hidden="false" customHeight="false" outlineLevel="0" collapsed="false">
      <c r="A68" s="22" t="e">
        <f aca="false">AND(#REF!,"AAAAAH///wA=")</f>
        <v>#VALUE!</v>
      </c>
      <c r="B68" s="22" t="e">
        <f aca="false">IF(#REF!,"AAAAAH///wE=",0)</f>
        <v>#REF!</v>
      </c>
      <c r="C68" s="22" t="e">
        <f aca="false">AND(#REF!,"AAAAAH///wI=")</f>
        <v>#VALUE!</v>
      </c>
      <c r="D68" s="22" t="e">
        <f aca="false">AND(#REF!,"AAAAAH///wM=")</f>
        <v>#VALUE!</v>
      </c>
      <c r="E68" s="22" t="e">
        <f aca="false">AND(#REF!,"AAAAAH///wQ=")</f>
        <v>#VALUE!</v>
      </c>
      <c r="F68" s="22" t="e">
        <f aca="false">AND(#REF!,"AAAAAH///wU=")</f>
        <v>#VALUE!</v>
      </c>
      <c r="G68" s="22" t="e">
        <f aca="false">AND(#REF!,"AAAAAH///wY=")</f>
        <v>#VALUE!</v>
      </c>
      <c r="H68" s="22" t="e">
        <f aca="false">IF(#REF!,"AAAAAH///wc=",0)</f>
        <v>#REF!</v>
      </c>
      <c r="I68" s="22" t="e">
        <f aca="false">AND(#REF!,"AAAAAH///wg=")</f>
        <v>#VALUE!</v>
      </c>
      <c r="J68" s="22" t="e">
        <f aca="false">AND(#REF!,"AAAAAH///wk=")</f>
        <v>#VALUE!</v>
      </c>
      <c r="K68" s="22" t="e">
        <f aca="false">AND(#REF!,"AAAAAH///wo=")</f>
        <v>#VALUE!</v>
      </c>
      <c r="L68" s="22" t="e">
        <f aca="false">AND(#REF!,"AAAAAH///ws=")</f>
        <v>#VALUE!</v>
      </c>
      <c r="M68" s="22" t="e">
        <f aca="false">AND(#REF!,"AAAAAH///ww=")</f>
        <v>#VALUE!</v>
      </c>
      <c r="N68" s="22" t="e">
        <f aca="false">IF(#REF!,"AAAAAH///w0=",0)</f>
        <v>#REF!</v>
      </c>
      <c r="O68" s="22" t="e">
        <f aca="false">AND(#REF!,"AAAAAH///w4=")</f>
        <v>#VALUE!</v>
      </c>
      <c r="P68" s="22" t="e">
        <f aca="false">AND(#REF!,"AAAAAH///w8=")</f>
        <v>#VALUE!</v>
      </c>
      <c r="Q68" s="22" t="e">
        <f aca="false">AND(#REF!,"AAAAAH///xA=")</f>
        <v>#VALUE!</v>
      </c>
      <c r="R68" s="22" t="e">
        <f aca="false">AND(#REF!,"AAAAAH///xE=")</f>
        <v>#VALUE!</v>
      </c>
      <c r="S68" s="22" t="e">
        <f aca="false">AND(#REF!,"AAAAAH///xI=")</f>
        <v>#VALUE!</v>
      </c>
      <c r="T68" s="22" t="e">
        <f aca="false">IF(#REF!,"AAAAAH///xM=",0)</f>
        <v>#REF!</v>
      </c>
      <c r="U68" s="22" t="e">
        <f aca="false">AND(#REF!,"AAAAAH///xQ=")</f>
        <v>#VALUE!</v>
      </c>
      <c r="V68" s="22" t="e">
        <f aca="false">AND(#REF!,"AAAAAH///xU=")</f>
        <v>#VALUE!</v>
      </c>
      <c r="W68" s="22" t="e">
        <f aca="false">AND(#REF!,"AAAAAH///xY=")</f>
        <v>#VALUE!</v>
      </c>
      <c r="X68" s="22" t="e">
        <f aca="false">AND(#REF!,"AAAAAH///xc=")</f>
        <v>#VALUE!</v>
      </c>
      <c r="Y68" s="22" t="e">
        <f aca="false">AND(#REF!,"AAAAAH///xg=")</f>
        <v>#VALUE!</v>
      </c>
      <c r="Z68" s="22" t="e">
        <f aca="false">IF(#REF!,"AAAAAH///xk=",0)</f>
        <v>#REF!</v>
      </c>
      <c r="AA68" s="22" t="e">
        <f aca="false">AND(#REF!,"AAAAAH///xo=")</f>
        <v>#VALUE!</v>
      </c>
      <c r="AB68" s="22" t="e">
        <f aca="false">AND(#REF!,"AAAAAH///xs=")</f>
        <v>#VALUE!</v>
      </c>
      <c r="AC68" s="22" t="e">
        <f aca="false">AND(#REF!,"AAAAAH///xw=")</f>
        <v>#VALUE!</v>
      </c>
      <c r="AD68" s="22" t="e">
        <f aca="false">AND(#REF!,"AAAAAH///x0=")</f>
        <v>#VALUE!</v>
      </c>
      <c r="AE68" s="22" t="e">
        <f aca="false">AND(#REF!,"AAAAAH///x4=")</f>
        <v>#VALUE!</v>
      </c>
      <c r="AF68" s="22" t="e">
        <f aca="false">IF(#REF!,"AAAAAH///x8=",0)</f>
        <v>#REF!</v>
      </c>
      <c r="AG68" s="22" t="e">
        <f aca="false">AND(#REF!,"AAAAAH///yA=")</f>
        <v>#VALUE!</v>
      </c>
      <c r="AH68" s="22" t="e">
        <f aca="false">AND(#REF!,"AAAAAH///yE=")</f>
        <v>#VALUE!</v>
      </c>
      <c r="AI68" s="22" t="e">
        <f aca="false">AND(#REF!,"AAAAAH///yI=")</f>
        <v>#VALUE!</v>
      </c>
      <c r="AJ68" s="22" t="e">
        <f aca="false">AND(#REF!,"AAAAAH///yM=")</f>
        <v>#VALUE!</v>
      </c>
      <c r="AK68" s="22" t="e">
        <f aca="false">AND(#REF!,"AAAAAH///yQ=")</f>
        <v>#VALUE!</v>
      </c>
      <c r="AL68" s="22" t="e">
        <f aca="false">IF(#REF!,"AAAAAH///yU=",0)</f>
        <v>#REF!</v>
      </c>
      <c r="AM68" s="22" t="e">
        <f aca="false">AND(#REF!,"AAAAAH///yY=")</f>
        <v>#VALUE!</v>
      </c>
      <c r="AN68" s="22" t="e">
        <f aca="false">AND(#REF!,"AAAAAH///yc=")</f>
        <v>#VALUE!</v>
      </c>
      <c r="AO68" s="22" t="e">
        <f aca="false">AND(#REF!,"AAAAAH///yg=")</f>
        <v>#VALUE!</v>
      </c>
      <c r="AP68" s="22" t="e">
        <f aca="false">AND(#REF!,"AAAAAH///yk=")</f>
        <v>#VALUE!</v>
      </c>
      <c r="AQ68" s="22" t="e">
        <f aca="false">AND(#REF!,"AAAAAH///yo=")</f>
        <v>#VALUE!</v>
      </c>
      <c r="AR68" s="22" t="e">
        <f aca="false">IF(#REF!,"AAAAAH///ys=",0)</f>
        <v>#REF!</v>
      </c>
      <c r="AS68" s="22" t="e">
        <f aca="false">AND(#REF!,"AAAAAH///yw=")</f>
        <v>#VALUE!</v>
      </c>
      <c r="AT68" s="22" t="e">
        <f aca="false">AND(#REF!,"AAAAAH///y0=")</f>
        <v>#VALUE!</v>
      </c>
      <c r="AU68" s="22" t="e">
        <f aca="false">AND(#REF!,"AAAAAH///y4=")</f>
        <v>#VALUE!</v>
      </c>
      <c r="AV68" s="22" t="e">
        <f aca="false">AND(#REF!,"AAAAAH///y8=")</f>
        <v>#VALUE!</v>
      </c>
      <c r="AW68" s="22" t="e">
        <f aca="false">AND(#REF!,"AAAAAH///zA=")</f>
        <v>#VALUE!</v>
      </c>
      <c r="AX68" s="22" t="e">
        <f aca="false">IF(#REF!,"AAAAAH///zE=",0)</f>
        <v>#REF!</v>
      </c>
      <c r="AY68" s="22" t="e">
        <f aca="false">AND(#REF!,"AAAAAH///zI=")</f>
        <v>#VALUE!</v>
      </c>
      <c r="AZ68" s="22" t="e">
        <f aca="false">AND(#REF!,"AAAAAH///zM=")</f>
        <v>#VALUE!</v>
      </c>
      <c r="BA68" s="22" t="e">
        <f aca="false">AND(#REF!,"AAAAAH///zQ=")</f>
        <v>#VALUE!</v>
      </c>
      <c r="BB68" s="22" t="e">
        <f aca="false">AND(#REF!,"AAAAAH///zU=")</f>
        <v>#VALUE!</v>
      </c>
      <c r="BC68" s="22" t="e">
        <f aca="false">AND(#REF!,"AAAAAH///zY=")</f>
        <v>#VALUE!</v>
      </c>
      <c r="BD68" s="22" t="e">
        <f aca="false">IF(#REF!,"AAAAAH///zc=",0)</f>
        <v>#REF!</v>
      </c>
      <c r="BE68" s="22" t="e">
        <f aca="false">AND(#REF!,"AAAAAH///zg=")</f>
        <v>#VALUE!</v>
      </c>
      <c r="BF68" s="22" t="e">
        <f aca="false">AND(#REF!,"AAAAAH///zk=")</f>
        <v>#VALUE!</v>
      </c>
      <c r="BG68" s="22" t="e">
        <f aca="false">AND(#REF!,"AAAAAH///zo=")</f>
        <v>#VALUE!</v>
      </c>
      <c r="BH68" s="22" t="e">
        <f aca="false">AND(#REF!,"AAAAAH///zs=")</f>
        <v>#VALUE!</v>
      </c>
      <c r="BI68" s="22" t="e">
        <f aca="false">AND(#REF!,"AAAAAH///zw=")</f>
        <v>#VALUE!</v>
      </c>
      <c r="BJ68" s="22" t="e">
        <f aca="false">IF(#REF!,"AAAAAH///z0=",0)</f>
        <v>#REF!</v>
      </c>
      <c r="BK68" s="22" t="e">
        <f aca="false">AND(#REF!,"AAAAAH///z4=")</f>
        <v>#VALUE!</v>
      </c>
      <c r="BL68" s="22" t="e">
        <f aca="false">AND(#REF!,"AAAAAH///z8=")</f>
        <v>#VALUE!</v>
      </c>
      <c r="BM68" s="22" t="e">
        <f aca="false">AND(#REF!,"AAAAAH///0A=")</f>
        <v>#VALUE!</v>
      </c>
      <c r="BN68" s="22" t="e">
        <f aca="false">AND(#REF!,"AAAAAH///0E=")</f>
        <v>#VALUE!</v>
      </c>
      <c r="BO68" s="22" t="e">
        <f aca="false">AND(#REF!,"AAAAAH///0I=")</f>
        <v>#VALUE!</v>
      </c>
      <c r="BP68" s="22" t="e">
        <f aca="false">IF(#REF!,"AAAAAH///0M=",0)</f>
        <v>#REF!</v>
      </c>
      <c r="BQ68" s="22" t="e">
        <f aca="false">AND(#REF!,"AAAAAH///0Q=")</f>
        <v>#VALUE!</v>
      </c>
      <c r="BR68" s="22" t="e">
        <f aca="false">AND(#REF!,"AAAAAH///0U=")</f>
        <v>#VALUE!</v>
      </c>
      <c r="BS68" s="22" t="e">
        <f aca="false">AND(#REF!,"AAAAAH///0Y=")</f>
        <v>#VALUE!</v>
      </c>
      <c r="BT68" s="22" t="e">
        <f aca="false">AND(#REF!,"AAAAAH///0c=")</f>
        <v>#VALUE!</v>
      </c>
      <c r="BU68" s="22" t="e">
        <f aca="false">AND(#REF!,"AAAAAH///0g=")</f>
        <v>#VALUE!</v>
      </c>
      <c r="BV68" s="22" t="e">
        <f aca="false">IF(#REF!,"AAAAAH///0k=",0)</f>
        <v>#REF!</v>
      </c>
      <c r="BW68" s="22" t="e">
        <f aca="false">AND(#REF!,"AAAAAH///0o=")</f>
        <v>#VALUE!</v>
      </c>
      <c r="BX68" s="22" t="e">
        <f aca="false">AND(#REF!,"AAAAAH///0s=")</f>
        <v>#VALUE!</v>
      </c>
      <c r="BY68" s="22" t="e">
        <f aca="false">AND(#REF!,"AAAAAH///0w=")</f>
        <v>#VALUE!</v>
      </c>
      <c r="BZ68" s="22" t="e">
        <f aca="false">AND(#REF!,"AAAAAH///00=")</f>
        <v>#VALUE!</v>
      </c>
      <c r="CA68" s="22" t="e">
        <f aca="false">AND(#REF!,"AAAAAH///04=")</f>
        <v>#VALUE!</v>
      </c>
      <c r="CB68" s="22" t="e">
        <f aca="false">IF(#REF!,"AAAAAH///08=",0)</f>
        <v>#REF!</v>
      </c>
      <c r="CC68" s="22" t="e">
        <f aca="false">AND(#REF!,"AAAAAH///1A=")</f>
        <v>#VALUE!</v>
      </c>
      <c r="CD68" s="22" t="e">
        <f aca="false">AND(#REF!,"AAAAAH///1E=")</f>
        <v>#VALUE!</v>
      </c>
      <c r="CE68" s="22" t="e">
        <f aca="false">AND(#REF!,"AAAAAH///1I=")</f>
        <v>#VALUE!</v>
      </c>
      <c r="CF68" s="22" t="e">
        <f aca="false">AND(#REF!,"AAAAAH///1M=")</f>
        <v>#VALUE!</v>
      </c>
      <c r="CG68" s="22" t="e">
        <f aca="false">AND(#REF!,"AAAAAH///1Q=")</f>
        <v>#VALUE!</v>
      </c>
      <c r="CH68" s="22" t="e">
        <f aca="false">IF(#REF!,"AAAAAH///1U=",0)</f>
        <v>#REF!</v>
      </c>
      <c r="CI68" s="22" t="e">
        <f aca="false">AND(#REF!,"AAAAAH///1Y=")</f>
        <v>#VALUE!</v>
      </c>
      <c r="CJ68" s="22" t="e">
        <f aca="false">AND(#REF!,"AAAAAH///1c=")</f>
        <v>#VALUE!</v>
      </c>
      <c r="CK68" s="22" t="e">
        <f aca="false">AND(#REF!,"AAAAAH///1g=")</f>
        <v>#VALUE!</v>
      </c>
      <c r="CL68" s="22" t="e">
        <f aca="false">AND(#REF!,"AAAAAH///1k=")</f>
        <v>#VALUE!</v>
      </c>
      <c r="CM68" s="22" t="e">
        <f aca="false">AND(#REF!,"AAAAAH///1o=")</f>
        <v>#VALUE!</v>
      </c>
      <c r="CN68" s="22" t="e">
        <f aca="false">IF(#REF!,"AAAAAH///1s=",0)</f>
        <v>#REF!</v>
      </c>
      <c r="CO68" s="22" t="e">
        <f aca="false">AND(#REF!,"AAAAAH///1w=")</f>
        <v>#VALUE!</v>
      </c>
      <c r="CP68" s="22" t="e">
        <f aca="false">AND(#REF!,"AAAAAH///10=")</f>
        <v>#VALUE!</v>
      </c>
      <c r="CQ68" s="22" t="e">
        <f aca="false">AND(#REF!,"AAAAAH///14=")</f>
        <v>#VALUE!</v>
      </c>
      <c r="CR68" s="22" t="e">
        <f aca="false">AND(#REF!,"AAAAAH///18=")</f>
        <v>#VALUE!</v>
      </c>
      <c r="CS68" s="22" t="e">
        <f aca="false">AND(#REF!,"AAAAAH///2A=")</f>
        <v>#VALUE!</v>
      </c>
      <c r="CT68" s="22" t="e">
        <f aca="false">IF(#REF!,"AAAAAH///2E=",0)</f>
        <v>#REF!</v>
      </c>
      <c r="CU68" s="22" t="e">
        <f aca="false">AND(#REF!,"AAAAAH///2I=")</f>
        <v>#VALUE!</v>
      </c>
      <c r="CV68" s="22" t="e">
        <f aca="false">AND(#REF!,"AAAAAH///2M=")</f>
        <v>#VALUE!</v>
      </c>
      <c r="CW68" s="22" t="e">
        <f aca="false">AND(#REF!,"AAAAAH///2Q=")</f>
        <v>#VALUE!</v>
      </c>
      <c r="CX68" s="22" t="e">
        <f aca="false">AND(#REF!,"AAAAAH///2U=")</f>
        <v>#VALUE!</v>
      </c>
      <c r="CY68" s="22" t="e">
        <f aca="false">AND(#REF!,"AAAAAH///2Y=")</f>
        <v>#VALUE!</v>
      </c>
      <c r="CZ68" s="22" t="e">
        <f aca="false">IF(#REF!,"AAAAAH///2c=",0)</f>
        <v>#REF!</v>
      </c>
      <c r="DA68" s="22" t="e">
        <f aca="false">AND(#REF!,"AAAAAH///2g=")</f>
        <v>#VALUE!</v>
      </c>
      <c r="DB68" s="22" t="e">
        <f aca="false">AND(#REF!,"AAAAAH///2k=")</f>
        <v>#VALUE!</v>
      </c>
      <c r="DC68" s="22" t="e">
        <f aca="false">AND(#REF!,"AAAAAH///2o=")</f>
        <v>#VALUE!</v>
      </c>
      <c r="DD68" s="22" t="e">
        <f aca="false">AND(#REF!,"AAAAAH///2s=")</f>
        <v>#VALUE!</v>
      </c>
      <c r="DE68" s="22" t="e">
        <f aca="false">AND(#REF!,"AAAAAH///2w=")</f>
        <v>#VALUE!</v>
      </c>
      <c r="DF68" s="22" t="e">
        <f aca="false">IF(#REF!,"AAAAAH///20=",0)</f>
        <v>#REF!</v>
      </c>
      <c r="DG68" s="22" t="e">
        <f aca="false">AND(#REF!,"AAAAAH///24=")</f>
        <v>#VALUE!</v>
      </c>
      <c r="DH68" s="22" t="e">
        <f aca="false">AND(#REF!,"AAAAAH///28=")</f>
        <v>#VALUE!</v>
      </c>
      <c r="DI68" s="22" t="e">
        <f aca="false">AND(#REF!,"AAAAAH///3A=")</f>
        <v>#VALUE!</v>
      </c>
      <c r="DJ68" s="22" t="e">
        <f aca="false">AND(#REF!,"AAAAAH///3E=")</f>
        <v>#VALUE!</v>
      </c>
      <c r="DK68" s="22" t="e">
        <f aca="false">AND(#REF!,"AAAAAH///3I=")</f>
        <v>#VALUE!</v>
      </c>
      <c r="DL68" s="22" t="e">
        <f aca="false">IF(#REF!,"AAAAAH///3M=",0)</f>
        <v>#REF!</v>
      </c>
      <c r="DM68" s="22" t="e">
        <f aca="false">AND(#REF!,"AAAAAH///3Q=")</f>
        <v>#VALUE!</v>
      </c>
      <c r="DN68" s="22" t="e">
        <f aca="false">AND(#REF!,"AAAAAH///3U=")</f>
        <v>#VALUE!</v>
      </c>
      <c r="DO68" s="22" t="e">
        <f aca="false">AND(#REF!,"AAAAAH///3Y=")</f>
        <v>#VALUE!</v>
      </c>
      <c r="DP68" s="22" t="e">
        <f aca="false">AND(#REF!,"AAAAAH///3c=")</f>
        <v>#VALUE!</v>
      </c>
      <c r="DQ68" s="22" t="e">
        <f aca="false">AND(#REF!,"AAAAAH///3g=")</f>
        <v>#VALUE!</v>
      </c>
      <c r="DR68" s="22" t="e">
        <f aca="false">IF(#REF!,"AAAAAH///3k=",0)</f>
        <v>#REF!</v>
      </c>
      <c r="DS68" s="22" t="e">
        <f aca="false">AND(#REF!,"AAAAAH///3o=")</f>
        <v>#VALUE!</v>
      </c>
      <c r="DT68" s="22" t="e">
        <f aca="false">AND(#REF!,"AAAAAH///3s=")</f>
        <v>#VALUE!</v>
      </c>
      <c r="DU68" s="22" t="e">
        <f aca="false">AND(#REF!,"AAAAAH///3w=")</f>
        <v>#VALUE!</v>
      </c>
      <c r="DV68" s="22" t="e">
        <f aca="false">AND(#REF!,"AAAAAH///30=")</f>
        <v>#VALUE!</v>
      </c>
      <c r="DW68" s="22" t="e">
        <f aca="false">AND(#REF!,"AAAAAH///34=")</f>
        <v>#VALUE!</v>
      </c>
      <c r="DX68" s="22" t="e">
        <f aca="false">IF(#REF!,"AAAAAH///38=",0)</f>
        <v>#REF!</v>
      </c>
      <c r="DY68" s="22" t="e">
        <f aca="false">AND(#REF!,"AAAAAH///4A=")</f>
        <v>#VALUE!</v>
      </c>
      <c r="DZ68" s="22" t="e">
        <f aca="false">AND(#REF!,"AAAAAH///4E=")</f>
        <v>#VALUE!</v>
      </c>
      <c r="EA68" s="22" t="e">
        <f aca="false">AND(#REF!,"AAAAAH///4I=")</f>
        <v>#VALUE!</v>
      </c>
      <c r="EB68" s="22" t="e">
        <f aca="false">AND(#REF!,"AAAAAH///4M=")</f>
        <v>#VALUE!</v>
      </c>
      <c r="EC68" s="22" t="e">
        <f aca="false">AND(#REF!,"AAAAAH///4Q=")</f>
        <v>#VALUE!</v>
      </c>
      <c r="ED68" s="22" t="e">
        <f aca="false">IF(#REF!,"AAAAAH///4U=",0)</f>
        <v>#REF!</v>
      </c>
      <c r="EE68" s="22" t="e">
        <f aca="false">AND(#REF!,"AAAAAH///4Y=")</f>
        <v>#VALUE!</v>
      </c>
      <c r="EF68" s="22" t="e">
        <f aca="false">AND(#REF!,"AAAAAH///4c=")</f>
        <v>#VALUE!</v>
      </c>
      <c r="EG68" s="22" t="e">
        <f aca="false">AND(#REF!,"AAAAAH///4g=")</f>
        <v>#VALUE!</v>
      </c>
      <c r="EH68" s="22" t="e">
        <f aca="false">AND(#REF!,"AAAAAH///4k=")</f>
        <v>#VALUE!</v>
      </c>
      <c r="EI68" s="22" t="e">
        <f aca="false">AND(#REF!,"AAAAAH///4o=")</f>
        <v>#VALUE!</v>
      </c>
      <c r="EJ68" s="22" t="e">
        <f aca="false">IF(#REF!,"AAAAAH///4s=",0)</f>
        <v>#REF!</v>
      </c>
      <c r="EK68" s="22" t="e">
        <f aca="false">AND(#REF!,"AAAAAH///4w=")</f>
        <v>#VALUE!</v>
      </c>
      <c r="EL68" s="22" t="e">
        <f aca="false">AND(#REF!,"AAAAAH///40=")</f>
        <v>#VALUE!</v>
      </c>
      <c r="EM68" s="22" t="e">
        <f aca="false">AND(#REF!,"AAAAAH///44=")</f>
        <v>#VALUE!</v>
      </c>
      <c r="EN68" s="22" t="e">
        <f aca="false">AND(#REF!,"AAAAAH///48=")</f>
        <v>#VALUE!</v>
      </c>
      <c r="EO68" s="22" t="e">
        <f aca="false">AND(#REF!,"AAAAAH///5A=")</f>
        <v>#VALUE!</v>
      </c>
      <c r="EP68" s="22" t="e">
        <f aca="false">IF(#REF!,"AAAAAH///5E=",0)</f>
        <v>#REF!</v>
      </c>
      <c r="EQ68" s="22" t="e">
        <f aca="false">AND(#REF!,"AAAAAH///5I=")</f>
        <v>#VALUE!</v>
      </c>
      <c r="ER68" s="22" t="e">
        <f aca="false">AND(#REF!,"AAAAAH///5M=")</f>
        <v>#VALUE!</v>
      </c>
      <c r="ES68" s="22" t="e">
        <f aca="false">AND(#REF!,"AAAAAH///5Q=")</f>
        <v>#VALUE!</v>
      </c>
      <c r="ET68" s="22" t="e">
        <f aca="false">AND(#REF!,"AAAAAH///5U=")</f>
        <v>#VALUE!</v>
      </c>
      <c r="EU68" s="22" t="e">
        <f aca="false">AND(#REF!,"AAAAAH///5Y=")</f>
        <v>#VALUE!</v>
      </c>
      <c r="EV68" s="22" t="e">
        <f aca="false">IF(#REF!,"AAAAAH///5c=",0)</f>
        <v>#REF!</v>
      </c>
      <c r="EW68" s="22" t="e">
        <f aca="false">AND(#REF!,"AAAAAH///5g=")</f>
        <v>#VALUE!</v>
      </c>
      <c r="EX68" s="22" t="e">
        <f aca="false">AND(#REF!,"AAAAAH///5k=")</f>
        <v>#VALUE!</v>
      </c>
      <c r="EY68" s="22" t="e">
        <f aca="false">AND(#REF!,"AAAAAH///5o=")</f>
        <v>#VALUE!</v>
      </c>
      <c r="EZ68" s="22" t="e">
        <f aca="false">AND(#REF!,"AAAAAH///5s=")</f>
        <v>#VALUE!</v>
      </c>
      <c r="FA68" s="22" t="e">
        <f aca="false">AND(#REF!,"AAAAAH///5w=")</f>
        <v>#VALUE!</v>
      </c>
      <c r="FB68" s="22" t="e">
        <f aca="false">IF(#REF!,"AAAAAH///50=",0)</f>
        <v>#REF!</v>
      </c>
      <c r="FC68" s="22" t="e">
        <f aca="false">AND(#REF!,"AAAAAH///54=")</f>
        <v>#VALUE!</v>
      </c>
      <c r="FD68" s="22" t="e">
        <f aca="false">AND(#REF!,"AAAAAH///58=")</f>
        <v>#VALUE!</v>
      </c>
      <c r="FE68" s="22" t="e">
        <f aca="false">AND(#REF!,"AAAAAH///6A=")</f>
        <v>#VALUE!</v>
      </c>
      <c r="FF68" s="22" t="e">
        <f aca="false">AND(#REF!,"AAAAAH///6E=")</f>
        <v>#VALUE!</v>
      </c>
      <c r="FG68" s="22" t="e">
        <f aca="false">AND(#REF!,"AAAAAH///6I=")</f>
        <v>#VALUE!</v>
      </c>
      <c r="FH68" s="22" t="e">
        <f aca="false">IF(#REF!,"AAAAAH///6M=",0)</f>
        <v>#REF!</v>
      </c>
      <c r="FI68" s="22" t="e">
        <f aca="false">AND(#REF!,"AAAAAH///6Q=")</f>
        <v>#VALUE!</v>
      </c>
      <c r="FJ68" s="22" t="e">
        <f aca="false">AND(#REF!,"AAAAAH///6U=")</f>
        <v>#VALUE!</v>
      </c>
      <c r="FK68" s="22" t="e">
        <f aca="false">AND(#REF!,"AAAAAH///6Y=")</f>
        <v>#VALUE!</v>
      </c>
      <c r="FL68" s="22" t="e">
        <f aca="false">AND(#REF!,"AAAAAH///6c=")</f>
        <v>#VALUE!</v>
      </c>
      <c r="FM68" s="22" t="e">
        <f aca="false">AND(#REF!,"AAAAAH///6g=")</f>
        <v>#VALUE!</v>
      </c>
      <c r="FN68" s="22" t="e">
        <f aca="false">IF(#REF!,"AAAAAH///6k=",0)</f>
        <v>#REF!</v>
      </c>
      <c r="FO68" s="22" t="e">
        <f aca="false">AND(#REF!,"AAAAAH///6o=")</f>
        <v>#VALUE!</v>
      </c>
      <c r="FP68" s="22" t="e">
        <f aca="false">AND(#REF!,"AAAAAH///6s=")</f>
        <v>#VALUE!</v>
      </c>
      <c r="FQ68" s="22" t="e">
        <f aca="false">AND(#REF!,"AAAAAH///6w=")</f>
        <v>#VALUE!</v>
      </c>
      <c r="FR68" s="22" t="e">
        <f aca="false">AND(#REF!,"AAAAAH///60=")</f>
        <v>#VALUE!</v>
      </c>
      <c r="FS68" s="22" t="e">
        <f aca="false">AND(#REF!,"AAAAAH///64=")</f>
        <v>#VALUE!</v>
      </c>
      <c r="FT68" s="22" t="e">
        <f aca="false">IF(#REF!,"AAAAAH///68=",0)</f>
        <v>#REF!</v>
      </c>
      <c r="FU68" s="22" t="e">
        <f aca="false">AND(#REF!,"AAAAAH///7A=")</f>
        <v>#VALUE!</v>
      </c>
      <c r="FV68" s="22" t="e">
        <f aca="false">AND(#REF!,"AAAAAH///7E=")</f>
        <v>#VALUE!</v>
      </c>
      <c r="FW68" s="22" t="e">
        <f aca="false">AND(#REF!,"AAAAAH///7I=")</f>
        <v>#VALUE!</v>
      </c>
      <c r="FX68" s="22" t="e">
        <f aca="false">AND(#REF!,"AAAAAH///7M=")</f>
        <v>#VALUE!</v>
      </c>
      <c r="FY68" s="22" t="e">
        <f aca="false">AND(#REF!,"AAAAAH///7Q=")</f>
        <v>#VALUE!</v>
      </c>
      <c r="FZ68" s="22" t="e">
        <f aca="false">IF(#REF!,"AAAAAH///7U=",0)</f>
        <v>#REF!</v>
      </c>
      <c r="GA68" s="22" t="e">
        <f aca="false">AND(#REF!,"AAAAAH///7Y=")</f>
        <v>#VALUE!</v>
      </c>
      <c r="GB68" s="22" t="e">
        <f aca="false">AND(#REF!,"AAAAAH///7c=")</f>
        <v>#VALUE!</v>
      </c>
      <c r="GC68" s="22" t="e">
        <f aca="false">AND(#REF!,"AAAAAH///7g=")</f>
        <v>#VALUE!</v>
      </c>
      <c r="GD68" s="22" t="e">
        <f aca="false">AND(#REF!,"AAAAAH///7k=")</f>
        <v>#VALUE!</v>
      </c>
      <c r="GE68" s="22" t="e">
        <f aca="false">AND(#REF!,"AAAAAH///7o=")</f>
        <v>#VALUE!</v>
      </c>
      <c r="GF68" s="22" t="e">
        <f aca="false">IF(#REF!,"AAAAAH///7s=",0)</f>
        <v>#REF!</v>
      </c>
      <c r="GG68" s="22" t="e">
        <f aca="false">AND(#REF!,"AAAAAH///7w=")</f>
        <v>#VALUE!</v>
      </c>
      <c r="GH68" s="22" t="e">
        <f aca="false">AND(#REF!,"AAAAAH///70=")</f>
        <v>#VALUE!</v>
      </c>
      <c r="GI68" s="22" t="e">
        <f aca="false">AND(#REF!,"AAAAAH///74=")</f>
        <v>#VALUE!</v>
      </c>
      <c r="GJ68" s="22" t="e">
        <f aca="false">AND(#REF!,"AAAAAH///78=")</f>
        <v>#VALUE!</v>
      </c>
      <c r="GK68" s="22" t="e">
        <f aca="false">AND(#REF!,"AAAAAH///8A=")</f>
        <v>#VALUE!</v>
      </c>
      <c r="GL68" s="22" t="e">
        <f aca="false">IF(#REF!,"AAAAAH///8E=",0)</f>
        <v>#REF!</v>
      </c>
      <c r="GM68" s="22" t="e">
        <f aca="false">AND(#REF!,"AAAAAH///8I=")</f>
        <v>#VALUE!</v>
      </c>
      <c r="GN68" s="22" t="e">
        <f aca="false">AND(#REF!,"AAAAAH///8M=")</f>
        <v>#VALUE!</v>
      </c>
      <c r="GO68" s="22" t="e">
        <f aca="false">AND(#REF!,"AAAAAH///8Q=")</f>
        <v>#VALUE!</v>
      </c>
      <c r="GP68" s="22" t="e">
        <f aca="false">AND(#REF!,"AAAAAH///8U=")</f>
        <v>#VALUE!</v>
      </c>
      <c r="GQ68" s="22" t="e">
        <f aca="false">AND(#REF!,"AAAAAH///8Y=")</f>
        <v>#VALUE!</v>
      </c>
      <c r="GR68" s="22" t="e">
        <f aca="false">IF(#REF!,"AAAAAH///8c=",0)</f>
        <v>#REF!</v>
      </c>
      <c r="GS68" s="22" t="e">
        <f aca="false">AND(#REF!,"AAAAAH///8g=")</f>
        <v>#VALUE!</v>
      </c>
      <c r="GT68" s="22" t="e">
        <f aca="false">AND(#REF!,"AAAAAH///8k=")</f>
        <v>#VALUE!</v>
      </c>
      <c r="GU68" s="22" t="e">
        <f aca="false">AND(#REF!,"AAAAAH///8o=")</f>
        <v>#VALUE!</v>
      </c>
      <c r="GV68" s="22" t="e">
        <f aca="false">AND(#REF!,"AAAAAH///8s=")</f>
        <v>#VALUE!</v>
      </c>
      <c r="GW68" s="22" t="e">
        <f aca="false">AND(#REF!,"AAAAAH///8w=")</f>
        <v>#VALUE!</v>
      </c>
      <c r="GX68" s="22" t="e">
        <f aca="false">IF(#REF!,"AAAAAH///80=",0)</f>
        <v>#REF!</v>
      </c>
      <c r="GY68" s="22" t="e">
        <f aca="false">AND(#REF!,"AAAAAH///84=")</f>
        <v>#VALUE!</v>
      </c>
      <c r="GZ68" s="22" t="e">
        <f aca="false">AND(#REF!,"AAAAAH///88=")</f>
        <v>#VALUE!</v>
      </c>
      <c r="HA68" s="22" t="e">
        <f aca="false">AND(#REF!,"AAAAAH///9A=")</f>
        <v>#VALUE!</v>
      </c>
      <c r="HB68" s="22" t="e">
        <f aca="false">AND(#REF!,"AAAAAH///9E=")</f>
        <v>#VALUE!</v>
      </c>
      <c r="HC68" s="22" t="e">
        <f aca="false">AND(#REF!,"AAAAAH///9I=")</f>
        <v>#VALUE!</v>
      </c>
      <c r="HD68" s="22" t="e">
        <f aca="false">IF(#REF!,"AAAAAH///9M=",0)</f>
        <v>#REF!</v>
      </c>
      <c r="HE68" s="22" t="e">
        <f aca="false">AND(#REF!,"AAAAAH///9Q=")</f>
        <v>#VALUE!</v>
      </c>
      <c r="HF68" s="22" t="e">
        <f aca="false">AND(#REF!,"AAAAAH///9U=")</f>
        <v>#VALUE!</v>
      </c>
      <c r="HG68" s="22" t="e">
        <f aca="false">AND(#REF!,"AAAAAH///9Y=")</f>
        <v>#VALUE!</v>
      </c>
      <c r="HH68" s="22" t="e">
        <f aca="false">AND(#REF!,"AAAAAH///9c=")</f>
        <v>#VALUE!</v>
      </c>
      <c r="HI68" s="22" t="e">
        <f aca="false">AND(#REF!,"AAAAAH///9g=")</f>
        <v>#VALUE!</v>
      </c>
      <c r="HJ68" s="22" t="e">
        <f aca="false">IF(#REF!,"AAAAAH///9k=",0)</f>
        <v>#REF!</v>
      </c>
      <c r="HK68" s="22" t="e">
        <f aca="false">AND(#REF!,"AAAAAH///9o=")</f>
        <v>#VALUE!</v>
      </c>
      <c r="HL68" s="22" t="e">
        <f aca="false">AND(#REF!,"AAAAAH///9s=")</f>
        <v>#VALUE!</v>
      </c>
      <c r="HM68" s="22" t="e">
        <f aca="false">AND(#REF!,"AAAAAH///9w=")</f>
        <v>#VALUE!</v>
      </c>
      <c r="HN68" s="22" t="e">
        <f aca="false">AND(#REF!,"AAAAAH///90=")</f>
        <v>#VALUE!</v>
      </c>
      <c r="HO68" s="22" t="e">
        <f aca="false">AND(#REF!,"AAAAAH///94=")</f>
        <v>#VALUE!</v>
      </c>
      <c r="HP68" s="22" t="e">
        <f aca="false">IF(#REF!,"AAAAAH///98=",0)</f>
        <v>#REF!</v>
      </c>
      <c r="HQ68" s="22" t="e">
        <f aca="false">AND(#REF!,"AAAAAH///+A=")</f>
        <v>#VALUE!</v>
      </c>
      <c r="HR68" s="22" t="e">
        <f aca="false">AND(#REF!,"AAAAAH///+E=")</f>
        <v>#VALUE!</v>
      </c>
      <c r="HS68" s="22" t="e">
        <f aca="false">AND(#REF!,"AAAAAH///+I=")</f>
        <v>#VALUE!</v>
      </c>
      <c r="HT68" s="22" t="e">
        <f aca="false">AND(#REF!,"AAAAAH///+M=")</f>
        <v>#VALUE!</v>
      </c>
      <c r="HU68" s="22" t="e">
        <f aca="false">AND(#REF!,"AAAAAH///+Q=")</f>
        <v>#VALUE!</v>
      </c>
      <c r="HV68" s="22" t="e">
        <f aca="false">IF(#REF!,"AAAAAH///+U=",0)</f>
        <v>#REF!</v>
      </c>
      <c r="HW68" s="22" t="e">
        <f aca="false">AND(#REF!,"AAAAAH///+Y=")</f>
        <v>#VALUE!</v>
      </c>
      <c r="HX68" s="22" t="e">
        <f aca="false">AND(#REF!,"AAAAAH///+c=")</f>
        <v>#VALUE!</v>
      </c>
      <c r="HY68" s="22" t="e">
        <f aca="false">AND(#REF!,"AAAAAH///+g=")</f>
        <v>#VALUE!</v>
      </c>
      <c r="HZ68" s="22" t="e">
        <f aca="false">AND(#REF!,"AAAAAH///+k=")</f>
        <v>#VALUE!</v>
      </c>
      <c r="IA68" s="22" t="e">
        <f aca="false">AND(#REF!,"AAAAAH///+o=")</f>
        <v>#VALUE!</v>
      </c>
      <c r="IB68" s="22" t="e">
        <f aca="false">IF(#REF!,"AAAAAH///+s=",0)</f>
        <v>#REF!</v>
      </c>
      <c r="IC68" s="22" t="e">
        <f aca="false">AND(#REF!,"AAAAAH///+w=")</f>
        <v>#VALUE!</v>
      </c>
      <c r="ID68" s="22" t="e">
        <f aca="false">AND(#REF!,"AAAAAH///+0=")</f>
        <v>#VALUE!</v>
      </c>
      <c r="IE68" s="22" t="e">
        <f aca="false">AND(#REF!,"AAAAAH///+4=")</f>
        <v>#VALUE!</v>
      </c>
      <c r="IF68" s="22" t="e">
        <f aca="false">AND(#REF!,"AAAAAH///+8=")</f>
        <v>#VALUE!</v>
      </c>
      <c r="IG68" s="22" t="e">
        <f aca="false">AND(#REF!,"AAAAAH////A=")</f>
        <v>#VALUE!</v>
      </c>
      <c r="IH68" s="22" t="e">
        <f aca="false">IF(#REF!,"AAAAAH////E=",0)</f>
        <v>#REF!</v>
      </c>
      <c r="II68" s="22" t="e">
        <f aca="false">AND(#REF!,"AAAAAH////I=")</f>
        <v>#VALUE!</v>
      </c>
      <c r="IJ68" s="22" t="e">
        <f aca="false">AND(#REF!,"AAAAAH////M=")</f>
        <v>#VALUE!</v>
      </c>
      <c r="IK68" s="22" t="e">
        <f aca="false">AND(#REF!,"AAAAAH////Q=")</f>
        <v>#VALUE!</v>
      </c>
      <c r="IL68" s="22" t="e">
        <f aca="false">AND(#REF!,"AAAAAH////U=")</f>
        <v>#VALUE!</v>
      </c>
      <c r="IM68" s="22" t="e">
        <f aca="false">AND(#REF!,"AAAAAH////Y=")</f>
        <v>#VALUE!</v>
      </c>
      <c r="IN68" s="22" t="e">
        <f aca="false">IF(#REF!,"AAAAAH////c=",0)</f>
        <v>#REF!</v>
      </c>
      <c r="IO68" s="22" t="e">
        <f aca="false">AND(#REF!,"AAAAAH////g=")</f>
        <v>#VALUE!</v>
      </c>
      <c r="IP68" s="22" t="e">
        <f aca="false">AND(#REF!,"AAAAAH////k=")</f>
        <v>#VALUE!</v>
      </c>
      <c r="IQ68" s="22" t="e">
        <f aca="false">AND(#REF!,"AAAAAH////o=")</f>
        <v>#VALUE!</v>
      </c>
      <c r="IR68" s="22" t="e">
        <f aca="false">AND(#REF!,"AAAAAH////s=")</f>
        <v>#VALUE!</v>
      </c>
      <c r="IS68" s="22" t="e">
        <f aca="false">AND(#REF!,"AAAAAH////w=")</f>
        <v>#VALUE!</v>
      </c>
      <c r="IT68" s="22" t="e">
        <f aca="false">IF(#REF!,"AAAAAH////0=",0)</f>
        <v>#REF!</v>
      </c>
      <c r="IU68" s="22" t="e">
        <f aca="false">AND(#REF!,"AAAAAH////4=")</f>
        <v>#VALUE!</v>
      </c>
      <c r="IV68" s="22" t="e">
        <f aca="false">AND(#REF!,"AAAAAH////8=")</f>
        <v>#VALUE!</v>
      </c>
    </row>
    <row r="69" customFormat="false" ht="12.75" hidden="false" customHeight="false" outlineLevel="0" collapsed="false">
      <c r="A69" s="22" t="e">
        <f aca="false">AND(#REF!,"AAAAAG/VfwA=")</f>
        <v>#VALUE!</v>
      </c>
      <c r="B69" s="22" t="e">
        <f aca="false">AND(#REF!,"AAAAAG/VfwE=")</f>
        <v>#VALUE!</v>
      </c>
      <c r="C69" s="22" t="e">
        <f aca="false">AND(#REF!,"AAAAAG/VfwI=")</f>
        <v>#VALUE!</v>
      </c>
      <c r="D69" s="22" t="e">
        <f aca="false">IF(#REF!,"AAAAAG/VfwM=",0)</f>
        <v>#REF!</v>
      </c>
      <c r="E69" s="22" t="e">
        <f aca="false">AND(#REF!,"AAAAAG/VfwQ=")</f>
        <v>#VALUE!</v>
      </c>
      <c r="F69" s="22" t="e">
        <f aca="false">AND(#REF!,"AAAAAG/VfwU=")</f>
        <v>#VALUE!</v>
      </c>
      <c r="G69" s="22" t="e">
        <f aca="false">AND(#REF!,"AAAAAG/VfwY=")</f>
        <v>#VALUE!</v>
      </c>
      <c r="H69" s="22" t="e">
        <f aca="false">AND(#REF!,"AAAAAG/Vfwc=")</f>
        <v>#VALUE!</v>
      </c>
      <c r="I69" s="22" t="e">
        <f aca="false">AND(#REF!,"AAAAAG/Vfwg=")</f>
        <v>#VALUE!</v>
      </c>
      <c r="J69" s="22" t="e">
        <f aca="false">IF(#REF!,"AAAAAG/Vfwk=",0)</f>
        <v>#REF!</v>
      </c>
      <c r="K69" s="22" t="e">
        <f aca="false">AND(#REF!,"AAAAAG/Vfwo=")</f>
        <v>#VALUE!</v>
      </c>
      <c r="L69" s="22" t="e">
        <f aca="false">AND(#REF!,"AAAAAG/Vfws=")</f>
        <v>#VALUE!</v>
      </c>
      <c r="M69" s="22" t="e">
        <f aca="false">AND(#REF!,"AAAAAG/Vfww=")</f>
        <v>#VALUE!</v>
      </c>
      <c r="N69" s="22" t="e">
        <f aca="false">AND(#REF!,"AAAAAG/Vfw0=")</f>
        <v>#VALUE!</v>
      </c>
      <c r="O69" s="22" t="e">
        <f aca="false">AND(#REF!,"AAAAAG/Vfw4=")</f>
        <v>#VALUE!</v>
      </c>
      <c r="P69" s="22" t="e">
        <f aca="false">IF(#REF!,"AAAAAG/Vfw8=",0)</f>
        <v>#REF!</v>
      </c>
      <c r="Q69" s="22" t="e">
        <f aca="false">AND(#REF!,"AAAAAG/VfxA=")</f>
        <v>#VALUE!</v>
      </c>
      <c r="R69" s="22" t="e">
        <f aca="false">AND(#REF!,"AAAAAG/VfxE=")</f>
        <v>#VALUE!</v>
      </c>
      <c r="S69" s="22" t="e">
        <f aca="false">AND(#REF!,"AAAAAG/VfxI=")</f>
        <v>#VALUE!</v>
      </c>
      <c r="T69" s="22" t="e">
        <f aca="false">AND(#REF!,"AAAAAG/VfxM=")</f>
        <v>#VALUE!</v>
      </c>
      <c r="U69" s="22" t="e">
        <f aca="false">AND(#REF!,"AAAAAG/VfxQ=")</f>
        <v>#VALUE!</v>
      </c>
      <c r="V69" s="22" t="e">
        <f aca="false">IF(#REF!,"AAAAAG/VfxU=",0)</f>
        <v>#REF!</v>
      </c>
      <c r="W69" s="22" t="e">
        <f aca="false">AND(#REF!,"AAAAAG/VfxY=")</f>
        <v>#VALUE!</v>
      </c>
      <c r="X69" s="22" t="e">
        <f aca="false">AND(#REF!,"AAAAAG/Vfxc=")</f>
        <v>#VALUE!</v>
      </c>
      <c r="Y69" s="22" t="e">
        <f aca="false">AND(#REF!,"AAAAAG/Vfxg=")</f>
        <v>#VALUE!</v>
      </c>
      <c r="Z69" s="22" t="e">
        <f aca="false">AND(#REF!,"AAAAAG/Vfxk=")</f>
        <v>#VALUE!</v>
      </c>
      <c r="AA69" s="22" t="e">
        <f aca="false">AND(#REF!,"AAAAAG/Vfxo=")</f>
        <v>#VALUE!</v>
      </c>
      <c r="AB69" s="22" t="e">
        <f aca="false">IF(#REF!,"AAAAAG/Vfxs=",0)</f>
        <v>#REF!</v>
      </c>
      <c r="AC69" s="22" t="e">
        <f aca="false">AND(#REF!,"AAAAAG/Vfxw=")</f>
        <v>#VALUE!</v>
      </c>
      <c r="AD69" s="22" t="e">
        <f aca="false">AND(#REF!,"AAAAAG/Vfx0=")</f>
        <v>#VALUE!</v>
      </c>
      <c r="AE69" s="22" t="e">
        <f aca="false">AND(#REF!,"AAAAAG/Vfx4=")</f>
        <v>#VALUE!</v>
      </c>
      <c r="AF69" s="22" t="e">
        <f aca="false">AND(#REF!,"AAAAAG/Vfx8=")</f>
        <v>#VALUE!</v>
      </c>
      <c r="AG69" s="22" t="e">
        <f aca="false">AND(#REF!,"AAAAAG/VfyA=")</f>
        <v>#VALUE!</v>
      </c>
      <c r="AH69" s="22" t="e">
        <f aca="false">IF(#REF!,"AAAAAG/VfyE=",0)</f>
        <v>#REF!</v>
      </c>
      <c r="AI69" s="22" t="e">
        <f aca="false">AND(#REF!,"AAAAAG/VfyI=")</f>
        <v>#VALUE!</v>
      </c>
      <c r="AJ69" s="22" t="e">
        <f aca="false">AND(#REF!,"AAAAAG/VfyM=")</f>
        <v>#VALUE!</v>
      </c>
      <c r="AK69" s="22" t="e">
        <f aca="false">AND(#REF!,"AAAAAG/VfyQ=")</f>
        <v>#VALUE!</v>
      </c>
      <c r="AL69" s="22" t="e">
        <f aca="false">AND(#REF!,"AAAAAG/VfyU=")</f>
        <v>#VALUE!</v>
      </c>
      <c r="AM69" s="22" t="e">
        <f aca="false">AND(#REF!,"AAAAAG/VfyY=")</f>
        <v>#VALUE!</v>
      </c>
      <c r="AN69" s="22" t="e">
        <f aca="false">IF(#REF!,"AAAAAG/Vfyc=",0)</f>
        <v>#REF!</v>
      </c>
      <c r="AO69" s="22" t="e">
        <f aca="false">AND(#REF!,"AAAAAG/Vfyg=")</f>
        <v>#VALUE!</v>
      </c>
      <c r="AP69" s="22" t="e">
        <f aca="false">AND(#REF!,"AAAAAG/Vfyk=")</f>
        <v>#VALUE!</v>
      </c>
      <c r="AQ69" s="22" t="e">
        <f aca="false">AND(#REF!,"AAAAAG/Vfyo=")</f>
        <v>#VALUE!</v>
      </c>
      <c r="AR69" s="22" t="e">
        <f aca="false">AND(#REF!,"AAAAAG/Vfys=")</f>
        <v>#VALUE!</v>
      </c>
      <c r="AS69" s="22" t="e">
        <f aca="false">AND(#REF!,"AAAAAG/Vfyw=")</f>
        <v>#VALUE!</v>
      </c>
      <c r="AT69" s="22" t="e">
        <f aca="false">IF(#REF!,"AAAAAG/Vfy0=",0)</f>
        <v>#REF!</v>
      </c>
      <c r="AU69" s="22" t="e">
        <f aca="false">AND(#REF!,"AAAAAG/Vfy4=")</f>
        <v>#VALUE!</v>
      </c>
      <c r="AV69" s="22" t="e">
        <f aca="false">AND(#REF!,"AAAAAG/Vfy8=")</f>
        <v>#VALUE!</v>
      </c>
      <c r="AW69" s="22" t="e">
        <f aca="false">AND(#REF!,"AAAAAG/VfzA=")</f>
        <v>#VALUE!</v>
      </c>
      <c r="AX69" s="22" t="e">
        <f aca="false">AND(#REF!,"AAAAAG/VfzE=")</f>
        <v>#VALUE!</v>
      </c>
      <c r="AY69" s="22" t="e">
        <f aca="false">AND(#REF!,"AAAAAG/VfzI=")</f>
        <v>#VALUE!</v>
      </c>
      <c r="AZ69" s="22" t="e">
        <f aca="false">IF(#REF!,"AAAAAG/VfzM=",0)</f>
        <v>#REF!</v>
      </c>
      <c r="BA69" s="22" t="e">
        <f aca="false">AND(#REF!,"AAAAAG/VfzQ=")</f>
        <v>#VALUE!</v>
      </c>
      <c r="BB69" s="22" t="e">
        <f aca="false">AND(#REF!,"AAAAAG/VfzU=")</f>
        <v>#VALUE!</v>
      </c>
      <c r="BC69" s="22" t="e">
        <f aca="false">AND(#REF!,"AAAAAG/VfzY=")</f>
        <v>#VALUE!</v>
      </c>
      <c r="BD69" s="22" t="e">
        <f aca="false">AND(#REF!,"AAAAAG/Vfzc=")</f>
        <v>#VALUE!</v>
      </c>
      <c r="BE69" s="22" t="e">
        <f aca="false">AND(#REF!,"AAAAAG/Vfzg=")</f>
        <v>#VALUE!</v>
      </c>
      <c r="BF69" s="22" t="e">
        <f aca="false">IF(#REF!,"AAAAAG/Vfzk=",0)</f>
        <v>#REF!</v>
      </c>
      <c r="BG69" s="22" t="e">
        <f aca="false">AND(#REF!,"AAAAAG/Vfzo=")</f>
        <v>#VALUE!</v>
      </c>
      <c r="BH69" s="22" t="e">
        <f aca="false">AND(#REF!,"AAAAAG/Vfzs=")</f>
        <v>#VALUE!</v>
      </c>
      <c r="BI69" s="22" t="e">
        <f aca="false">AND(#REF!,"AAAAAG/Vfzw=")</f>
        <v>#VALUE!</v>
      </c>
      <c r="BJ69" s="22" t="e">
        <f aca="false">AND(#REF!,"AAAAAG/Vfz0=")</f>
        <v>#VALUE!</v>
      </c>
      <c r="BK69" s="22" t="e">
        <f aca="false">AND(#REF!,"AAAAAG/Vfz4=")</f>
        <v>#VALUE!</v>
      </c>
      <c r="BL69" s="22" t="e">
        <f aca="false">IF(#REF!,"AAAAAG/Vfz8=",0)</f>
        <v>#REF!</v>
      </c>
      <c r="BM69" s="22" t="e">
        <f aca="false">AND(#REF!,"AAAAAG/Vf0A=")</f>
        <v>#VALUE!</v>
      </c>
      <c r="BN69" s="22" t="e">
        <f aca="false">AND(#REF!,"AAAAAG/Vf0E=")</f>
        <v>#VALUE!</v>
      </c>
      <c r="BO69" s="22" t="e">
        <f aca="false">AND(#REF!,"AAAAAG/Vf0I=")</f>
        <v>#VALUE!</v>
      </c>
      <c r="BP69" s="22" t="e">
        <f aca="false">AND(#REF!,"AAAAAG/Vf0M=")</f>
        <v>#VALUE!</v>
      </c>
      <c r="BQ69" s="22" t="e">
        <f aca="false">AND(#REF!,"AAAAAG/Vf0Q=")</f>
        <v>#VALUE!</v>
      </c>
      <c r="BR69" s="22" t="e">
        <f aca="false">IF(#REF!,"AAAAAG/Vf0U=",0)</f>
        <v>#REF!</v>
      </c>
      <c r="BS69" s="22" t="e">
        <f aca="false">AND(#REF!,"AAAAAG/Vf0Y=")</f>
        <v>#VALUE!</v>
      </c>
      <c r="BT69" s="22" t="e">
        <f aca="false">AND(#REF!,"AAAAAG/Vf0c=")</f>
        <v>#VALUE!</v>
      </c>
      <c r="BU69" s="22" t="e">
        <f aca="false">AND(#REF!,"AAAAAG/Vf0g=")</f>
        <v>#VALUE!</v>
      </c>
      <c r="BV69" s="22" t="e">
        <f aca="false">AND(#REF!,"AAAAAG/Vf0k=")</f>
        <v>#VALUE!</v>
      </c>
      <c r="BW69" s="22" t="e">
        <f aca="false">AND(#REF!,"AAAAAG/Vf0o=")</f>
        <v>#VALUE!</v>
      </c>
      <c r="BX69" s="22" t="e">
        <f aca="false">IF(#REF!,"AAAAAG/Vf0s=",0)</f>
        <v>#REF!</v>
      </c>
      <c r="BY69" s="22" t="e">
        <f aca="false">AND(#REF!,"AAAAAG/Vf0w=")</f>
        <v>#VALUE!</v>
      </c>
      <c r="BZ69" s="22" t="e">
        <f aca="false">AND(#REF!,"AAAAAG/Vf00=")</f>
        <v>#VALUE!</v>
      </c>
      <c r="CA69" s="22" t="e">
        <f aca="false">AND(#REF!,"AAAAAG/Vf04=")</f>
        <v>#VALUE!</v>
      </c>
      <c r="CB69" s="22" t="e">
        <f aca="false">AND(#REF!,"AAAAAG/Vf08=")</f>
        <v>#VALUE!</v>
      </c>
      <c r="CC69" s="22" t="e">
        <f aca="false">AND(#REF!,"AAAAAG/Vf1A=")</f>
        <v>#VALUE!</v>
      </c>
      <c r="CD69" s="22" t="e">
        <f aca="false">IF(#REF!,"AAAAAG/Vf1E=",0)</f>
        <v>#REF!</v>
      </c>
      <c r="CE69" s="22" t="e">
        <f aca="false">AND(#REF!,"AAAAAG/Vf1I=")</f>
        <v>#VALUE!</v>
      </c>
      <c r="CF69" s="22" t="e">
        <f aca="false">AND(#REF!,"AAAAAG/Vf1M=")</f>
        <v>#VALUE!</v>
      </c>
      <c r="CG69" s="22" t="e">
        <f aca="false">AND(#REF!,"AAAAAG/Vf1Q=")</f>
        <v>#VALUE!</v>
      </c>
      <c r="CH69" s="22" t="e">
        <f aca="false">AND(#REF!,"AAAAAG/Vf1U=")</f>
        <v>#VALUE!</v>
      </c>
      <c r="CI69" s="22" t="e">
        <f aca="false">AND(#REF!,"AAAAAG/Vf1Y=")</f>
        <v>#VALUE!</v>
      </c>
      <c r="CJ69" s="22" t="e">
        <f aca="false">IF(#REF!,"AAAAAG/Vf1c=",0)</f>
        <v>#REF!</v>
      </c>
      <c r="CK69" s="22" t="e">
        <f aca="false">AND(#REF!,"AAAAAG/Vf1g=")</f>
        <v>#VALUE!</v>
      </c>
      <c r="CL69" s="22" t="e">
        <f aca="false">AND(#REF!,"AAAAAG/Vf1k=")</f>
        <v>#VALUE!</v>
      </c>
      <c r="CM69" s="22" t="e">
        <f aca="false">AND(#REF!,"AAAAAG/Vf1o=")</f>
        <v>#VALUE!</v>
      </c>
      <c r="CN69" s="22" t="e">
        <f aca="false">AND(#REF!,"AAAAAG/Vf1s=")</f>
        <v>#VALUE!</v>
      </c>
      <c r="CO69" s="22" t="e">
        <f aca="false">AND(#REF!,"AAAAAG/Vf1w=")</f>
        <v>#VALUE!</v>
      </c>
      <c r="CP69" s="22" t="e">
        <f aca="false">IF(#REF!,"AAAAAG/Vf10=",0)</f>
        <v>#REF!</v>
      </c>
      <c r="CQ69" s="22" t="e">
        <f aca="false">AND(#REF!,"AAAAAG/Vf14=")</f>
        <v>#VALUE!</v>
      </c>
      <c r="CR69" s="22" t="e">
        <f aca="false">AND(#REF!,"AAAAAG/Vf18=")</f>
        <v>#VALUE!</v>
      </c>
      <c r="CS69" s="22" t="e">
        <f aca="false">AND(#REF!,"AAAAAG/Vf2A=")</f>
        <v>#VALUE!</v>
      </c>
      <c r="CT69" s="22" t="e">
        <f aca="false">AND(#REF!,"AAAAAG/Vf2E=")</f>
        <v>#VALUE!</v>
      </c>
      <c r="CU69" s="22" t="e">
        <f aca="false">AND(#REF!,"AAAAAG/Vf2I=")</f>
        <v>#VALUE!</v>
      </c>
      <c r="CV69" s="22" t="e">
        <f aca="false">IF(#REF!,"AAAAAG/Vf2M=",0)</f>
        <v>#REF!</v>
      </c>
      <c r="CW69" s="22" t="e">
        <f aca="false">AND(#REF!,"AAAAAG/Vf2Q=")</f>
        <v>#VALUE!</v>
      </c>
      <c r="CX69" s="22" t="e">
        <f aca="false">AND(#REF!,"AAAAAG/Vf2U=")</f>
        <v>#VALUE!</v>
      </c>
      <c r="CY69" s="22" t="e">
        <f aca="false">AND(#REF!,"AAAAAG/Vf2Y=")</f>
        <v>#VALUE!</v>
      </c>
      <c r="CZ69" s="22" t="e">
        <f aca="false">AND(#REF!,"AAAAAG/Vf2c=")</f>
        <v>#VALUE!</v>
      </c>
      <c r="DA69" s="22" t="e">
        <f aca="false">AND(#REF!,"AAAAAG/Vf2g=")</f>
        <v>#VALUE!</v>
      </c>
      <c r="DB69" s="22" t="e">
        <f aca="false">IF(#REF!,"AAAAAG/Vf2k=",0)</f>
        <v>#REF!</v>
      </c>
      <c r="DC69" s="22" t="e">
        <f aca="false">AND(#REF!,"AAAAAG/Vf2o=")</f>
        <v>#VALUE!</v>
      </c>
      <c r="DD69" s="22" t="e">
        <f aca="false">AND(#REF!,"AAAAAG/Vf2s=")</f>
        <v>#VALUE!</v>
      </c>
      <c r="DE69" s="22" t="e">
        <f aca="false">AND(#REF!,"AAAAAG/Vf2w=")</f>
        <v>#VALUE!</v>
      </c>
      <c r="DF69" s="22" t="e">
        <f aca="false">AND(#REF!,"AAAAAG/Vf20=")</f>
        <v>#VALUE!</v>
      </c>
      <c r="DG69" s="22" t="e">
        <f aca="false">AND(#REF!,"AAAAAG/Vf24=")</f>
        <v>#VALUE!</v>
      </c>
      <c r="DH69" s="22" t="e">
        <f aca="false">IF(#REF!,"AAAAAG/Vf28=",0)</f>
        <v>#REF!</v>
      </c>
      <c r="DI69" s="22" t="e">
        <f aca="false">AND(#REF!,"AAAAAG/Vf3A=")</f>
        <v>#VALUE!</v>
      </c>
      <c r="DJ69" s="22" t="e">
        <f aca="false">AND(#REF!,"AAAAAG/Vf3E=")</f>
        <v>#VALUE!</v>
      </c>
      <c r="DK69" s="22" t="e">
        <f aca="false">AND(#REF!,"AAAAAG/Vf3I=")</f>
        <v>#VALUE!</v>
      </c>
      <c r="DL69" s="22" t="e">
        <f aca="false">AND(#REF!,"AAAAAG/Vf3M=")</f>
        <v>#VALUE!</v>
      </c>
      <c r="DM69" s="22" t="e">
        <f aca="false">AND(#REF!,"AAAAAG/Vf3Q=")</f>
        <v>#VALUE!</v>
      </c>
      <c r="DN69" s="22" t="e">
        <f aca="false">IF(#REF!,"AAAAAG/Vf3U=",0)</f>
        <v>#REF!</v>
      </c>
      <c r="DO69" s="22" t="e">
        <f aca="false">AND(#REF!,"AAAAAG/Vf3Y=")</f>
        <v>#VALUE!</v>
      </c>
      <c r="DP69" s="22" t="e">
        <f aca="false">AND(#REF!,"AAAAAG/Vf3c=")</f>
        <v>#VALUE!</v>
      </c>
      <c r="DQ69" s="22" t="e">
        <f aca="false">AND(#REF!,"AAAAAG/Vf3g=")</f>
        <v>#VALUE!</v>
      </c>
      <c r="DR69" s="22" t="e">
        <f aca="false">AND(#REF!,"AAAAAG/Vf3k=")</f>
        <v>#VALUE!</v>
      </c>
      <c r="DS69" s="22" t="e">
        <f aca="false">AND(#REF!,"AAAAAG/Vf3o=")</f>
        <v>#VALUE!</v>
      </c>
      <c r="DT69" s="22" t="e">
        <f aca="false">IF(#REF!,"AAAAAG/Vf3s=",0)</f>
        <v>#REF!</v>
      </c>
      <c r="DU69" s="22" t="e">
        <f aca="false">AND(#REF!,"AAAAAG/Vf3w=")</f>
        <v>#VALUE!</v>
      </c>
      <c r="DV69" s="22" t="e">
        <f aca="false">AND(#REF!,"AAAAAG/Vf30=")</f>
        <v>#VALUE!</v>
      </c>
      <c r="DW69" s="22" t="e">
        <f aca="false">AND(#REF!,"AAAAAG/Vf34=")</f>
        <v>#VALUE!</v>
      </c>
      <c r="DX69" s="22" t="e">
        <f aca="false">AND(#REF!,"AAAAAG/Vf38=")</f>
        <v>#VALUE!</v>
      </c>
      <c r="DY69" s="22" t="e">
        <f aca="false">AND(#REF!,"AAAAAG/Vf4A=")</f>
        <v>#VALUE!</v>
      </c>
      <c r="DZ69" s="22" t="e">
        <f aca="false">IF(#REF!,"AAAAAG/Vf4E=",0)</f>
        <v>#REF!</v>
      </c>
      <c r="EA69" s="22" t="e">
        <f aca="false">AND(#REF!,"AAAAAG/Vf4I=")</f>
        <v>#VALUE!</v>
      </c>
      <c r="EB69" s="22" t="e">
        <f aca="false">AND(#REF!,"AAAAAG/Vf4M=")</f>
        <v>#VALUE!</v>
      </c>
      <c r="EC69" s="22" t="e">
        <f aca="false">AND(#REF!,"AAAAAG/Vf4Q=")</f>
        <v>#VALUE!</v>
      </c>
      <c r="ED69" s="22" t="e">
        <f aca="false">AND(#REF!,"AAAAAG/Vf4U=")</f>
        <v>#VALUE!</v>
      </c>
      <c r="EE69" s="22" t="e">
        <f aca="false">AND(#REF!,"AAAAAG/Vf4Y=")</f>
        <v>#VALUE!</v>
      </c>
      <c r="EF69" s="22" t="e">
        <f aca="false">IF(#REF!,"AAAAAG/Vf4c=",0)</f>
        <v>#REF!</v>
      </c>
      <c r="EG69" s="22" t="e">
        <f aca="false">AND(#REF!,"AAAAAG/Vf4g=")</f>
        <v>#VALUE!</v>
      </c>
      <c r="EH69" s="22" t="e">
        <f aca="false">AND(#REF!,"AAAAAG/Vf4k=")</f>
        <v>#VALUE!</v>
      </c>
      <c r="EI69" s="22" t="e">
        <f aca="false">AND(#REF!,"AAAAAG/Vf4o=")</f>
        <v>#VALUE!</v>
      </c>
      <c r="EJ69" s="22" t="e">
        <f aca="false">AND(#REF!,"AAAAAG/Vf4s=")</f>
        <v>#VALUE!</v>
      </c>
      <c r="EK69" s="22" t="e">
        <f aca="false">AND(#REF!,"AAAAAG/Vf4w=")</f>
        <v>#VALUE!</v>
      </c>
      <c r="EL69" s="22" t="e">
        <f aca="false">IF(#REF!,"AAAAAG/Vf40=",0)</f>
        <v>#REF!</v>
      </c>
      <c r="EM69" s="22" t="e">
        <f aca="false">AND(#REF!,"AAAAAG/Vf44=")</f>
        <v>#VALUE!</v>
      </c>
      <c r="EN69" s="22" t="e">
        <f aca="false">AND(#REF!,"AAAAAG/Vf48=")</f>
        <v>#VALUE!</v>
      </c>
      <c r="EO69" s="22" t="e">
        <f aca="false">AND(#REF!,"AAAAAG/Vf5A=")</f>
        <v>#VALUE!</v>
      </c>
      <c r="EP69" s="22" t="e">
        <f aca="false">AND(#REF!,"AAAAAG/Vf5E=")</f>
        <v>#VALUE!</v>
      </c>
      <c r="EQ69" s="22" t="e">
        <f aca="false">AND(#REF!,"AAAAAG/Vf5I=")</f>
        <v>#VALUE!</v>
      </c>
      <c r="ER69" s="22" t="e">
        <f aca="false">IF(#REF!,"AAAAAG/Vf5M=",0)</f>
        <v>#REF!</v>
      </c>
      <c r="ES69" s="22" t="e">
        <f aca="false">AND(#REF!,"AAAAAG/Vf5Q=")</f>
        <v>#VALUE!</v>
      </c>
      <c r="ET69" s="22" t="e">
        <f aca="false">AND(#REF!,"AAAAAG/Vf5U=")</f>
        <v>#VALUE!</v>
      </c>
      <c r="EU69" s="22" t="e">
        <f aca="false">AND(#REF!,"AAAAAG/Vf5Y=")</f>
        <v>#VALUE!</v>
      </c>
      <c r="EV69" s="22" t="e">
        <f aca="false">AND(#REF!,"AAAAAG/Vf5c=")</f>
        <v>#VALUE!</v>
      </c>
      <c r="EW69" s="22" t="e">
        <f aca="false">AND(#REF!,"AAAAAG/Vf5g=")</f>
        <v>#VALUE!</v>
      </c>
      <c r="EX69" s="22" t="e">
        <f aca="false">IF(#REF!,"AAAAAG/Vf5k=",0)</f>
        <v>#REF!</v>
      </c>
      <c r="EY69" s="22" t="e">
        <f aca="false">AND(#REF!,"AAAAAG/Vf5o=")</f>
        <v>#VALUE!</v>
      </c>
      <c r="EZ69" s="22" t="e">
        <f aca="false">AND(#REF!,"AAAAAG/Vf5s=")</f>
        <v>#VALUE!</v>
      </c>
      <c r="FA69" s="22" t="e">
        <f aca="false">AND(#REF!,"AAAAAG/Vf5w=")</f>
        <v>#VALUE!</v>
      </c>
      <c r="FB69" s="22" t="e">
        <f aca="false">AND(#REF!,"AAAAAG/Vf50=")</f>
        <v>#VALUE!</v>
      </c>
      <c r="FC69" s="22" t="e">
        <f aca="false">AND(#REF!,"AAAAAG/Vf54=")</f>
        <v>#VALUE!</v>
      </c>
      <c r="FD69" s="22" t="e">
        <f aca="false">IF(#REF!,"AAAAAG/Vf58=",0)</f>
        <v>#REF!</v>
      </c>
      <c r="FE69" s="22" t="e">
        <f aca="false">AND(#REF!,"AAAAAG/Vf6A=")</f>
        <v>#VALUE!</v>
      </c>
      <c r="FF69" s="22" t="e">
        <f aca="false">AND(#REF!,"AAAAAG/Vf6E=")</f>
        <v>#VALUE!</v>
      </c>
      <c r="FG69" s="22" t="e">
        <f aca="false">AND(#REF!,"AAAAAG/Vf6I=")</f>
        <v>#VALUE!</v>
      </c>
      <c r="FH69" s="22" t="e">
        <f aca="false">AND(#REF!,"AAAAAG/Vf6M=")</f>
        <v>#VALUE!</v>
      </c>
      <c r="FI69" s="22" t="e">
        <f aca="false">AND(#REF!,"AAAAAG/Vf6Q=")</f>
        <v>#VALUE!</v>
      </c>
      <c r="FJ69" s="22" t="e">
        <f aca="false">IF(#REF!,"AAAAAG/Vf6U=",0)</f>
        <v>#REF!</v>
      </c>
      <c r="FK69" s="22" t="e">
        <f aca="false">AND(#REF!,"AAAAAG/Vf6Y=")</f>
        <v>#VALUE!</v>
      </c>
      <c r="FL69" s="22" t="e">
        <f aca="false">AND(#REF!,"AAAAAG/Vf6c=")</f>
        <v>#VALUE!</v>
      </c>
      <c r="FM69" s="22" t="e">
        <f aca="false">AND(#REF!,"AAAAAG/Vf6g=")</f>
        <v>#VALUE!</v>
      </c>
      <c r="FN69" s="22" t="e">
        <f aca="false">AND(#REF!,"AAAAAG/Vf6k=")</f>
        <v>#VALUE!</v>
      </c>
      <c r="FO69" s="22" t="e">
        <f aca="false">AND(#REF!,"AAAAAG/Vf6o=")</f>
        <v>#VALUE!</v>
      </c>
      <c r="FP69" s="22" t="e">
        <f aca="false">IF(#REF!,"AAAAAG/Vf6s=",0)</f>
        <v>#REF!</v>
      </c>
      <c r="FQ69" s="22" t="e">
        <f aca="false">AND(#REF!,"AAAAAG/Vf6w=")</f>
        <v>#VALUE!</v>
      </c>
      <c r="FR69" s="22" t="e">
        <f aca="false">AND(#REF!,"AAAAAG/Vf60=")</f>
        <v>#VALUE!</v>
      </c>
      <c r="FS69" s="22" t="e">
        <f aca="false">AND(#REF!,"AAAAAG/Vf64=")</f>
        <v>#VALUE!</v>
      </c>
      <c r="FT69" s="22" t="e">
        <f aca="false">AND(#REF!,"AAAAAG/Vf68=")</f>
        <v>#VALUE!</v>
      </c>
      <c r="FU69" s="22" t="e">
        <f aca="false">AND(#REF!,"AAAAAG/Vf7A=")</f>
        <v>#VALUE!</v>
      </c>
      <c r="FV69" s="22" t="e">
        <f aca="false">IF(#REF!,"AAAAAG/Vf7E=",0)</f>
        <v>#REF!</v>
      </c>
      <c r="FW69" s="22" t="e">
        <f aca="false">AND(#REF!,"AAAAAG/Vf7I=")</f>
        <v>#VALUE!</v>
      </c>
      <c r="FX69" s="22" t="e">
        <f aca="false">AND(#REF!,"AAAAAG/Vf7M=")</f>
        <v>#VALUE!</v>
      </c>
      <c r="FY69" s="22" t="e">
        <f aca="false">AND(#REF!,"AAAAAG/Vf7Q=")</f>
        <v>#VALUE!</v>
      </c>
      <c r="FZ69" s="22" t="e">
        <f aca="false">AND(#REF!,"AAAAAG/Vf7U=")</f>
        <v>#VALUE!</v>
      </c>
      <c r="GA69" s="22" t="e">
        <f aca="false">AND(#REF!,"AAAAAG/Vf7Y=")</f>
        <v>#VALUE!</v>
      </c>
      <c r="GB69" s="22" t="e">
        <f aca="false">IF(#REF!,"AAAAAG/Vf7c=",0)</f>
        <v>#REF!</v>
      </c>
      <c r="GC69" s="22" t="e">
        <f aca="false">AND(#REF!,"AAAAAG/Vf7g=")</f>
        <v>#VALUE!</v>
      </c>
      <c r="GD69" s="22" t="e">
        <f aca="false">AND(#REF!,"AAAAAG/Vf7k=")</f>
        <v>#VALUE!</v>
      </c>
      <c r="GE69" s="22" t="e">
        <f aca="false">AND(#REF!,"AAAAAG/Vf7o=")</f>
        <v>#VALUE!</v>
      </c>
      <c r="GF69" s="22" t="e">
        <f aca="false">AND(#REF!,"AAAAAG/Vf7s=")</f>
        <v>#VALUE!</v>
      </c>
      <c r="GG69" s="22" t="e">
        <f aca="false">AND(#REF!,"AAAAAG/Vf7w=")</f>
        <v>#VALUE!</v>
      </c>
      <c r="GH69" s="22" t="e">
        <f aca="false">IF(#REF!,"AAAAAG/Vf70=",0)</f>
        <v>#REF!</v>
      </c>
      <c r="GI69" s="22" t="e">
        <f aca="false">AND(#REF!,"AAAAAG/Vf74=")</f>
        <v>#VALUE!</v>
      </c>
      <c r="GJ69" s="22" t="e">
        <f aca="false">AND(#REF!,"AAAAAG/Vf78=")</f>
        <v>#VALUE!</v>
      </c>
      <c r="GK69" s="22" t="e">
        <f aca="false">AND(#REF!,"AAAAAG/Vf8A=")</f>
        <v>#VALUE!</v>
      </c>
      <c r="GL69" s="22" t="e">
        <f aca="false">AND(#REF!,"AAAAAG/Vf8E=")</f>
        <v>#VALUE!</v>
      </c>
      <c r="GM69" s="22" t="e">
        <f aca="false">AND(#REF!,"AAAAAG/Vf8I=")</f>
        <v>#VALUE!</v>
      </c>
      <c r="GN69" s="22" t="e">
        <f aca="false">IF(#REF!,"AAAAAG/Vf8M=",0)</f>
        <v>#REF!</v>
      </c>
      <c r="GO69" s="22" t="e">
        <f aca="false">AND(#REF!,"AAAAAG/Vf8Q=")</f>
        <v>#VALUE!</v>
      </c>
      <c r="GP69" s="22" t="e">
        <f aca="false">AND(#REF!,"AAAAAG/Vf8U=")</f>
        <v>#VALUE!</v>
      </c>
      <c r="GQ69" s="22" t="e">
        <f aca="false">AND(#REF!,"AAAAAG/Vf8Y=")</f>
        <v>#VALUE!</v>
      </c>
      <c r="GR69" s="22" t="e">
        <f aca="false">AND(#REF!,"AAAAAG/Vf8c=")</f>
        <v>#VALUE!</v>
      </c>
      <c r="GS69" s="22" t="e">
        <f aca="false">AND(#REF!,"AAAAAG/Vf8g=")</f>
        <v>#VALUE!</v>
      </c>
      <c r="GT69" s="22" t="e">
        <f aca="false">IF(#REF!,"AAAAAG/Vf8k=",0)</f>
        <v>#REF!</v>
      </c>
      <c r="GU69" s="22" t="e">
        <f aca="false">AND(#REF!,"AAAAAG/Vf8o=")</f>
        <v>#VALUE!</v>
      </c>
      <c r="GV69" s="22" t="e">
        <f aca="false">AND(#REF!,"AAAAAG/Vf8s=")</f>
        <v>#VALUE!</v>
      </c>
      <c r="GW69" s="22" t="e">
        <f aca="false">AND(#REF!,"AAAAAG/Vf8w=")</f>
        <v>#VALUE!</v>
      </c>
      <c r="GX69" s="22" t="e">
        <f aca="false">AND(#REF!,"AAAAAG/Vf80=")</f>
        <v>#VALUE!</v>
      </c>
      <c r="GY69" s="22" t="e">
        <f aca="false">AND(#REF!,"AAAAAG/Vf84=")</f>
        <v>#VALUE!</v>
      </c>
      <c r="GZ69" s="22" t="e">
        <f aca="false">IF(#REF!,"AAAAAG/Vf88=",0)</f>
        <v>#REF!</v>
      </c>
      <c r="HA69" s="22" t="e">
        <f aca="false">AND(#REF!,"AAAAAG/Vf9A=")</f>
        <v>#VALUE!</v>
      </c>
      <c r="HB69" s="22" t="e">
        <f aca="false">AND(#REF!,"AAAAAG/Vf9E=")</f>
        <v>#VALUE!</v>
      </c>
      <c r="HC69" s="22" t="e">
        <f aca="false">AND(#REF!,"AAAAAG/Vf9I=")</f>
        <v>#VALUE!</v>
      </c>
      <c r="HD69" s="22" t="e">
        <f aca="false">AND(#REF!,"AAAAAG/Vf9M=")</f>
        <v>#VALUE!</v>
      </c>
      <c r="HE69" s="22" t="e">
        <f aca="false">AND(#REF!,"AAAAAG/Vf9Q=")</f>
        <v>#VALUE!</v>
      </c>
      <c r="HF69" s="22" t="e">
        <f aca="false">IF(#REF!,"AAAAAG/Vf9U=",0)</f>
        <v>#REF!</v>
      </c>
      <c r="HG69" s="22" t="e">
        <f aca="false">IF(#REF!,"AAAAAG/Vf9Y=",0)</f>
        <v>#REF!</v>
      </c>
      <c r="HH69" s="22" t="e">
        <f aca="false">IF(#REF!,"AAAAAG/Vf9c=",0)</f>
        <v>#REF!</v>
      </c>
      <c r="HI69" s="22" t="e">
        <f aca="false">IF(#REF!,"AAAAAG/Vf9g=",0)</f>
        <v>#REF!</v>
      </c>
      <c r="HJ69" s="22" t="e">
        <f aca="false">IF(#REF!,"AAAAAG/Vf9k=",0)</f>
        <v>#REF!</v>
      </c>
      <c r="HK69" s="22" t="e">
        <f aca="false">IF(#REF!,"AAAAAG/Vf9o=",0)</f>
        <v>#REF!</v>
      </c>
      <c r="HL69" s="22" t="e">
        <f aca="false">IF(#REF!,"AAAAAG/Vf9s=",0)</f>
        <v>#REF!</v>
      </c>
      <c r="HM69" s="22" t="e">
        <f aca="false">IF(#REF!,"AAAAAG/Vf9w=",0)</f>
        <v>#REF!</v>
      </c>
      <c r="HN69" s="22" t="e">
        <f aca="false">IF(#REF!,"AAAAAG/Vf90=",0)</f>
        <v>#REF!</v>
      </c>
      <c r="HO69" s="22" t="e">
        <f aca="false">IF(#REF!,"AAAAAG/Vf94=",0)</f>
        <v>#REF!</v>
      </c>
      <c r="HP69" s="22" t="e">
        <f aca="false">IF(#REF!,"AAAAAG/Vf98=",0)</f>
        <v>#REF!</v>
      </c>
      <c r="HQ69" s="22" t="e">
        <f aca="false">AND(#REF!,"AAAAAG/Vf+A=")</f>
        <v>#VALUE!</v>
      </c>
      <c r="HR69" s="22" t="e">
        <f aca="false">AND(#REF!,"AAAAAG/Vf+E=")</f>
        <v>#VALUE!</v>
      </c>
      <c r="HS69" s="22" t="e">
        <f aca="false">AND(#REF!,"AAAAAG/Vf+I=")</f>
        <v>#VALUE!</v>
      </c>
      <c r="HT69" s="22" t="e">
        <f aca="false">AND(#REF!,"AAAAAG/Vf+M=")</f>
        <v>#VALUE!</v>
      </c>
      <c r="HU69" s="22" t="e">
        <f aca="false">AND(#REF!,"AAAAAG/Vf+Q=")</f>
        <v>#VALUE!</v>
      </c>
      <c r="HV69" s="22" t="e">
        <f aca="false">AND(#REF!,"AAAAAG/Vf+U=")</f>
        <v>#VALUE!</v>
      </c>
      <c r="HW69" s="22" t="e">
        <f aca="false">AND(#REF!,"AAAAAG/Vf+Y=")</f>
        <v>#VALUE!</v>
      </c>
      <c r="HX69" s="22" t="e">
        <f aca="false">AND(#REF!,"AAAAAG/Vf+c=")</f>
        <v>#VALUE!</v>
      </c>
      <c r="HY69" s="22" t="e">
        <f aca="false">IF(#REF!,"AAAAAG/Vf+g=",0)</f>
        <v>#REF!</v>
      </c>
      <c r="HZ69" s="22" t="e">
        <f aca="false">AND(#REF!,"AAAAAG/Vf+k=")</f>
        <v>#VALUE!</v>
      </c>
      <c r="IA69" s="22" t="e">
        <f aca="false">AND(#REF!,"AAAAAG/Vf+o=")</f>
        <v>#VALUE!</v>
      </c>
      <c r="IB69" s="22" t="e">
        <f aca="false">AND(#REF!,"AAAAAG/Vf+s=")</f>
        <v>#VALUE!</v>
      </c>
      <c r="IC69" s="22" t="e">
        <f aca="false">AND(#REF!,"AAAAAG/Vf+w=")</f>
        <v>#VALUE!</v>
      </c>
      <c r="ID69" s="22" t="e">
        <f aca="false">AND(#REF!,"AAAAAG/Vf+0=")</f>
        <v>#VALUE!</v>
      </c>
      <c r="IE69" s="22" t="e">
        <f aca="false">AND(#REF!,"AAAAAG/Vf+4=")</f>
        <v>#VALUE!</v>
      </c>
      <c r="IF69" s="22" t="e">
        <f aca="false">AND(#REF!,"AAAAAG/Vf+8=")</f>
        <v>#VALUE!</v>
      </c>
      <c r="IG69" s="22" t="e">
        <f aca="false">AND(#REF!,"AAAAAG/Vf/A=")</f>
        <v>#VALUE!</v>
      </c>
      <c r="IH69" s="22" t="e">
        <f aca="false">IF(#REF!,"AAAAAG/Vf/E=",0)</f>
        <v>#REF!</v>
      </c>
      <c r="II69" s="22" t="e">
        <f aca="false">AND(#REF!,"AAAAAG/Vf/I=")</f>
        <v>#VALUE!</v>
      </c>
      <c r="IJ69" s="22" t="e">
        <f aca="false">AND(#REF!,"AAAAAG/Vf/M=")</f>
        <v>#VALUE!</v>
      </c>
      <c r="IK69" s="22" t="e">
        <f aca="false">AND(#REF!,"AAAAAG/Vf/Q=")</f>
        <v>#VALUE!</v>
      </c>
      <c r="IL69" s="22" t="e">
        <f aca="false">AND(#REF!,"AAAAAG/Vf/U=")</f>
        <v>#VALUE!</v>
      </c>
      <c r="IM69" s="22" t="e">
        <f aca="false">AND(#REF!,"AAAAAG/Vf/Y=")</f>
        <v>#VALUE!</v>
      </c>
      <c r="IN69" s="22" t="e">
        <f aca="false">AND(#REF!,"AAAAAG/Vf/c=")</f>
        <v>#VALUE!</v>
      </c>
      <c r="IO69" s="22" t="e">
        <f aca="false">AND(#REF!,"AAAAAG/Vf/g=")</f>
        <v>#VALUE!</v>
      </c>
      <c r="IP69" s="22" t="e">
        <f aca="false">AND(#REF!,"AAAAAG/Vf/k=")</f>
        <v>#VALUE!</v>
      </c>
      <c r="IQ69" s="22" t="e">
        <f aca="false">IF(#REF!,"AAAAAG/Vf/o=",0)</f>
        <v>#REF!</v>
      </c>
      <c r="IR69" s="22" t="e">
        <f aca="false">AND(#REF!,"AAAAAG/Vf/s=")</f>
        <v>#VALUE!</v>
      </c>
      <c r="IS69" s="22" t="e">
        <f aca="false">AND(#REF!,"AAAAAG/Vf/w=")</f>
        <v>#VALUE!</v>
      </c>
      <c r="IT69" s="22" t="e">
        <f aca="false">AND(#REF!,"AAAAAG/Vf/0=")</f>
        <v>#VALUE!</v>
      </c>
      <c r="IU69" s="22" t="e">
        <f aca="false">AND(#REF!,"AAAAAG/Vf/4=")</f>
        <v>#VALUE!</v>
      </c>
      <c r="IV69" s="22" t="e">
        <f aca="false">AND(#REF!,"AAAAAG/Vf/8=")</f>
        <v>#VALUE!</v>
      </c>
    </row>
    <row r="70" customFormat="false" ht="12.75" hidden="false" customHeight="false" outlineLevel="0" collapsed="false">
      <c r="A70" s="22" t="e">
        <f aca="false">AND(#REF!,"AAAAAH3vfQA=")</f>
        <v>#VALUE!</v>
      </c>
      <c r="B70" s="22" t="e">
        <f aca="false">AND(#REF!,"AAAAAH3vfQE=")</f>
        <v>#VALUE!</v>
      </c>
      <c r="C70" s="22" t="e">
        <f aca="false">AND(#REF!,"AAAAAH3vfQI=")</f>
        <v>#VALUE!</v>
      </c>
      <c r="D70" s="22" t="e">
        <f aca="false">IF(#REF!,"AAAAAH3vfQM=",0)</f>
        <v>#REF!</v>
      </c>
      <c r="E70" s="22" t="e">
        <f aca="false">AND(#REF!,"AAAAAH3vfQQ=")</f>
        <v>#VALUE!</v>
      </c>
      <c r="F70" s="22" t="e">
        <f aca="false">AND(#REF!,"AAAAAH3vfQU=")</f>
        <v>#VALUE!</v>
      </c>
      <c r="G70" s="22" t="e">
        <f aca="false">AND(#REF!,"AAAAAH3vfQY=")</f>
        <v>#VALUE!</v>
      </c>
      <c r="H70" s="22" t="e">
        <f aca="false">AND(#REF!,"AAAAAH3vfQc=")</f>
        <v>#VALUE!</v>
      </c>
      <c r="I70" s="22" t="e">
        <f aca="false">AND(#REF!,"AAAAAH3vfQg=")</f>
        <v>#VALUE!</v>
      </c>
      <c r="J70" s="22" t="e">
        <f aca="false">AND(#REF!,"AAAAAH3vfQk=")</f>
        <v>#VALUE!</v>
      </c>
      <c r="K70" s="22" t="e">
        <f aca="false">AND(#REF!,"AAAAAH3vfQo=")</f>
        <v>#VALUE!</v>
      </c>
      <c r="L70" s="22" t="e">
        <f aca="false">AND(#REF!,"AAAAAH3vfQs=")</f>
        <v>#VALUE!</v>
      </c>
      <c r="M70" s="22" t="e">
        <f aca="false">IF(#REF!,"AAAAAH3vfQw=",0)</f>
        <v>#REF!</v>
      </c>
      <c r="N70" s="22" t="e">
        <f aca="false">AND(#REF!,"AAAAAH3vfQ0=")</f>
        <v>#VALUE!</v>
      </c>
      <c r="O70" s="22" t="e">
        <f aca="false">AND(#REF!,"AAAAAH3vfQ4=")</f>
        <v>#VALUE!</v>
      </c>
      <c r="P70" s="22" t="e">
        <f aca="false">AND(#REF!,"AAAAAH3vfQ8=")</f>
        <v>#VALUE!</v>
      </c>
      <c r="Q70" s="22" t="e">
        <f aca="false">AND(#REF!,"AAAAAH3vfRA=")</f>
        <v>#VALUE!</v>
      </c>
      <c r="R70" s="22" t="e">
        <f aca="false">AND(#REF!,"AAAAAH3vfRE=")</f>
        <v>#VALUE!</v>
      </c>
      <c r="S70" s="22" t="e">
        <f aca="false">AND(#REF!,"AAAAAH3vfRI=")</f>
        <v>#VALUE!</v>
      </c>
      <c r="T70" s="22" t="e">
        <f aca="false">AND(#REF!,"AAAAAH3vfRM=")</f>
        <v>#VALUE!</v>
      </c>
      <c r="U70" s="22" t="e">
        <f aca="false">AND(#REF!,"AAAAAH3vfRQ=")</f>
        <v>#VALUE!</v>
      </c>
      <c r="V70" s="22" t="e">
        <f aca="false">IF(#REF!,"AAAAAH3vfRU=",0)</f>
        <v>#REF!</v>
      </c>
      <c r="W70" s="22" t="e">
        <f aca="false">AND(#REF!,"AAAAAH3vfRY=")</f>
        <v>#VALUE!</v>
      </c>
      <c r="X70" s="22" t="e">
        <f aca="false">AND(#REF!,"AAAAAH3vfRc=")</f>
        <v>#VALUE!</v>
      </c>
      <c r="Y70" s="22" t="e">
        <f aca="false">AND(#REF!,"AAAAAH3vfRg=")</f>
        <v>#VALUE!</v>
      </c>
      <c r="Z70" s="22" t="e">
        <f aca="false">AND(#REF!,"AAAAAH3vfRk=")</f>
        <v>#VALUE!</v>
      </c>
      <c r="AA70" s="22" t="e">
        <f aca="false">AND(#REF!,"AAAAAH3vfRo=")</f>
        <v>#VALUE!</v>
      </c>
      <c r="AB70" s="22" t="e">
        <f aca="false">AND(#REF!,"AAAAAH3vfRs=")</f>
        <v>#VALUE!</v>
      </c>
      <c r="AC70" s="22" t="e">
        <f aca="false">AND(#REF!,"AAAAAH3vfRw=")</f>
        <v>#VALUE!</v>
      </c>
      <c r="AD70" s="22" t="e">
        <f aca="false">AND(#REF!,"AAAAAH3vfR0=")</f>
        <v>#VALUE!</v>
      </c>
      <c r="AE70" s="22" t="e">
        <f aca="false">IF(#REF!,"AAAAAH3vfR4=",0)</f>
        <v>#REF!</v>
      </c>
      <c r="AF70" s="22" t="e">
        <f aca="false">AND(#REF!,"AAAAAH3vfR8=")</f>
        <v>#VALUE!</v>
      </c>
      <c r="AG70" s="22" t="e">
        <f aca="false">AND(#REF!,"AAAAAH3vfSA=")</f>
        <v>#VALUE!</v>
      </c>
      <c r="AH70" s="22" t="e">
        <f aca="false">AND(#REF!,"AAAAAH3vfSE=")</f>
        <v>#VALUE!</v>
      </c>
      <c r="AI70" s="22" t="e">
        <f aca="false">AND(#REF!,"AAAAAH3vfSI=")</f>
        <v>#VALUE!</v>
      </c>
      <c r="AJ70" s="22" t="e">
        <f aca="false">AND(#REF!,"AAAAAH3vfSM=")</f>
        <v>#VALUE!</v>
      </c>
      <c r="AK70" s="22" t="e">
        <f aca="false">AND(#REF!,"AAAAAH3vfSQ=")</f>
        <v>#VALUE!</v>
      </c>
      <c r="AL70" s="22" t="e">
        <f aca="false">AND(#REF!,"AAAAAH3vfSU=")</f>
        <v>#VALUE!</v>
      </c>
      <c r="AM70" s="22" t="e">
        <f aca="false">AND(#REF!,"AAAAAH3vfSY=")</f>
        <v>#VALUE!</v>
      </c>
      <c r="AN70" s="22" t="e">
        <f aca="false">IF(#REF!,"AAAAAH3vfSc=",0)</f>
        <v>#REF!</v>
      </c>
      <c r="AO70" s="22" t="e">
        <f aca="false">AND(#REF!,"AAAAAH3vfSg=")</f>
        <v>#VALUE!</v>
      </c>
      <c r="AP70" s="22" t="e">
        <f aca="false">AND(#REF!,"AAAAAH3vfSk=")</f>
        <v>#VALUE!</v>
      </c>
      <c r="AQ70" s="22" t="e">
        <f aca="false">AND(#REF!,"AAAAAH3vfSo=")</f>
        <v>#VALUE!</v>
      </c>
      <c r="AR70" s="22" t="e">
        <f aca="false">AND(#REF!,"AAAAAH3vfSs=")</f>
        <v>#VALUE!</v>
      </c>
      <c r="AS70" s="22" t="e">
        <f aca="false">AND(#REF!,"AAAAAH3vfSw=")</f>
        <v>#VALUE!</v>
      </c>
      <c r="AT70" s="22" t="e">
        <f aca="false">AND(#REF!,"AAAAAH3vfS0=")</f>
        <v>#VALUE!</v>
      </c>
      <c r="AU70" s="22" t="e">
        <f aca="false">AND(#REF!,"AAAAAH3vfS4=")</f>
        <v>#VALUE!</v>
      </c>
      <c r="AV70" s="22" t="e">
        <f aca="false">AND(#REF!,"AAAAAH3vfS8=")</f>
        <v>#VALUE!</v>
      </c>
      <c r="AW70" s="22" t="e">
        <f aca="false">IF(#REF!,"AAAAAH3vfTA=",0)</f>
        <v>#REF!</v>
      </c>
      <c r="AX70" s="22" t="e">
        <f aca="false">AND(#REF!,"AAAAAH3vfTE=")</f>
        <v>#VALUE!</v>
      </c>
      <c r="AY70" s="22" t="e">
        <f aca="false">AND(#REF!,"AAAAAH3vfTI=")</f>
        <v>#VALUE!</v>
      </c>
      <c r="AZ70" s="22" t="e">
        <f aca="false">AND(#REF!,"AAAAAH3vfTM=")</f>
        <v>#VALUE!</v>
      </c>
      <c r="BA70" s="22" t="e">
        <f aca="false">AND(#REF!,"AAAAAH3vfTQ=")</f>
        <v>#VALUE!</v>
      </c>
      <c r="BB70" s="22" t="e">
        <f aca="false">AND(#REF!,"AAAAAH3vfTU=")</f>
        <v>#VALUE!</v>
      </c>
      <c r="BC70" s="22" t="e">
        <f aca="false">AND(#REF!,"AAAAAH3vfTY=")</f>
        <v>#VALUE!</v>
      </c>
      <c r="BD70" s="22" t="e">
        <f aca="false">AND(#REF!,"AAAAAH3vfTc=")</f>
        <v>#VALUE!</v>
      </c>
      <c r="BE70" s="22" t="e">
        <f aca="false">AND(#REF!,"AAAAAH3vfTg=")</f>
        <v>#VALUE!</v>
      </c>
      <c r="BF70" s="22" t="e">
        <f aca="false">IF(#REF!,"AAAAAH3vfTk=",0)</f>
        <v>#REF!</v>
      </c>
      <c r="BG70" s="22" t="e">
        <f aca="false">AND(#REF!,"AAAAAH3vfTo=")</f>
        <v>#VALUE!</v>
      </c>
      <c r="BH70" s="22" t="e">
        <f aca="false">AND(#REF!,"AAAAAH3vfTs=")</f>
        <v>#VALUE!</v>
      </c>
      <c r="BI70" s="22" t="e">
        <f aca="false">AND(#REF!,"AAAAAH3vfTw=")</f>
        <v>#VALUE!</v>
      </c>
      <c r="BJ70" s="22" t="e">
        <f aca="false">AND(#REF!,"AAAAAH3vfT0=")</f>
        <v>#VALUE!</v>
      </c>
      <c r="BK70" s="22" t="e">
        <f aca="false">AND(#REF!,"AAAAAH3vfT4=")</f>
        <v>#VALUE!</v>
      </c>
      <c r="BL70" s="22" t="e">
        <f aca="false">AND(#REF!,"AAAAAH3vfT8=")</f>
        <v>#VALUE!</v>
      </c>
      <c r="BM70" s="22" t="e">
        <f aca="false">AND(#REF!,"AAAAAH3vfUA=")</f>
        <v>#VALUE!</v>
      </c>
      <c r="BN70" s="22" t="e">
        <f aca="false">AND(#REF!,"AAAAAH3vfUE=")</f>
        <v>#VALUE!</v>
      </c>
      <c r="BO70" s="22" t="e">
        <f aca="false">IF(#REF!,"AAAAAH3vfUI=",0)</f>
        <v>#REF!</v>
      </c>
      <c r="BP70" s="22" t="e">
        <f aca="false">AND(#REF!,"AAAAAH3vfUM=")</f>
        <v>#VALUE!</v>
      </c>
      <c r="BQ70" s="22" t="e">
        <f aca="false">AND(#REF!,"AAAAAH3vfUQ=")</f>
        <v>#VALUE!</v>
      </c>
      <c r="BR70" s="22" t="e">
        <f aca="false">AND(#REF!,"AAAAAH3vfUU=")</f>
        <v>#VALUE!</v>
      </c>
      <c r="BS70" s="22" t="e">
        <f aca="false">AND(#REF!,"AAAAAH3vfUY=")</f>
        <v>#VALUE!</v>
      </c>
      <c r="BT70" s="22" t="e">
        <f aca="false">AND(#REF!,"AAAAAH3vfUc=")</f>
        <v>#VALUE!</v>
      </c>
      <c r="BU70" s="22" t="e">
        <f aca="false">AND(#REF!,"AAAAAH3vfUg=")</f>
        <v>#VALUE!</v>
      </c>
      <c r="BV70" s="22" t="e">
        <f aca="false">AND(#REF!,"AAAAAH3vfUk=")</f>
        <v>#VALUE!</v>
      </c>
      <c r="BW70" s="22" t="e">
        <f aca="false">AND(#REF!,"AAAAAH3vfUo=")</f>
        <v>#VALUE!</v>
      </c>
      <c r="BX70" s="22" t="e">
        <f aca="false">IF(#REF!,"AAAAAH3vfUs=",0)</f>
        <v>#REF!</v>
      </c>
      <c r="BY70" s="22" t="e">
        <f aca="false">AND(#REF!,"AAAAAH3vfUw=")</f>
        <v>#VALUE!</v>
      </c>
      <c r="BZ70" s="22" t="e">
        <f aca="false">AND(#REF!,"AAAAAH3vfU0=")</f>
        <v>#VALUE!</v>
      </c>
      <c r="CA70" s="22" t="e">
        <f aca="false">AND(#REF!,"AAAAAH3vfU4=")</f>
        <v>#VALUE!</v>
      </c>
      <c r="CB70" s="22" t="e">
        <f aca="false">AND(#REF!,"AAAAAH3vfU8=")</f>
        <v>#VALUE!</v>
      </c>
      <c r="CC70" s="22" t="e">
        <f aca="false">AND(#REF!,"AAAAAH3vfVA=")</f>
        <v>#VALUE!</v>
      </c>
      <c r="CD70" s="22" t="e">
        <f aca="false">AND(#REF!,"AAAAAH3vfVE=")</f>
        <v>#VALUE!</v>
      </c>
      <c r="CE70" s="22" t="e">
        <f aca="false">AND(#REF!,"AAAAAH3vfVI=")</f>
        <v>#VALUE!</v>
      </c>
      <c r="CF70" s="22" t="e">
        <f aca="false">AND(#REF!,"AAAAAH3vfVM=")</f>
        <v>#VALUE!</v>
      </c>
      <c r="CG70" s="22" t="e">
        <f aca="false">IF(#REF!,"AAAAAH3vfVQ=",0)</f>
        <v>#REF!</v>
      </c>
      <c r="CH70" s="22" t="e">
        <f aca="false">AND(#REF!,"AAAAAH3vfVU=")</f>
        <v>#VALUE!</v>
      </c>
      <c r="CI70" s="22" t="e">
        <f aca="false">AND(#REF!,"AAAAAH3vfVY=")</f>
        <v>#VALUE!</v>
      </c>
      <c r="CJ70" s="22" t="e">
        <f aca="false">AND(#REF!,"AAAAAH3vfVc=")</f>
        <v>#VALUE!</v>
      </c>
      <c r="CK70" s="22" t="e">
        <f aca="false">AND(#REF!,"AAAAAH3vfVg=")</f>
        <v>#VALUE!</v>
      </c>
      <c r="CL70" s="22" t="e">
        <f aca="false">AND(#REF!,"AAAAAH3vfVk=")</f>
        <v>#VALUE!</v>
      </c>
      <c r="CM70" s="22" t="e">
        <f aca="false">AND(#REF!,"AAAAAH3vfVo=")</f>
        <v>#VALUE!</v>
      </c>
      <c r="CN70" s="22" t="e">
        <f aca="false">AND(#REF!,"AAAAAH3vfVs=")</f>
        <v>#VALUE!</v>
      </c>
      <c r="CO70" s="22" t="e">
        <f aca="false">AND(#REF!,"AAAAAH3vfVw=")</f>
        <v>#VALUE!</v>
      </c>
      <c r="CP70" s="22" t="e">
        <f aca="false">IF(#REF!,"AAAAAH3vfV0=",0)</f>
        <v>#REF!</v>
      </c>
      <c r="CQ70" s="22" t="e">
        <f aca="false">AND(#REF!,"AAAAAH3vfV4=")</f>
        <v>#VALUE!</v>
      </c>
      <c r="CR70" s="22" t="e">
        <f aca="false">AND(#REF!,"AAAAAH3vfV8=")</f>
        <v>#VALUE!</v>
      </c>
      <c r="CS70" s="22" t="e">
        <f aca="false">AND(#REF!,"AAAAAH3vfWA=")</f>
        <v>#VALUE!</v>
      </c>
      <c r="CT70" s="22" t="e">
        <f aca="false">AND(#REF!,"AAAAAH3vfWE=")</f>
        <v>#VALUE!</v>
      </c>
      <c r="CU70" s="22" t="e">
        <f aca="false">AND(#REF!,"AAAAAH3vfWI=")</f>
        <v>#VALUE!</v>
      </c>
      <c r="CV70" s="22" t="e">
        <f aca="false">AND(#REF!,"AAAAAH3vfWM=")</f>
        <v>#VALUE!</v>
      </c>
      <c r="CW70" s="22" t="e">
        <f aca="false">AND(#REF!,"AAAAAH3vfWQ=")</f>
        <v>#VALUE!</v>
      </c>
      <c r="CX70" s="22" t="e">
        <f aca="false">AND(#REF!,"AAAAAH3vfWU=")</f>
        <v>#VALUE!</v>
      </c>
      <c r="CY70" s="22" t="e">
        <f aca="false">IF(#REF!,"AAAAAH3vfWY=",0)</f>
        <v>#REF!</v>
      </c>
      <c r="CZ70" s="22" t="e">
        <f aca="false">AND(#REF!,"AAAAAH3vfWc=")</f>
        <v>#VALUE!</v>
      </c>
      <c r="DA70" s="22" t="e">
        <f aca="false">AND(#REF!,"AAAAAH3vfWg=")</f>
        <v>#VALUE!</v>
      </c>
      <c r="DB70" s="22" t="e">
        <f aca="false">AND(#REF!,"AAAAAH3vfWk=")</f>
        <v>#VALUE!</v>
      </c>
      <c r="DC70" s="22" t="e">
        <f aca="false">AND(#REF!,"AAAAAH3vfWo=")</f>
        <v>#VALUE!</v>
      </c>
      <c r="DD70" s="22" t="e">
        <f aca="false">AND(#REF!,"AAAAAH3vfWs=")</f>
        <v>#VALUE!</v>
      </c>
      <c r="DE70" s="22" t="e">
        <f aca="false">AND(#REF!,"AAAAAH3vfWw=")</f>
        <v>#VALUE!</v>
      </c>
      <c r="DF70" s="22" t="e">
        <f aca="false">AND(#REF!,"AAAAAH3vfW0=")</f>
        <v>#VALUE!</v>
      </c>
      <c r="DG70" s="22" t="e">
        <f aca="false">AND(#REF!,"AAAAAH3vfW4=")</f>
        <v>#VALUE!</v>
      </c>
      <c r="DH70" s="22" t="e">
        <f aca="false">IF(#REF!,"AAAAAH3vfW8=",0)</f>
        <v>#REF!</v>
      </c>
      <c r="DI70" s="22" t="e">
        <f aca="false">AND(#REF!,"AAAAAH3vfXA=")</f>
        <v>#VALUE!</v>
      </c>
      <c r="DJ70" s="22" t="e">
        <f aca="false">AND(#REF!,"AAAAAH3vfXE=")</f>
        <v>#VALUE!</v>
      </c>
      <c r="DK70" s="22" t="e">
        <f aca="false">AND(#REF!,"AAAAAH3vfXI=")</f>
        <v>#VALUE!</v>
      </c>
      <c r="DL70" s="22" t="e">
        <f aca="false">AND(#REF!,"AAAAAH3vfXM=")</f>
        <v>#VALUE!</v>
      </c>
      <c r="DM70" s="22" t="e">
        <f aca="false">AND(#REF!,"AAAAAH3vfXQ=")</f>
        <v>#VALUE!</v>
      </c>
      <c r="DN70" s="22" t="e">
        <f aca="false">AND(#REF!,"AAAAAH3vfXU=")</f>
        <v>#VALUE!</v>
      </c>
      <c r="DO70" s="22" t="e">
        <f aca="false">AND(#REF!,"AAAAAH3vfXY=")</f>
        <v>#VALUE!</v>
      </c>
      <c r="DP70" s="22" t="e">
        <f aca="false">AND(#REF!,"AAAAAH3vfXc=")</f>
        <v>#VALUE!</v>
      </c>
      <c r="DQ70" s="22" t="e">
        <f aca="false">IF(#REF!,"AAAAAH3vfXg=",0)</f>
        <v>#REF!</v>
      </c>
      <c r="DR70" s="22" t="e">
        <f aca="false">AND(#REF!,"AAAAAH3vfXk=")</f>
        <v>#VALUE!</v>
      </c>
      <c r="DS70" s="22" t="e">
        <f aca="false">AND(#REF!,"AAAAAH3vfXo=")</f>
        <v>#VALUE!</v>
      </c>
      <c r="DT70" s="22" t="e">
        <f aca="false">AND(#REF!,"AAAAAH3vfXs=")</f>
        <v>#VALUE!</v>
      </c>
      <c r="DU70" s="22" t="e">
        <f aca="false">AND(#REF!,"AAAAAH3vfXw=")</f>
        <v>#VALUE!</v>
      </c>
      <c r="DV70" s="22" t="e">
        <f aca="false">AND(#REF!,"AAAAAH3vfX0=")</f>
        <v>#VALUE!</v>
      </c>
      <c r="DW70" s="22" t="e">
        <f aca="false">AND(#REF!,"AAAAAH3vfX4=")</f>
        <v>#VALUE!</v>
      </c>
      <c r="DX70" s="22" t="e">
        <f aca="false">AND(#REF!,"AAAAAH3vfX8=")</f>
        <v>#VALUE!</v>
      </c>
      <c r="DY70" s="22" t="e">
        <f aca="false">AND(#REF!,"AAAAAH3vfYA=")</f>
        <v>#VALUE!</v>
      </c>
      <c r="DZ70" s="22" t="e">
        <f aca="false">IF(#REF!,"AAAAAH3vfYE=",0)</f>
        <v>#REF!</v>
      </c>
      <c r="EA70" s="22" t="e">
        <f aca="false">AND(#REF!,"AAAAAH3vfYI=")</f>
        <v>#VALUE!</v>
      </c>
      <c r="EB70" s="22" t="e">
        <f aca="false">AND(#REF!,"AAAAAH3vfYM=")</f>
        <v>#VALUE!</v>
      </c>
      <c r="EC70" s="22" t="e">
        <f aca="false">AND(#REF!,"AAAAAH3vfYQ=")</f>
        <v>#VALUE!</v>
      </c>
      <c r="ED70" s="22" t="e">
        <f aca="false">AND(#REF!,"AAAAAH3vfYU=")</f>
        <v>#VALUE!</v>
      </c>
      <c r="EE70" s="22" t="e">
        <f aca="false">AND(#REF!,"AAAAAH3vfYY=")</f>
        <v>#VALUE!</v>
      </c>
      <c r="EF70" s="22" t="e">
        <f aca="false">AND(#REF!,"AAAAAH3vfYc=")</f>
        <v>#VALUE!</v>
      </c>
      <c r="EG70" s="22" t="e">
        <f aca="false">AND(#REF!,"AAAAAH3vfYg=")</f>
        <v>#VALUE!</v>
      </c>
      <c r="EH70" s="22" t="e">
        <f aca="false">AND(#REF!,"AAAAAH3vfYk=")</f>
        <v>#VALUE!</v>
      </c>
      <c r="EI70" s="22" t="e">
        <f aca="false">IF(#REF!,"AAAAAH3vfYo=",0)</f>
        <v>#REF!</v>
      </c>
      <c r="EJ70" s="22" t="e">
        <f aca="false">AND(#REF!,"AAAAAH3vfYs=")</f>
        <v>#VALUE!</v>
      </c>
      <c r="EK70" s="22" t="e">
        <f aca="false">AND(#REF!,"AAAAAH3vfYw=")</f>
        <v>#VALUE!</v>
      </c>
      <c r="EL70" s="22" t="e">
        <f aca="false">AND(#REF!,"AAAAAH3vfY0=")</f>
        <v>#VALUE!</v>
      </c>
      <c r="EM70" s="22" t="e">
        <f aca="false">AND(#REF!,"AAAAAH3vfY4=")</f>
        <v>#VALUE!</v>
      </c>
      <c r="EN70" s="22" t="e">
        <f aca="false">AND(#REF!,"AAAAAH3vfY8=")</f>
        <v>#VALUE!</v>
      </c>
      <c r="EO70" s="22" t="e">
        <f aca="false">AND(#REF!,"AAAAAH3vfZA=")</f>
        <v>#VALUE!</v>
      </c>
      <c r="EP70" s="22" t="e">
        <f aca="false">AND(#REF!,"AAAAAH3vfZE=")</f>
        <v>#VALUE!</v>
      </c>
      <c r="EQ70" s="22" t="e">
        <f aca="false">AND(#REF!,"AAAAAH3vfZI=")</f>
        <v>#VALUE!</v>
      </c>
      <c r="ER70" s="22" t="e">
        <f aca="false">IF(#REF!,"AAAAAH3vfZM=",0)</f>
        <v>#REF!</v>
      </c>
      <c r="ES70" s="22" t="e">
        <f aca="false">AND(#REF!,"AAAAAH3vfZQ=")</f>
        <v>#VALUE!</v>
      </c>
      <c r="ET70" s="22" t="e">
        <f aca="false">AND(#REF!,"AAAAAH3vfZU=")</f>
        <v>#VALUE!</v>
      </c>
      <c r="EU70" s="22" t="e">
        <f aca="false">AND(#REF!,"AAAAAH3vfZY=")</f>
        <v>#VALUE!</v>
      </c>
      <c r="EV70" s="22" t="e">
        <f aca="false">AND(#REF!,"AAAAAH3vfZc=")</f>
        <v>#VALUE!</v>
      </c>
      <c r="EW70" s="22" t="e">
        <f aca="false">AND(#REF!,"AAAAAH3vfZg=")</f>
        <v>#VALUE!</v>
      </c>
      <c r="EX70" s="22" t="e">
        <f aca="false">AND(#REF!,"AAAAAH3vfZk=")</f>
        <v>#VALUE!</v>
      </c>
      <c r="EY70" s="22" t="e">
        <f aca="false">AND(#REF!,"AAAAAH3vfZo=")</f>
        <v>#VALUE!</v>
      </c>
      <c r="EZ70" s="22" t="e">
        <f aca="false">AND(#REF!,"AAAAAH3vfZs=")</f>
        <v>#VALUE!</v>
      </c>
      <c r="FA70" s="22" t="e">
        <f aca="false">IF(#REF!,"AAAAAH3vfZw=",0)</f>
        <v>#REF!</v>
      </c>
      <c r="FB70" s="22" t="e">
        <f aca="false">AND(#REF!,"AAAAAH3vfZ0=")</f>
        <v>#VALUE!</v>
      </c>
      <c r="FC70" s="22" t="e">
        <f aca="false">AND(#REF!,"AAAAAH3vfZ4=")</f>
        <v>#VALUE!</v>
      </c>
      <c r="FD70" s="22" t="e">
        <f aca="false">AND(#REF!,"AAAAAH3vfZ8=")</f>
        <v>#VALUE!</v>
      </c>
      <c r="FE70" s="22" t="e">
        <f aca="false">AND(#REF!,"AAAAAH3vfaA=")</f>
        <v>#VALUE!</v>
      </c>
      <c r="FF70" s="22" t="e">
        <f aca="false">AND(#REF!,"AAAAAH3vfaE=")</f>
        <v>#VALUE!</v>
      </c>
      <c r="FG70" s="22" t="e">
        <f aca="false">AND(#REF!,"AAAAAH3vfaI=")</f>
        <v>#VALUE!</v>
      </c>
      <c r="FH70" s="22" t="e">
        <f aca="false">AND(#REF!,"AAAAAH3vfaM=")</f>
        <v>#VALUE!</v>
      </c>
      <c r="FI70" s="22" t="e">
        <f aca="false">AND(#REF!,"AAAAAH3vfaQ=")</f>
        <v>#VALUE!</v>
      </c>
      <c r="FJ70" s="22" t="e">
        <f aca="false">IF(#REF!,"AAAAAH3vfaU=",0)</f>
        <v>#REF!</v>
      </c>
      <c r="FK70" s="22" t="e">
        <f aca="false">AND(#REF!,"AAAAAH3vfaY=")</f>
        <v>#VALUE!</v>
      </c>
      <c r="FL70" s="22" t="e">
        <f aca="false">AND(#REF!,"AAAAAH3vfac=")</f>
        <v>#VALUE!</v>
      </c>
      <c r="FM70" s="22" t="e">
        <f aca="false">AND(#REF!,"AAAAAH3vfag=")</f>
        <v>#VALUE!</v>
      </c>
      <c r="FN70" s="22" t="e">
        <f aca="false">AND(#REF!,"AAAAAH3vfak=")</f>
        <v>#VALUE!</v>
      </c>
      <c r="FO70" s="22" t="e">
        <f aca="false">AND(#REF!,"AAAAAH3vfao=")</f>
        <v>#VALUE!</v>
      </c>
      <c r="FP70" s="22" t="e">
        <f aca="false">AND(#REF!,"AAAAAH3vfas=")</f>
        <v>#VALUE!</v>
      </c>
      <c r="FQ70" s="22" t="e">
        <f aca="false">AND(#REF!,"AAAAAH3vfaw=")</f>
        <v>#VALUE!</v>
      </c>
      <c r="FR70" s="22" t="e">
        <f aca="false">AND(#REF!,"AAAAAH3vfa0=")</f>
        <v>#VALUE!</v>
      </c>
      <c r="FS70" s="22" t="e">
        <f aca="false">IF(#REF!,"AAAAAH3vfa4=",0)</f>
        <v>#REF!</v>
      </c>
      <c r="FT70" s="22" t="e">
        <f aca="false">AND(#REF!,"AAAAAH3vfa8=")</f>
        <v>#VALUE!</v>
      </c>
      <c r="FU70" s="22" t="e">
        <f aca="false">AND(#REF!,"AAAAAH3vfbA=")</f>
        <v>#VALUE!</v>
      </c>
      <c r="FV70" s="22" t="e">
        <f aca="false">AND(#REF!,"AAAAAH3vfbE=")</f>
        <v>#VALUE!</v>
      </c>
      <c r="FW70" s="22" t="e">
        <f aca="false">AND(#REF!,"AAAAAH3vfbI=")</f>
        <v>#VALUE!</v>
      </c>
      <c r="FX70" s="22" t="e">
        <f aca="false">AND(#REF!,"AAAAAH3vfbM=")</f>
        <v>#VALUE!</v>
      </c>
      <c r="FY70" s="22" t="e">
        <f aca="false">AND(#REF!,"AAAAAH3vfbQ=")</f>
        <v>#VALUE!</v>
      </c>
      <c r="FZ70" s="22" t="e">
        <f aca="false">AND(#REF!,"AAAAAH3vfbU=")</f>
        <v>#VALUE!</v>
      </c>
      <c r="GA70" s="22" t="e">
        <f aca="false">AND(#REF!,"AAAAAH3vfbY=")</f>
        <v>#VALUE!</v>
      </c>
      <c r="GB70" s="22" t="e">
        <f aca="false">IF(#REF!,"AAAAAH3vfbc=",0)</f>
        <v>#REF!</v>
      </c>
      <c r="GC70" s="22" t="e">
        <f aca="false">AND(#REF!,"AAAAAH3vfbg=")</f>
        <v>#VALUE!</v>
      </c>
      <c r="GD70" s="22" t="e">
        <f aca="false">AND(#REF!,"AAAAAH3vfbk=")</f>
        <v>#VALUE!</v>
      </c>
      <c r="GE70" s="22" t="e">
        <f aca="false">AND(#REF!,"AAAAAH3vfbo=")</f>
        <v>#VALUE!</v>
      </c>
      <c r="GF70" s="22" t="e">
        <f aca="false">AND(#REF!,"AAAAAH3vfbs=")</f>
        <v>#VALUE!</v>
      </c>
      <c r="GG70" s="22" t="e">
        <f aca="false">AND(#REF!,"AAAAAH3vfbw=")</f>
        <v>#VALUE!</v>
      </c>
      <c r="GH70" s="22" t="e">
        <f aca="false">AND(#REF!,"AAAAAH3vfb0=")</f>
        <v>#VALUE!</v>
      </c>
      <c r="GI70" s="22" t="e">
        <f aca="false">AND(#REF!,"AAAAAH3vfb4=")</f>
        <v>#VALUE!</v>
      </c>
      <c r="GJ70" s="22" t="e">
        <f aca="false">AND(#REF!,"AAAAAH3vfb8=")</f>
        <v>#VALUE!</v>
      </c>
      <c r="GK70" s="22" t="e">
        <f aca="false">IF(#REF!,"AAAAAH3vfcA=",0)</f>
        <v>#REF!</v>
      </c>
      <c r="GL70" s="22" t="e">
        <f aca="false">AND(#REF!,"AAAAAH3vfcE=")</f>
        <v>#VALUE!</v>
      </c>
      <c r="GM70" s="22" t="e">
        <f aca="false">AND(#REF!,"AAAAAH3vfcI=")</f>
        <v>#VALUE!</v>
      </c>
      <c r="GN70" s="22" t="e">
        <f aca="false">AND(#REF!,"AAAAAH3vfcM=")</f>
        <v>#VALUE!</v>
      </c>
      <c r="GO70" s="22" t="e">
        <f aca="false">AND(#REF!,"AAAAAH3vfcQ=")</f>
        <v>#VALUE!</v>
      </c>
      <c r="GP70" s="22" t="e">
        <f aca="false">AND(#REF!,"AAAAAH3vfcU=")</f>
        <v>#VALUE!</v>
      </c>
      <c r="GQ70" s="22" t="e">
        <f aca="false">AND(#REF!,"AAAAAH3vfcY=")</f>
        <v>#VALUE!</v>
      </c>
      <c r="GR70" s="22" t="e">
        <f aca="false">AND(#REF!,"AAAAAH3vfcc=")</f>
        <v>#VALUE!</v>
      </c>
      <c r="GS70" s="22" t="e">
        <f aca="false">AND(#REF!,"AAAAAH3vfcg=")</f>
        <v>#VALUE!</v>
      </c>
      <c r="GT70" s="22" t="e">
        <f aca="false">IF(#REF!,"AAAAAH3vfck=",0)</f>
        <v>#REF!</v>
      </c>
      <c r="GU70" s="22" t="e">
        <f aca="false">AND(#REF!,"AAAAAH3vfco=")</f>
        <v>#VALUE!</v>
      </c>
      <c r="GV70" s="22" t="e">
        <f aca="false">AND(#REF!,"AAAAAH3vfcs=")</f>
        <v>#VALUE!</v>
      </c>
      <c r="GW70" s="22" t="e">
        <f aca="false">AND(#REF!,"AAAAAH3vfcw=")</f>
        <v>#VALUE!</v>
      </c>
      <c r="GX70" s="22" t="e">
        <f aca="false">AND(#REF!,"AAAAAH3vfc0=")</f>
        <v>#VALUE!</v>
      </c>
      <c r="GY70" s="22" t="e">
        <f aca="false">AND(#REF!,"AAAAAH3vfc4=")</f>
        <v>#VALUE!</v>
      </c>
      <c r="GZ70" s="22" t="e">
        <f aca="false">AND(#REF!,"AAAAAH3vfc8=")</f>
        <v>#VALUE!</v>
      </c>
      <c r="HA70" s="22" t="e">
        <f aca="false">AND(#REF!,"AAAAAH3vfdA=")</f>
        <v>#VALUE!</v>
      </c>
      <c r="HB70" s="22" t="e">
        <f aca="false">AND(#REF!,"AAAAAH3vfdE=")</f>
        <v>#VALUE!</v>
      </c>
      <c r="HC70" s="22" t="e">
        <f aca="false">IF(#REF!,"AAAAAH3vfdI=",0)</f>
        <v>#REF!</v>
      </c>
      <c r="HD70" s="22" t="e">
        <f aca="false">AND(#REF!,"AAAAAH3vfdM=")</f>
        <v>#VALUE!</v>
      </c>
      <c r="HE70" s="22" t="e">
        <f aca="false">AND(#REF!,"AAAAAH3vfdQ=")</f>
        <v>#VALUE!</v>
      </c>
      <c r="HF70" s="22" t="e">
        <f aca="false">AND(#REF!,"AAAAAH3vfdU=")</f>
        <v>#VALUE!</v>
      </c>
      <c r="HG70" s="22" t="e">
        <f aca="false">AND(#REF!,"AAAAAH3vfdY=")</f>
        <v>#VALUE!</v>
      </c>
      <c r="HH70" s="22" t="e">
        <f aca="false">AND(#REF!,"AAAAAH3vfdc=")</f>
        <v>#VALUE!</v>
      </c>
      <c r="HI70" s="22" t="e">
        <f aca="false">AND(#REF!,"AAAAAH3vfdg=")</f>
        <v>#VALUE!</v>
      </c>
      <c r="HJ70" s="22" t="e">
        <f aca="false">AND(#REF!,"AAAAAH3vfdk=")</f>
        <v>#VALUE!</v>
      </c>
      <c r="HK70" s="22" t="e">
        <f aca="false">AND(#REF!,"AAAAAH3vfdo=")</f>
        <v>#VALUE!</v>
      </c>
      <c r="HL70" s="22" t="e">
        <f aca="false">IF(#REF!,"AAAAAH3vfds=",0)</f>
        <v>#REF!</v>
      </c>
      <c r="HM70" s="22" t="e">
        <f aca="false">AND(#REF!,"AAAAAH3vfdw=")</f>
        <v>#VALUE!</v>
      </c>
      <c r="HN70" s="22" t="e">
        <f aca="false">AND(#REF!,"AAAAAH3vfd0=")</f>
        <v>#VALUE!</v>
      </c>
      <c r="HO70" s="22" t="e">
        <f aca="false">AND(#REF!,"AAAAAH3vfd4=")</f>
        <v>#VALUE!</v>
      </c>
      <c r="HP70" s="22" t="e">
        <f aca="false">AND(#REF!,"AAAAAH3vfd8=")</f>
        <v>#VALUE!</v>
      </c>
      <c r="HQ70" s="22" t="e">
        <f aca="false">AND(#REF!,"AAAAAH3vfeA=")</f>
        <v>#VALUE!</v>
      </c>
      <c r="HR70" s="22" t="e">
        <f aca="false">AND(#REF!,"AAAAAH3vfeE=")</f>
        <v>#VALUE!</v>
      </c>
      <c r="HS70" s="22" t="e">
        <f aca="false">AND(#REF!,"AAAAAH3vfeI=")</f>
        <v>#VALUE!</v>
      </c>
      <c r="HT70" s="22" t="e">
        <f aca="false">AND(#REF!,"AAAAAH3vfeM=")</f>
        <v>#VALUE!</v>
      </c>
      <c r="HU70" s="22" t="e">
        <f aca="false">IF(#REF!,"AAAAAH3vfeQ=",0)</f>
        <v>#REF!</v>
      </c>
      <c r="HV70" s="22" t="e">
        <f aca="false">AND(#REF!,"AAAAAH3vfeU=")</f>
        <v>#VALUE!</v>
      </c>
      <c r="HW70" s="22" t="e">
        <f aca="false">AND(#REF!,"AAAAAH3vfeY=")</f>
        <v>#VALUE!</v>
      </c>
      <c r="HX70" s="22" t="e">
        <f aca="false">AND(#REF!,"AAAAAH3vfec=")</f>
        <v>#VALUE!</v>
      </c>
      <c r="HY70" s="22" t="e">
        <f aca="false">AND(#REF!,"AAAAAH3vfeg=")</f>
        <v>#VALUE!</v>
      </c>
      <c r="HZ70" s="22" t="e">
        <f aca="false">AND(#REF!,"AAAAAH3vfek=")</f>
        <v>#VALUE!</v>
      </c>
      <c r="IA70" s="22" t="e">
        <f aca="false">AND(#REF!,"AAAAAH3vfeo=")</f>
        <v>#VALUE!</v>
      </c>
      <c r="IB70" s="22" t="e">
        <f aca="false">AND(#REF!,"AAAAAH3vfes=")</f>
        <v>#VALUE!</v>
      </c>
      <c r="IC70" s="22" t="e">
        <f aca="false">AND(#REF!,"AAAAAH3vfew=")</f>
        <v>#VALUE!</v>
      </c>
      <c r="ID70" s="22" t="e">
        <f aca="false">IF(#REF!,"AAAAAH3vfe0=",0)</f>
        <v>#REF!</v>
      </c>
      <c r="IE70" s="22" t="e">
        <f aca="false">AND(#REF!,"AAAAAH3vfe4=")</f>
        <v>#VALUE!</v>
      </c>
      <c r="IF70" s="22" t="e">
        <f aca="false">AND(#REF!,"AAAAAH3vfe8=")</f>
        <v>#VALUE!</v>
      </c>
      <c r="IG70" s="22" t="e">
        <f aca="false">AND(#REF!,"AAAAAH3vffA=")</f>
        <v>#VALUE!</v>
      </c>
      <c r="IH70" s="22" t="e">
        <f aca="false">AND(#REF!,"AAAAAH3vffE=")</f>
        <v>#VALUE!</v>
      </c>
      <c r="II70" s="22" t="e">
        <f aca="false">AND(#REF!,"AAAAAH3vffI=")</f>
        <v>#VALUE!</v>
      </c>
      <c r="IJ70" s="22" t="e">
        <f aca="false">AND(#REF!,"AAAAAH3vffM=")</f>
        <v>#VALUE!</v>
      </c>
      <c r="IK70" s="22" t="e">
        <f aca="false">AND(#REF!,"AAAAAH3vffQ=")</f>
        <v>#VALUE!</v>
      </c>
      <c r="IL70" s="22" t="e">
        <f aca="false">AND(#REF!,"AAAAAH3vffU=")</f>
        <v>#VALUE!</v>
      </c>
      <c r="IM70" s="22" t="e">
        <f aca="false">IF(#REF!,"AAAAAH3vffY=",0)</f>
        <v>#REF!</v>
      </c>
      <c r="IN70" s="22" t="e">
        <f aca="false">AND(#REF!,"AAAAAH3vffc=")</f>
        <v>#VALUE!</v>
      </c>
      <c r="IO70" s="22" t="e">
        <f aca="false">AND(#REF!,"AAAAAH3vffg=")</f>
        <v>#VALUE!</v>
      </c>
      <c r="IP70" s="22" t="e">
        <f aca="false">AND(#REF!,"AAAAAH3vffk=")</f>
        <v>#VALUE!</v>
      </c>
      <c r="IQ70" s="22" t="e">
        <f aca="false">AND(#REF!,"AAAAAH3vffo=")</f>
        <v>#VALUE!</v>
      </c>
      <c r="IR70" s="22" t="e">
        <f aca="false">AND(#REF!,"AAAAAH3vffs=")</f>
        <v>#VALUE!</v>
      </c>
      <c r="IS70" s="22" t="e">
        <f aca="false">AND(#REF!,"AAAAAH3vffw=")</f>
        <v>#VALUE!</v>
      </c>
      <c r="IT70" s="22" t="e">
        <f aca="false">AND(#REF!,"AAAAAH3vff0=")</f>
        <v>#VALUE!</v>
      </c>
      <c r="IU70" s="22" t="e">
        <f aca="false">AND(#REF!,"AAAAAH3vff4=")</f>
        <v>#VALUE!</v>
      </c>
      <c r="IV70" s="22" t="e">
        <f aca="false">IF(#REF!,"AAAAAH3vff8=",0)</f>
        <v>#REF!</v>
      </c>
    </row>
    <row r="71" customFormat="false" ht="12.75" hidden="false" customHeight="false" outlineLevel="0" collapsed="false">
      <c r="A71" s="22" t="e">
        <f aca="false">AND(#REF!,"AAAAAH7fbwA=")</f>
        <v>#VALUE!</v>
      </c>
      <c r="B71" s="22" t="e">
        <f aca="false">AND(#REF!,"AAAAAH7fbwE=")</f>
        <v>#VALUE!</v>
      </c>
      <c r="C71" s="22" t="e">
        <f aca="false">AND(#REF!,"AAAAAH7fbwI=")</f>
        <v>#VALUE!</v>
      </c>
      <c r="D71" s="22" t="e">
        <f aca="false">AND(#REF!,"AAAAAH7fbwM=")</f>
        <v>#VALUE!</v>
      </c>
      <c r="E71" s="22" t="e">
        <f aca="false">AND(#REF!,"AAAAAH7fbwQ=")</f>
        <v>#VALUE!</v>
      </c>
      <c r="F71" s="22" t="e">
        <f aca="false">AND(#REF!,"AAAAAH7fbwU=")</f>
        <v>#VALUE!</v>
      </c>
      <c r="G71" s="22" t="e">
        <f aca="false">AND(#REF!,"AAAAAH7fbwY=")</f>
        <v>#VALUE!</v>
      </c>
      <c r="H71" s="22" t="e">
        <f aca="false">AND(#REF!,"AAAAAH7fbwc=")</f>
        <v>#VALUE!</v>
      </c>
      <c r="I71" s="22" t="e">
        <f aca="false">IF(#REF!,"AAAAAH7fbwg=",0)</f>
        <v>#REF!</v>
      </c>
      <c r="J71" s="22" t="e">
        <f aca="false">AND(#REF!,"AAAAAH7fbwk=")</f>
        <v>#VALUE!</v>
      </c>
      <c r="K71" s="22" t="e">
        <f aca="false">AND(#REF!,"AAAAAH7fbwo=")</f>
        <v>#VALUE!</v>
      </c>
      <c r="L71" s="22" t="e">
        <f aca="false">AND(#REF!,"AAAAAH7fbws=")</f>
        <v>#VALUE!</v>
      </c>
      <c r="M71" s="22" t="e">
        <f aca="false">AND(#REF!,"AAAAAH7fbww=")</f>
        <v>#VALUE!</v>
      </c>
      <c r="N71" s="22" t="e">
        <f aca="false">AND(#REF!,"AAAAAH7fbw0=")</f>
        <v>#VALUE!</v>
      </c>
      <c r="O71" s="22" t="e">
        <f aca="false">AND(#REF!,"AAAAAH7fbw4=")</f>
        <v>#VALUE!</v>
      </c>
      <c r="P71" s="22" t="e">
        <f aca="false">AND(#REF!,"AAAAAH7fbw8=")</f>
        <v>#VALUE!</v>
      </c>
      <c r="Q71" s="22" t="e">
        <f aca="false">AND(#REF!,"AAAAAH7fbxA=")</f>
        <v>#VALUE!</v>
      </c>
      <c r="R71" s="22" t="e">
        <f aca="false">IF(#REF!,"AAAAAH7fbxE=",0)</f>
        <v>#REF!</v>
      </c>
      <c r="S71" s="22" t="e">
        <f aca="false">AND(#REF!,"AAAAAH7fbxI=")</f>
        <v>#VALUE!</v>
      </c>
      <c r="T71" s="22" t="e">
        <f aca="false">AND(#REF!,"AAAAAH7fbxM=")</f>
        <v>#VALUE!</v>
      </c>
      <c r="U71" s="22" t="e">
        <f aca="false">AND(#REF!,"AAAAAH7fbxQ=")</f>
        <v>#VALUE!</v>
      </c>
      <c r="V71" s="22" t="e">
        <f aca="false">AND(#REF!,"AAAAAH7fbxU=")</f>
        <v>#VALUE!</v>
      </c>
      <c r="W71" s="22" t="e">
        <f aca="false">AND(#REF!,"AAAAAH7fbxY=")</f>
        <v>#VALUE!</v>
      </c>
      <c r="X71" s="22" t="e">
        <f aca="false">AND(#REF!,"AAAAAH7fbxc=")</f>
        <v>#VALUE!</v>
      </c>
      <c r="Y71" s="22" t="e">
        <f aca="false">AND(#REF!,"AAAAAH7fbxg=")</f>
        <v>#VALUE!</v>
      </c>
      <c r="Z71" s="22" t="e">
        <f aca="false">AND(#REF!,"AAAAAH7fbxk=")</f>
        <v>#VALUE!</v>
      </c>
      <c r="AA71" s="22" t="e">
        <f aca="false">IF(#REF!,"AAAAAH7fbxo=",0)</f>
        <v>#REF!</v>
      </c>
      <c r="AB71" s="22" t="e">
        <f aca="false">AND(#REF!,"AAAAAH7fbxs=")</f>
        <v>#VALUE!</v>
      </c>
      <c r="AC71" s="22" t="e">
        <f aca="false">AND(#REF!,"AAAAAH7fbxw=")</f>
        <v>#VALUE!</v>
      </c>
      <c r="AD71" s="22" t="e">
        <f aca="false">AND(#REF!,"AAAAAH7fbx0=")</f>
        <v>#VALUE!</v>
      </c>
      <c r="AE71" s="22" t="e">
        <f aca="false">AND(#REF!,"AAAAAH7fbx4=")</f>
        <v>#VALUE!</v>
      </c>
      <c r="AF71" s="22" t="e">
        <f aca="false">AND(#REF!,"AAAAAH7fbx8=")</f>
        <v>#VALUE!</v>
      </c>
      <c r="AG71" s="22" t="e">
        <f aca="false">AND(#REF!,"AAAAAH7fbyA=")</f>
        <v>#VALUE!</v>
      </c>
      <c r="AH71" s="22" t="e">
        <f aca="false">AND(#REF!,"AAAAAH7fbyE=")</f>
        <v>#VALUE!</v>
      </c>
      <c r="AI71" s="22" t="e">
        <f aca="false">AND(#REF!,"AAAAAH7fbyI=")</f>
        <v>#VALUE!</v>
      </c>
      <c r="AJ71" s="22" t="e">
        <f aca="false">IF(#REF!,"AAAAAH7fbyM=",0)</f>
        <v>#REF!</v>
      </c>
      <c r="AK71" s="22" t="e">
        <f aca="false">AND(#REF!,"AAAAAH7fbyQ=")</f>
        <v>#VALUE!</v>
      </c>
      <c r="AL71" s="22" t="e">
        <f aca="false">AND(#REF!,"AAAAAH7fbyU=")</f>
        <v>#VALUE!</v>
      </c>
      <c r="AM71" s="22" t="e">
        <f aca="false">AND(#REF!,"AAAAAH7fbyY=")</f>
        <v>#VALUE!</v>
      </c>
      <c r="AN71" s="22" t="e">
        <f aca="false">AND(#REF!,"AAAAAH7fbyc=")</f>
        <v>#VALUE!</v>
      </c>
      <c r="AO71" s="22" t="e">
        <f aca="false">AND(#REF!,"AAAAAH7fbyg=")</f>
        <v>#VALUE!</v>
      </c>
      <c r="AP71" s="22" t="e">
        <f aca="false">AND(#REF!,"AAAAAH7fbyk=")</f>
        <v>#VALUE!</v>
      </c>
      <c r="AQ71" s="22" t="e">
        <f aca="false">AND(#REF!,"AAAAAH7fbyo=")</f>
        <v>#VALUE!</v>
      </c>
      <c r="AR71" s="22" t="e">
        <f aca="false">AND(#REF!,"AAAAAH7fbys=")</f>
        <v>#VALUE!</v>
      </c>
      <c r="AS71" s="22" t="e">
        <f aca="false">IF(#REF!,"AAAAAH7fbyw=",0)</f>
        <v>#REF!</v>
      </c>
      <c r="AT71" s="22" t="e">
        <f aca="false">AND(#REF!,"AAAAAH7fby0=")</f>
        <v>#VALUE!</v>
      </c>
      <c r="AU71" s="22" t="e">
        <f aca="false">AND(#REF!,"AAAAAH7fby4=")</f>
        <v>#VALUE!</v>
      </c>
      <c r="AV71" s="22" t="e">
        <f aca="false">AND(#REF!,"AAAAAH7fby8=")</f>
        <v>#VALUE!</v>
      </c>
      <c r="AW71" s="22" t="e">
        <f aca="false">AND(#REF!,"AAAAAH7fbzA=")</f>
        <v>#VALUE!</v>
      </c>
      <c r="AX71" s="22" t="e">
        <f aca="false">AND(#REF!,"AAAAAH7fbzE=")</f>
        <v>#VALUE!</v>
      </c>
      <c r="AY71" s="22" t="e">
        <f aca="false">AND(#REF!,"AAAAAH7fbzI=")</f>
        <v>#VALUE!</v>
      </c>
      <c r="AZ71" s="22" t="e">
        <f aca="false">AND(#REF!,"AAAAAH7fbzM=")</f>
        <v>#VALUE!</v>
      </c>
      <c r="BA71" s="22" t="e">
        <f aca="false">AND(#REF!,"AAAAAH7fbzQ=")</f>
        <v>#VALUE!</v>
      </c>
      <c r="BB71" s="22" t="e">
        <f aca="false">IF(#REF!,"AAAAAH7fbzU=",0)</f>
        <v>#REF!</v>
      </c>
      <c r="BC71" s="22" t="e">
        <f aca="false">AND(#REF!,"AAAAAH7fbzY=")</f>
        <v>#VALUE!</v>
      </c>
      <c r="BD71" s="22" t="e">
        <f aca="false">AND(#REF!,"AAAAAH7fbzc=")</f>
        <v>#VALUE!</v>
      </c>
      <c r="BE71" s="22" t="e">
        <f aca="false">AND(#REF!,"AAAAAH7fbzg=")</f>
        <v>#VALUE!</v>
      </c>
      <c r="BF71" s="22" t="e">
        <f aca="false">AND(#REF!,"AAAAAH7fbzk=")</f>
        <v>#VALUE!</v>
      </c>
      <c r="BG71" s="22" t="e">
        <f aca="false">AND(#REF!,"AAAAAH7fbzo=")</f>
        <v>#VALUE!</v>
      </c>
      <c r="BH71" s="22" t="e">
        <f aca="false">AND(#REF!,"AAAAAH7fbzs=")</f>
        <v>#VALUE!</v>
      </c>
      <c r="BI71" s="22" t="e">
        <f aca="false">AND(#REF!,"AAAAAH7fbzw=")</f>
        <v>#VALUE!</v>
      </c>
      <c r="BJ71" s="22" t="e">
        <f aca="false">AND(#REF!,"AAAAAH7fbz0=")</f>
        <v>#VALUE!</v>
      </c>
      <c r="BK71" s="22" t="e">
        <f aca="false">IF(#REF!,"AAAAAH7fbz4=",0)</f>
        <v>#REF!</v>
      </c>
      <c r="BL71" s="22" t="e">
        <f aca="false">AND(#REF!,"AAAAAH7fbz8=")</f>
        <v>#VALUE!</v>
      </c>
      <c r="BM71" s="22" t="e">
        <f aca="false">AND(#REF!,"AAAAAH7fb0A=")</f>
        <v>#VALUE!</v>
      </c>
      <c r="BN71" s="22" t="e">
        <f aca="false">AND(#REF!,"AAAAAH7fb0E=")</f>
        <v>#VALUE!</v>
      </c>
      <c r="BO71" s="22" t="e">
        <f aca="false">AND(#REF!,"AAAAAH7fb0I=")</f>
        <v>#VALUE!</v>
      </c>
      <c r="BP71" s="22" t="e">
        <f aca="false">AND(#REF!,"AAAAAH7fb0M=")</f>
        <v>#VALUE!</v>
      </c>
      <c r="BQ71" s="22" t="e">
        <f aca="false">AND(#REF!,"AAAAAH7fb0Q=")</f>
        <v>#VALUE!</v>
      </c>
      <c r="BR71" s="22" t="e">
        <f aca="false">AND(#REF!,"AAAAAH7fb0U=")</f>
        <v>#VALUE!</v>
      </c>
      <c r="BS71" s="22" t="e">
        <f aca="false">AND(#REF!,"AAAAAH7fb0Y=")</f>
        <v>#VALUE!</v>
      </c>
      <c r="BT71" s="22" t="e">
        <f aca="false">IF(#REF!,"AAAAAH7fb0c=",0)</f>
        <v>#REF!</v>
      </c>
      <c r="BU71" s="22" t="e">
        <f aca="false">AND(#REF!,"AAAAAH7fb0g=")</f>
        <v>#VALUE!</v>
      </c>
      <c r="BV71" s="22" t="e">
        <f aca="false">AND(#REF!,"AAAAAH7fb0k=")</f>
        <v>#VALUE!</v>
      </c>
      <c r="BW71" s="22" t="e">
        <f aca="false">AND(#REF!,"AAAAAH7fb0o=")</f>
        <v>#VALUE!</v>
      </c>
      <c r="BX71" s="22" t="e">
        <f aca="false">AND(#REF!,"AAAAAH7fb0s=")</f>
        <v>#VALUE!</v>
      </c>
      <c r="BY71" s="22" t="e">
        <f aca="false">AND(#REF!,"AAAAAH7fb0w=")</f>
        <v>#VALUE!</v>
      </c>
      <c r="BZ71" s="22" t="e">
        <f aca="false">AND(#REF!,"AAAAAH7fb00=")</f>
        <v>#VALUE!</v>
      </c>
      <c r="CA71" s="22" t="e">
        <f aca="false">AND(#REF!,"AAAAAH7fb04=")</f>
        <v>#VALUE!</v>
      </c>
      <c r="CB71" s="22" t="e">
        <f aca="false">AND(#REF!,"AAAAAH7fb08=")</f>
        <v>#VALUE!</v>
      </c>
      <c r="CC71" s="22" t="e">
        <f aca="false">IF(#REF!,"AAAAAH7fb1A=",0)</f>
        <v>#REF!</v>
      </c>
      <c r="CD71" s="22" t="e">
        <f aca="false">AND(#REF!,"AAAAAH7fb1E=")</f>
        <v>#VALUE!</v>
      </c>
      <c r="CE71" s="22" t="e">
        <f aca="false">AND(#REF!,"AAAAAH7fb1I=")</f>
        <v>#VALUE!</v>
      </c>
      <c r="CF71" s="22" t="e">
        <f aca="false">AND(#REF!,"AAAAAH7fb1M=")</f>
        <v>#VALUE!</v>
      </c>
      <c r="CG71" s="22" t="e">
        <f aca="false">AND(#REF!,"AAAAAH7fb1Q=")</f>
        <v>#VALUE!</v>
      </c>
      <c r="CH71" s="22" t="e">
        <f aca="false">AND(#REF!,"AAAAAH7fb1U=")</f>
        <v>#VALUE!</v>
      </c>
      <c r="CI71" s="22" t="e">
        <f aca="false">AND(#REF!,"AAAAAH7fb1Y=")</f>
        <v>#VALUE!</v>
      </c>
      <c r="CJ71" s="22" t="e">
        <f aca="false">AND(#REF!,"AAAAAH7fb1c=")</f>
        <v>#VALUE!</v>
      </c>
      <c r="CK71" s="22" t="e">
        <f aca="false">AND(#REF!,"AAAAAH7fb1g=")</f>
        <v>#VALUE!</v>
      </c>
      <c r="CL71" s="22" t="e">
        <f aca="false">IF(#REF!,"AAAAAH7fb1k=",0)</f>
        <v>#REF!</v>
      </c>
      <c r="CM71" s="22" t="e">
        <f aca="false">AND(#REF!,"AAAAAH7fb1o=")</f>
        <v>#VALUE!</v>
      </c>
      <c r="CN71" s="22" t="e">
        <f aca="false">AND(#REF!,"AAAAAH7fb1s=")</f>
        <v>#VALUE!</v>
      </c>
      <c r="CO71" s="22" t="e">
        <f aca="false">AND(#REF!,"AAAAAH7fb1w=")</f>
        <v>#VALUE!</v>
      </c>
      <c r="CP71" s="22" t="e">
        <f aca="false">AND(#REF!,"AAAAAH7fb10=")</f>
        <v>#VALUE!</v>
      </c>
      <c r="CQ71" s="22" t="e">
        <f aca="false">AND(#REF!,"AAAAAH7fb14=")</f>
        <v>#VALUE!</v>
      </c>
      <c r="CR71" s="22" t="e">
        <f aca="false">AND(#REF!,"AAAAAH7fb18=")</f>
        <v>#VALUE!</v>
      </c>
      <c r="CS71" s="22" t="e">
        <f aca="false">AND(#REF!,"AAAAAH7fb2A=")</f>
        <v>#VALUE!</v>
      </c>
      <c r="CT71" s="22" t="e">
        <f aca="false">AND(#REF!,"AAAAAH7fb2E=")</f>
        <v>#VALUE!</v>
      </c>
      <c r="CU71" s="22" t="e">
        <f aca="false">IF(#REF!,"AAAAAH7fb2I=",0)</f>
        <v>#REF!</v>
      </c>
      <c r="CV71" s="22" t="e">
        <f aca="false">AND(#REF!,"AAAAAH7fb2M=")</f>
        <v>#VALUE!</v>
      </c>
      <c r="CW71" s="22" t="e">
        <f aca="false">AND(#REF!,"AAAAAH7fb2Q=")</f>
        <v>#VALUE!</v>
      </c>
      <c r="CX71" s="22" t="e">
        <f aca="false">AND(#REF!,"AAAAAH7fb2U=")</f>
        <v>#VALUE!</v>
      </c>
      <c r="CY71" s="22" t="e">
        <f aca="false">AND(#REF!,"AAAAAH7fb2Y=")</f>
        <v>#VALUE!</v>
      </c>
      <c r="CZ71" s="22" t="e">
        <f aca="false">AND(#REF!,"AAAAAH7fb2c=")</f>
        <v>#VALUE!</v>
      </c>
      <c r="DA71" s="22" t="e">
        <f aca="false">AND(#REF!,"AAAAAH7fb2g=")</f>
        <v>#VALUE!</v>
      </c>
      <c r="DB71" s="22" t="e">
        <f aca="false">AND(#REF!,"AAAAAH7fb2k=")</f>
        <v>#VALUE!</v>
      </c>
      <c r="DC71" s="22" t="e">
        <f aca="false">AND(#REF!,"AAAAAH7fb2o=")</f>
        <v>#VALUE!</v>
      </c>
      <c r="DD71" s="22" t="e">
        <f aca="false">IF(#REF!,"AAAAAH7fb2s=",0)</f>
        <v>#REF!</v>
      </c>
      <c r="DE71" s="22" t="e">
        <f aca="false">AND(#REF!,"AAAAAH7fb2w=")</f>
        <v>#VALUE!</v>
      </c>
      <c r="DF71" s="22" t="e">
        <f aca="false">AND(#REF!,"AAAAAH7fb20=")</f>
        <v>#VALUE!</v>
      </c>
      <c r="DG71" s="22" t="e">
        <f aca="false">AND(#REF!,"AAAAAH7fb24=")</f>
        <v>#VALUE!</v>
      </c>
      <c r="DH71" s="22" t="e">
        <f aca="false">AND(#REF!,"AAAAAH7fb28=")</f>
        <v>#VALUE!</v>
      </c>
      <c r="DI71" s="22" t="e">
        <f aca="false">AND(#REF!,"AAAAAH7fb3A=")</f>
        <v>#VALUE!</v>
      </c>
      <c r="DJ71" s="22" t="e">
        <f aca="false">AND(#REF!,"AAAAAH7fb3E=")</f>
        <v>#VALUE!</v>
      </c>
      <c r="DK71" s="22" t="e">
        <f aca="false">AND(#REF!,"AAAAAH7fb3I=")</f>
        <v>#VALUE!</v>
      </c>
      <c r="DL71" s="22" t="e">
        <f aca="false">AND(#REF!,"AAAAAH7fb3M=")</f>
        <v>#VALUE!</v>
      </c>
      <c r="DM71" s="22" t="e">
        <f aca="false">IF(#REF!,"AAAAAH7fb3Q=",0)</f>
        <v>#REF!</v>
      </c>
      <c r="DN71" s="22" t="e">
        <f aca="false">AND(#REF!,"AAAAAH7fb3U=")</f>
        <v>#VALUE!</v>
      </c>
      <c r="DO71" s="22" t="e">
        <f aca="false">AND(#REF!,"AAAAAH7fb3Y=")</f>
        <v>#VALUE!</v>
      </c>
      <c r="DP71" s="22" t="e">
        <f aca="false">AND(#REF!,"AAAAAH7fb3c=")</f>
        <v>#VALUE!</v>
      </c>
      <c r="DQ71" s="22" t="e">
        <f aca="false">AND(#REF!,"AAAAAH7fb3g=")</f>
        <v>#VALUE!</v>
      </c>
      <c r="DR71" s="22" t="e">
        <f aca="false">AND(#REF!,"AAAAAH7fb3k=")</f>
        <v>#VALUE!</v>
      </c>
      <c r="DS71" s="22" t="e">
        <f aca="false">AND(#REF!,"AAAAAH7fb3o=")</f>
        <v>#VALUE!</v>
      </c>
      <c r="DT71" s="22" t="e">
        <f aca="false">AND(#REF!,"AAAAAH7fb3s=")</f>
        <v>#VALUE!</v>
      </c>
      <c r="DU71" s="22" t="e">
        <f aca="false">AND(#REF!,"AAAAAH7fb3w=")</f>
        <v>#VALUE!</v>
      </c>
      <c r="DV71" s="22" t="e">
        <f aca="false">IF(#REF!,"AAAAAH7fb30=",0)</f>
        <v>#REF!</v>
      </c>
      <c r="DW71" s="22" t="e">
        <f aca="false">AND(#REF!,"AAAAAH7fb34=")</f>
        <v>#VALUE!</v>
      </c>
      <c r="DX71" s="22" t="e">
        <f aca="false">AND(#REF!,"AAAAAH7fb38=")</f>
        <v>#VALUE!</v>
      </c>
      <c r="DY71" s="22" t="e">
        <f aca="false">AND(#REF!,"AAAAAH7fb4A=")</f>
        <v>#VALUE!</v>
      </c>
      <c r="DZ71" s="22" t="e">
        <f aca="false">AND(#REF!,"AAAAAH7fb4E=")</f>
        <v>#VALUE!</v>
      </c>
      <c r="EA71" s="22" t="e">
        <f aca="false">AND(#REF!,"AAAAAH7fb4I=")</f>
        <v>#VALUE!</v>
      </c>
      <c r="EB71" s="22" t="e">
        <f aca="false">AND(#REF!,"AAAAAH7fb4M=")</f>
        <v>#VALUE!</v>
      </c>
      <c r="EC71" s="22" t="e">
        <f aca="false">AND(#REF!,"AAAAAH7fb4Q=")</f>
        <v>#VALUE!</v>
      </c>
      <c r="ED71" s="22" t="e">
        <f aca="false">AND(#REF!,"AAAAAH7fb4U=")</f>
        <v>#VALUE!</v>
      </c>
      <c r="EE71" s="22" t="e">
        <f aca="false">IF(#REF!,"AAAAAH7fb4Y=",0)</f>
        <v>#REF!</v>
      </c>
      <c r="EF71" s="22" t="e">
        <f aca="false">AND(#REF!,"AAAAAH7fb4c=")</f>
        <v>#VALUE!</v>
      </c>
      <c r="EG71" s="22" t="e">
        <f aca="false">AND(#REF!,"AAAAAH7fb4g=")</f>
        <v>#VALUE!</v>
      </c>
      <c r="EH71" s="22" t="e">
        <f aca="false">AND(#REF!,"AAAAAH7fb4k=")</f>
        <v>#VALUE!</v>
      </c>
      <c r="EI71" s="22" t="e">
        <f aca="false">AND(#REF!,"AAAAAH7fb4o=")</f>
        <v>#VALUE!</v>
      </c>
      <c r="EJ71" s="22" t="e">
        <f aca="false">AND(#REF!,"AAAAAH7fb4s=")</f>
        <v>#VALUE!</v>
      </c>
      <c r="EK71" s="22" t="e">
        <f aca="false">AND(#REF!,"AAAAAH7fb4w=")</f>
        <v>#VALUE!</v>
      </c>
      <c r="EL71" s="22" t="e">
        <f aca="false">AND(#REF!,"AAAAAH7fb40=")</f>
        <v>#VALUE!</v>
      </c>
      <c r="EM71" s="22" t="e">
        <f aca="false">AND(#REF!,"AAAAAH7fb44=")</f>
        <v>#VALUE!</v>
      </c>
      <c r="EN71" s="22" t="e">
        <f aca="false">IF(#REF!,"AAAAAH7fb48=",0)</f>
        <v>#REF!</v>
      </c>
      <c r="EO71" s="22" t="e">
        <f aca="false">AND(#REF!,"AAAAAH7fb5A=")</f>
        <v>#VALUE!</v>
      </c>
      <c r="EP71" s="22" t="e">
        <f aca="false">AND(#REF!,"AAAAAH7fb5E=")</f>
        <v>#VALUE!</v>
      </c>
      <c r="EQ71" s="22" t="e">
        <f aca="false">AND(#REF!,"AAAAAH7fb5I=")</f>
        <v>#VALUE!</v>
      </c>
      <c r="ER71" s="22" t="e">
        <f aca="false">AND(#REF!,"AAAAAH7fb5M=")</f>
        <v>#VALUE!</v>
      </c>
      <c r="ES71" s="22" t="e">
        <f aca="false">AND(#REF!,"AAAAAH7fb5Q=")</f>
        <v>#VALUE!</v>
      </c>
      <c r="ET71" s="22" t="e">
        <f aca="false">AND(#REF!,"AAAAAH7fb5U=")</f>
        <v>#VALUE!</v>
      </c>
      <c r="EU71" s="22" t="e">
        <f aca="false">AND(#REF!,"AAAAAH7fb5Y=")</f>
        <v>#VALUE!</v>
      </c>
      <c r="EV71" s="22" t="e">
        <f aca="false">AND(#REF!,"AAAAAH7fb5c=")</f>
        <v>#VALUE!</v>
      </c>
      <c r="EW71" s="22" t="e">
        <f aca="false">IF(#REF!,"AAAAAH7fb5g=",0)</f>
        <v>#REF!</v>
      </c>
      <c r="EX71" s="22" t="e">
        <f aca="false">AND(#REF!,"AAAAAH7fb5k=")</f>
        <v>#VALUE!</v>
      </c>
      <c r="EY71" s="22" t="e">
        <f aca="false">AND(#REF!,"AAAAAH7fb5o=")</f>
        <v>#VALUE!</v>
      </c>
      <c r="EZ71" s="22" t="e">
        <f aca="false">AND(#REF!,"AAAAAH7fb5s=")</f>
        <v>#VALUE!</v>
      </c>
      <c r="FA71" s="22" t="e">
        <f aca="false">AND(#REF!,"AAAAAH7fb5w=")</f>
        <v>#VALUE!</v>
      </c>
      <c r="FB71" s="22" t="e">
        <f aca="false">AND(#REF!,"AAAAAH7fb50=")</f>
        <v>#VALUE!</v>
      </c>
      <c r="FC71" s="22" t="e">
        <f aca="false">AND(#REF!,"AAAAAH7fb54=")</f>
        <v>#VALUE!</v>
      </c>
      <c r="FD71" s="22" t="e">
        <f aca="false">AND(#REF!,"AAAAAH7fb58=")</f>
        <v>#VALUE!</v>
      </c>
      <c r="FE71" s="22" t="e">
        <f aca="false">AND(#REF!,"AAAAAH7fb6A=")</f>
        <v>#VALUE!</v>
      </c>
      <c r="FF71" s="22" t="e">
        <f aca="false">IF(#REF!,"AAAAAH7fb6E=",0)</f>
        <v>#REF!</v>
      </c>
      <c r="FG71" s="22" t="e">
        <f aca="false">AND(#REF!,"AAAAAH7fb6I=")</f>
        <v>#VALUE!</v>
      </c>
      <c r="FH71" s="22" t="e">
        <f aca="false">AND(#REF!,"AAAAAH7fb6M=")</f>
        <v>#VALUE!</v>
      </c>
      <c r="FI71" s="22" t="e">
        <f aca="false">AND(#REF!,"AAAAAH7fb6Q=")</f>
        <v>#VALUE!</v>
      </c>
      <c r="FJ71" s="22" t="e">
        <f aca="false">AND(#REF!,"AAAAAH7fb6U=")</f>
        <v>#VALUE!</v>
      </c>
      <c r="FK71" s="22" t="e">
        <f aca="false">AND(#REF!,"AAAAAH7fb6Y=")</f>
        <v>#VALUE!</v>
      </c>
      <c r="FL71" s="22" t="e">
        <f aca="false">AND(#REF!,"AAAAAH7fb6c=")</f>
        <v>#VALUE!</v>
      </c>
      <c r="FM71" s="22" t="e">
        <f aca="false">AND(#REF!,"AAAAAH7fb6g=")</f>
        <v>#VALUE!</v>
      </c>
      <c r="FN71" s="22" t="e">
        <f aca="false">AND(#REF!,"AAAAAH7fb6k=")</f>
        <v>#VALUE!</v>
      </c>
      <c r="FO71" s="22" t="e">
        <f aca="false">IF(#REF!,"AAAAAH7fb6o=",0)</f>
        <v>#REF!</v>
      </c>
      <c r="FP71" s="22" t="e">
        <f aca="false">AND(#REF!,"AAAAAH7fb6s=")</f>
        <v>#VALUE!</v>
      </c>
      <c r="FQ71" s="22" t="e">
        <f aca="false">AND(#REF!,"AAAAAH7fb6w=")</f>
        <v>#VALUE!</v>
      </c>
      <c r="FR71" s="22" t="e">
        <f aca="false">AND(#REF!,"AAAAAH7fb60=")</f>
        <v>#VALUE!</v>
      </c>
      <c r="FS71" s="22" t="e">
        <f aca="false">AND(#REF!,"AAAAAH7fb64=")</f>
        <v>#VALUE!</v>
      </c>
      <c r="FT71" s="22" t="e">
        <f aca="false">AND(#REF!,"AAAAAH7fb68=")</f>
        <v>#VALUE!</v>
      </c>
      <c r="FU71" s="22" t="e">
        <f aca="false">AND(#REF!,"AAAAAH7fb7A=")</f>
        <v>#VALUE!</v>
      </c>
      <c r="FV71" s="22" t="e">
        <f aca="false">AND(#REF!,"AAAAAH7fb7E=")</f>
        <v>#VALUE!</v>
      </c>
      <c r="FW71" s="22" t="e">
        <f aca="false">AND(#REF!,"AAAAAH7fb7I=")</f>
        <v>#VALUE!</v>
      </c>
      <c r="FX71" s="22" t="e">
        <f aca="false">IF(#REF!,"AAAAAH7fb7M=",0)</f>
        <v>#REF!</v>
      </c>
      <c r="FY71" s="22" t="e">
        <f aca="false">AND(#REF!,"AAAAAH7fb7Q=")</f>
        <v>#VALUE!</v>
      </c>
      <c r="FZ71" s="22" t="e">
        <f aca="false">AND(#REF!,"AAAAAH7fb7U=")</f>
        <v>#VALUE!</v>
      </c>
      <c r="GA71" s="22" t="e">
        <f aca="false">AND(#REF!,"AAAAAH7fb7Y=")</f>
        <v>#VALUE!</v>
      </c>
      <c r="GB71" s="22" t="e">
        <f aca="false">AND(#REF!,"AAAAAH7fb7c=")</f>
        <v>#VALUE!</v>
      </c>
      <c r="GC71" s="22" t="e">
        <f aca="false">AND(#REF!,"AAAAAH7fb7g=")</f>
        <v>#VALUE!</v>
      </c>
      <c r="GD71" s="22" t="e">
        <f aca="false">AND(#REF!,"AAAAAH7fb7k=")</f>
        <v>#VALUE!</v>
      </c>
      <c r="GE71" s="22" t="e">
        <f aca="false">AND(#REF!,"AAAAAH7fb7o=")</f>
        <v>#VALUE!</v>
      </c>
      <c r="GF71" s="22" t="e">
        <f aca="false">AND(#REF!,"AAAAAH7fb7s=")</f>
        <v>#VALUE!</v>
      </c>
      <c r="GG71" s="22" t="e">
        <f aca="false">IF(#REF!,"AAAAAH7fb7w=",0)</f>
        <v>#REF!</v>
      </c>
      <c r="GH71" s="22" t="e">
        <f aca="false">AND(#REF!,"AAAAAH7fb70=")</f>
        <v>#VALUE!</v>
      </c>
      <c r="GI71" s="22" t="e">
        <f aca="false">AND(#REF!,"AAAAAH7fb74=")</f>
        <v>#VALUE!</v>
      </c>
      <c r="GJ71" s="22" t="e">
        <f aca="false">AND(#REF!,"AAAAAH7fb78=")</f>
        <v>#VALUE!</v>
      </c>
      <c r="GK71" s="22" t="e">
        <f aca="false">AND(#REF!,"AAAAAH7fb8A=")</f>
        <v>#VALUE!</v>
      </c>
      <c r="GL71" s="22" t="e">
        <f aca="false">AND(#REF!,"AAAAAH7fb8E=")</f>
        <v>#VALUE!</v>
      </c>
      <c r="GM71" s="22" t="e">
        <f aca="false">AND(#REF!,"AAAAAH7fb8I=")</f>
        <v>#VALUE!</v>
      </c>
      <c r="GN71" s="22" t="e">
        <f aca="false">AND(#REF!,"AAAAAH7fb8M=")</f>
        <v>#VALUE!</v>
      </c>
      <c r="GO71" s="22" t="e">
        <f aca="false">AND(#REF!,"AAAAAH7fb8Q=")</f>
        <v>#VALUE!</v>
      </c>
      <c r="GP71" s="22" t="e">
        <f aca="false">IF(#REF!,"AAAAAH7fb8U=",0)</f>
        <v>#REF!</v>
      </c>
      <c r="GQ71" s="22" t="e">
        <f aca="false">AND(#REF!,"AAAAAH7fb8Y=")</f>
        <v>#VALUE!</v>
      </c>
      <c r="GR71" s="22" t="e">
        <f aca="false">AND(#REF!,"AAAAAH7fb8c=")</f>
        <v>#VALUE!</v>
      </c>
      <c r="GS71" s="22" t="e">
        <f aca="false">AND(#REF!,"AAAAAH7fb8g=")</f>
        <v>#VALUE!</v>
      </c>
      <c r="GT71" s="22" t="e">
        <f aca="false">AND(#REF!,"AAAAAH7fb8k=")</f>
        <v>#VALUE!</v>
      </c>
      <c r="GU71" s="22" t="e">
        <f aca="false">AND(#REF!,"AAAAAH7fb8o=")</f>
        <v>#VALUE!</v>
      </c>
      <c r="GV71" s="22" t="e">
        <f aca="false">AND(#REF!,"AAAAAH7fb8s=")</f>
        <v>#VALUE!</v>
      </c>
      <c r="GW71" s="22" t="e">
        <f aca="false">AND(#REF!,"AAAAAH7fb8w=")</f>
        <v>#VALUE!</v>
      </c>
      <c r="GX71" s="22" t="e">
        <f aca="false">AND(#REF!,"AAAAAH7fb80=")</f>
        <v>#VALUE!</v>
      </c>
      <c r="GY71" s="22" t="e">
        <f aca="false">IF(#REF!,"AAAAAH7fb84=",0)</f>
        <v>#REF!</v>
      </c>
      <c r="GZ71" s="22" t="e">
        <f aca="false">AND(#REF!,"AAAAAH7fb88=")</f>
        <v>#VALUE!</v>
      </c>
      <c r="HA71" s="22" t="e">
        <f aca="false">AND(#REF!,"AAAAAH7fb9A=")</f>
        <v>#VALUE!</v>
      </c>
      <c r="HB71" s="22" t="e">
        <f aca="false">AND(#REF!,"AAAAAH7fb9E=")</f>
        <v>#VALUE!</v>
      </c>
      <c r="HC71" s="22" t="e">
        <f aca="false">AND(#REF!,"AAAAAH7fb9I=")</f>
        <v>#VALUE!</v>
      </c>
      <c r="HD71" s="22" t="e">
        <f aca="false">AND(#REF!,"AAAAAH7fb9M=")</f>
        <v>#VALUE!</v>
      </c>
      <c r="HE71" s="22" t="e">
        <f aca="false">AND(#REF!,"AAAAAH7fb9Q=")</f>
        <v>#VALUE!</v>
      </c>
      <c r="HF71" s="22" t="e">
        <f aca="false">AND(#REF!,"AAAAAH7fb9U=")</f>
        <v>#VALUE!</v>
      </c>
      <c r="HG71" s="22" t="e">
        <f aca="false">AND(#REF!,"AAAAAH7fb9Y=")</f>
        <v>#VALUE!</v>
      </c>
      <c r="HH71" s="22" t="e">
        <f aca="false">IF(#REF!,"AAAAAH7fb9c=",0)</f>
        <v>#REF!</v>
      </c>
      <c r="HI71" s="22" t="e">
        <f aca="false">AND(#REF!,"AAAAAH7fb9g=")</f>
        <v>#VALUE!</v>
      </c>
      <c r="HJ71" s="22" t="e">
        <f aca="false">AND(#REF!,"AAAAAH7fb9k=")</f>
        <v>#VALUE!</v>
      </c>
      <c r="HK71" s="22" t="e">
        <f aca="false">AND(#REF!,"AAAAAH7fb9o=")</f>
        <v>#VALUE!</v>
      </c>
      <c r="HL71" s="22" t="e">
        <f aca="false">AND(#REF!,"AAAAAH7fb9s=")</f>
        <v>#VALUE!</v>
      </c>
      <c r="HM71" s="22" t="e">
        <f aca="false">AND(#REF!,"AAAAAH7fb9w=")</f>
        <v>#VALUE!</v>
      </c>
      <c r="HN71" s="22" t="e">
        <f aca="false">AND(#REF!,"AAAAAH7fb90=")</f>
        <v>#VALUE!</v>
      </c>
      <c r="HO71" s="22" t="e">
        <f aca="false">AND(#REF!,"AAAAAH7fb94=")</f>
        <v>#VALUE!</v>
      </c>
      <c r="HP71" s="22" t="e">
        <f aca="false">AND(#REF!,"AAAAAH7fb98=")</f>
        <v>#VALUE!</v>
      </c>
      <c r="HQ71" s="22" t="e">
        <f aca="false">IF(#REF!,"AAAAAH7fb+A=",0)</f>
        <v>#REF!</v>
      </c>
      <c r="HR71" s="22" t="e">
        <f aca="false">AND(#REF!,"AAAAAH7fb+E=")</f>
        <v>#VALUE!</v>
      </c>
      <c r="HS71" s="22" t="e">
        <f aca="false">AND(#REF!,"AAAAAH7fb+I=")</f>
        <v>#VALUE!</v>
      </c>
      <c r="HT71" s="22" t="e">
        <f aca="false">AND(#REF!,"AAAAAH7fb+M=")</f>
        <v>#VALUE!</v>
      </c>
      <c r="HU71" s="22" t="e">
        <f aca="false">AND(#REF!,"AAAAAH7fb+Q=")</f>
        <v>#VALUE!</v>
      </c>
      <c r="HV71" s="22" t="e">
        <f aca="false">AND(#REF!,"AAAAAH7fb+U=")</f>
        <v>#VALUE!</v>
      </c>
      <c r="HW71" s="22" t="e">
        <f aca="false">AND(#REF!,"AAAAAH7fb+Y=")</f>
        <v>#VALUE!</v>
      </c>
      <c r="HX71" s="22" t="e">
        <f aca="false">AND(#REF!,"AAAAAH7fb+c=")</f>
        <v>#VALUE!</v>
      </c>
      <c r="HY71" s="22" t="e">
        <f aca="false">AND(#REF!,"AAAAAH7fb+g=")</f>
        <v>#VALUE!</v>
      </c>
      <c r="HZ71" s="22" t="e">
        <f aca="false">IF(#REF!,"AAAAAH7fb+k=",0)</f>
        <v>#REF!</v>
      </c>
      <c r="IA71" s="22" t="e">
        <f aca="false">AND(#REF!,"AAAAAH7fb+o=")</f>
        <v>#VALUE!</v>
      </c>
      <c r="IB71" s="22" t="e">
        <f aca="false">AND(#REF!,"AAAAAH7fb+s=")</f>
        <v>#VALUE!</v>
      </c>
      <c r="IC71" s="22" t="e">
        <f aca="false">AND(#REF!,"AAAAAH7fb+w=")</f>
        <v>#VALUE!</v>
      </c>
      <c r="ID71" s="22" t="e">
        <f aca="false">AND(#REF!,"AAAAAH7fb+0=")</f>
        <v>#VALUE!</v>
      </c>
      <c r="IE71" s="22" t="e">
        <f aca="false">AND(#REF!,"AAAAAH7fb+4=")</f>
        <v>#VALUE!</v>
      </c>
      <c r="IF71" s="22" t="e">
        <f aca="false">AND(#REF!,"AAAAAH7fb+8=")</f>
        <v>#VALUE!</v>
      </c>
      <c r="IG71" s="22" t="e">
        <f aca="false">AND(#REF!,"AAAAAH7fb/A=")</f>
        <v>#VALUE!</v>
      </c>
      <c r="IH71" s="22" t="e">
        <f aca="false">AND(#REF!,"AAAAAH7fb/E=")</f>
        <v>#VALUE!</v>
      </c>
      <c r="II71" s="22" t="e">
        <f aca="false">IF(#REF!,"AAAAAH7fb/I=",0)</f>
        <v>#REF!</v>
      </c>
      <c r="IJ71" s="22" t="e">
        <f aca="false">AND(#REF!,"AAAAAH7fb/M=")</f>
        <v>#VALUE!</v>
      </c>
      <c r="IK71" s="22" t="e">
        <f aca="false">AND(#REF!,"AAAAAH7fb/Q=")</f>
        <v>#VALUE!</v>
      </c>
      <c r="IL71" s="22" t="e">
        <f aca="false">AND(#REF!,"AAAAAH7fb/U=")</f>
        <v>#VALUE!</v>
      </c>
      <c r="IM71" s="22" t="e">
        <f aca="false">AND(#REF!,"AAAAAH7fb/Y=")</f>
        <v>#VALUE!</v>
      </c>
      <c r="IN71" s="22" t="e">
        <f aca="false">AND(#REF!,"AAAAAH7fb/c=")</f>
        <v>#VALUE!</v>
      </c>
      <c r="IO71" s="22" t="e">
        <f aca="false">AND(#REF!,"AAAAAH7fb/g=")</f>
        <v>#VALUE!</v>
      </c>
      <c r="IP71" s="22" t="e">
        <f aca="false">AND(#REF!,"AAAAAH7fb/k=")</f>
        <v>#VALUE!</v>
      </c>
      <c r="IQ71" s="22" t="e">
        <f aca="false">AND(#REF!,"AAAAAH7fb/o=")</f>
        <v>#VALUE!</v>
      </c>
      <c r="IR71" s="22" t="e">
        <f aca="false">IF(#REF!,"AAAAAH7fb/s=",0)</f>
        <v>#REF!</v>
      </c>
      <c r="IS71" s="22" t="e">
        <f aca="false">AND(#REF!,"AAAAAH7fb/w=")</f>
        <v>#VALUE!</v>
      </c>
      <c r="IT71" s="22" t="e">
        <f aca="false">AND(#REF!,"AAAAAH7fb/0=")</f>
        <v>#VALUE!</v>
      </c>
      <c r="IU71" s="22" t="e">
        <f aca="false">AND(#REF!,"AAAAAH7fb/4=")</f>
        <v>#VALUE!</v>
      </c>
      <c r="IV71" s="22" t="e">
        <f aca="false">AND(#REF!,"AAAAAH7fb/8=")</f>
        <v>#VALUE!</v>
      </c>
    </row>
    <row r="72" customFormat="false" ht="12.75" hidden="false" customHeight="false" outlineLevel="0" collapsed="false">
      <c r="A72" s="22" t="e">
        <f aca="false">AND(#REF!,"AAAAAHPe/gA=")</f>
        <v>#VALUE!</v>
      </c>
      <c r="B72" s="22" t="e">
        <f aca="false">AND(#REF!,"AAAAAHPe/gE=")</f>
        <v>#VALUE!</v>
      </c>
      <c r="C72" s="22" t="e">
        <f aca="false">AND(#REF!,"AAAAAHPe/gI=")</f>
        <v>#VALUE!</v>
      </c>
      <c r="D72" s="22" t="e">
        <f aca="false">AND(#REF!,"AAAAAHPe/gM=")</f>
        <v>#VALUE!</v>
      </c>
      <c r="E72" s="22" t="e">
        <f aca="false">IF(#REF!,"AAAAAHPe/gQ=",0)</f>
        <v>#REF!</v>
      </c>
      <c r="F72" s="22" t="e">
        <f aca="false">AND(#REF!,"AAAAAHPe/gU=")</f>
        <v>#VALUE!</v>
      </c>
      <c r="G72" s="22" t="e">
        <f aca="false">AND(#REF!,"AAAAAHPe/gY=")</f>
        <v>#VALUE!</v>
      </c>
      <c r="H72" s="22" t="e">
        <f aca="false">AND(#REF!,"AAAAAHPe/gc=")</f>
        <v>#VALUE!</v>
      </c>
      <c r="I72" s="22" t="e">
        <f aca="false">AND(#REF!,"AAAAAHPe/gg=")</f>
        <v>#VALUE!</v>
      </c>
      <c r="J72" s="22" t="e">
        <f aca="false">AND(#REF!,"AAAAAHPe/gk=")</f>
        <v>#VALUE!</v>
      </c>
      <c r="K72" s="22" t="e">
        <f aca="false">AND(#REF!,"AAAAAHPe/go=")</f>
        <v>#VALUE!</v>
      </c>
      <c r="L72" s="22" t="e">
        <f aca="false">AND(#REF!,"AAAAAHPe/gs=")</f>
        <v>#VALUE!</v>
      </c>
      <c r="M72" s="22" t="e">
        <f aca="false">AND(#REF!,"AAAAAHPe/gw=")</f>
        <v>#VALUE!</v>
      </c>
      <c r="N72" s="22" t="e">
        <f aca="false">IF(#REF!,"AAAAAHPe/g0=",0)</f>
        <v>#REF!</v>
      </c>
      <c r="O72" s="22" t="e">
        <f aca="false">AND(#REF!,"AAAAAHPe/g4=")</f>
        <v>#VALUE!</v>
      </c>
      <c r="P72" s="22" t="e">
        <f aca="false">AND(#REF!,"AAAAAHPe/g8=")</f>
        <v>#VALUE!</v>
      </c>
      <c r="Q72" s="22" t="e">
        <f aca="false">AND(#REF!,"AAAAAHPe/hA=")</f>
        <v>#VALUE!</v>
      </c>
      <c r="R72" s="22" t="e">
        <f aca="false">AND(#REF!,"AAAAAHPe/hE=")</f>
        <v>#VALUE!</v>
      </c>
      <c r="S72" s="22" t="e">
        <f aca="false">AND(#REF!,"AAAAAHPe/hI=")</f>
        <v>#VALUE!</v>
      </c>
      <c r="T72" s="22" t="e">
        <f aca="false">AND(#REF!,"AAAAAHPe/hM=")</f>
        <v>#VALUE!</v>
      </c>
      <c r="U72" s="22" t="e">
        <f aca="false">AND(#REF!,"AAAAAHPe/hQ=")</f>
        <v>#VALUE!</v>
      </c>
      <c r="V72" s="22" t="e">
        <f aca="false">AND(#REF!,"AAAAAHPe/hU=")</f>
        <v>#VALUE!</v>
      </c>
      <c r="W72" s="22" t="e">
        <f aca="false">IF(#REF!,"AAAAAHPe/hY=",0)</f>
        <v>#REF!</v>
      </c>
      <c r="X72" s="22" t="e">
        <f aca="false">AND(#REF!,"AAAAAHPe/hc=")</f>
        <v>#VALUE!</v>
      </c>
      <c r="Y72" s="22" t="e">
        <f aca="false">AND(#REF!,"AAAAAHPe/hg=")</f>
        <v>#VALUE!</v>
      </c>
      <c r="Z72" s="22" t="e">
        <f aca="false">AND(#REF!,"AAAAAHPe/hk=")</f>
        <v>#VALUE!</v>
      </c>
      <c r="AA72" s="22" t="e">
        <f aca="false">AND(#REF!,"AAAAAHPe/ho=")</f>
        <v>#VALUE!</v>
      </c>
      <c r="AB72" s="22" t="e">
        <f aca="false">AND(#REF!,"AAAAAHPe/hs=")</f>
        <v>#VALUE!</v>
      </c>
      <c r="AC72" s="22" t="e">
        <f aca="false">AND(#REF!,"AAAAAHPe/hw=")</f>
        <v>#VALUE!</v>
      </c>
      <c r="AD72" s="22" t="e">
        <f aca="false">AND(#REF!,"AAAAAHPe/h0=")</f>
        <v>#VALUE!</v>
      </c>
      <c r="AE72" s="22" t="e">
        <f aca="false">AND(#REF!,"AAAAAHPe/h4=")</f>
        <v>#VALUE!</v>
      </c>
      <c r="AF72" s="22" t="e">
        <f aca="false">IF(#REF!,"AAAAAHPe/h8=",0)</f>
        <v>#REF!</v>
      </c>
      <c r="AG72" s="22" t="e">
        <f aca="false">AND(#REF!,"AAAAAHPe/iA=")</f>
        <v>#VALUE!</v>
      </c>
      <c r="AH72" s="22" t="e">
        <f aca="false">AND(#REF!,"AAAAAHPe/iE=")</f>
        <v>#VALUE!</v>
      </c>
      <c r="AI72" s="22" t="e">
        <f aca="false">AND(#REF!,"AAAAAHPe/iI=")</f>
        <v>#VALUE!</v>
      </c>
      <c r="AJ72" s="22" t="e">
        <f aca="false">AND(#REF!,"AAAAAHPe/iM=")</f>
        <v>#VALUE!</v>
      </c>
      <c r="AK72" s="22" t="e">
        <f aca="false">AND(#REF!,"AAAAAHPe/iQ=")</f>
        <v>#VALUE!</v>
      </c>
      <c r="AL72" s="22" t="e">
        <f aca="false">AND(#REF!,"AAAAAHPe/iU=")</f>
        <v>#VALUE!</v>
      </c>
      <c r="AM72" s="22" t="e">
        <f aca="false">AND(#REF!,"AAAAAHPe/iY=")</f>
        <v>#VALUE!</v>
      </c>
      <c r="AN72" s="22" t="e">
        <f aca="false">AND(#REF!,"AAAAAHPe/ic=")</f>
        <v>#VALUE!</v>
      </c>
      <c r="AO72" s="22" t="e">
        <f aca="false">IF(#REF!,"AAAAAHPe/ig=",0)</f>
        <v>#REF!</v>
      </c>
      <c r="AP72" s="22" t="e">
        <f aca="false">AND(#REF!,"AAAAAHPe/ik=")</f>
        <v>#VALUE!</v>
      </c>
      <c r="AQ72" s="22" t="e">
        <f aca="false">AND(#REF!,"AAAAAHPe/io=")</f>
        <v>#VALUE!</v>
      </c>
      <c r="AR72" s="22" t="e">
        <f aca="false">AND(#REF!,"AAAAAHPe/is=")</f>
        <v>#VALUE!</v>
      </c>
      <c r="AS72" s="22" t="e">
        <f aca="false">AND(#REF!,"AAAAAHPe/iw=")</f>
        <v>#VALUE!</v>
      </c>
      <c r="AT72" s="22" t="e">
        <f aca="false">AND(#REF!,"AAAAAHPe/i0=")</f>
        <v>#VALUE!</v>
      </c>
      <c r="AU72" s="22" t="e">
        <f aca="false">AND(#REF!,"AAAAAHPe/i4=")</f>
        <v>#VALUE!</v>
      </c>
      <c r="AV72" s="22" t="e">
        <f aca="false">AND(#REF!,"AAAAAHPe/i8=")</f>
        <v>#VALUE!</v>
      </c>
      <c r="AW72" s="22" t="e">
        <f aca="false">AND(#REF!,"AAAAAHPe/jA=")</f>
        <v>#VALUE!</v>
      </c>
      <c r="AX72" s="22" t="e">
        <f aca="false">IF(#REF!,"AAAAAHPe/jE=",0)</f>
        <v>#REF!</v>
      </c>
      <c r="AY72" s="22" t="e">
        <f aca="false">AND(#REF!,"AAAAAHPe/jI=")</f>
        <v>#VALUE!</v>
      </c>
      <c r="AZ72" s="22" t="e">
        <f aca="false">AND(#REF!,"AAAAAHPe/jM=")</f>
        <v>#VALUE!</v>
      </c>
      <c r="BA72" s="22" t="e">
        <f aca="false">AND(#REF!,"AAAAAHPe/jQ=")</f>
        <v>#VALUE!</v>
      </c>
      <c r="BB72" s="22" t="e">
        <f aca="false">AND(#REF!,"AAAAAHPe/jU=")</f>
        <v>#VALUE!</v>
      </c>
      <c r="BC72" s="22" t="e">
        <f aca="false">AND(#REF!,"AAAAAHPe/jY=")</f>
        <v>#VALUE!</v>
      </c>
      <c r="BD72" s="22" t="e">
        <f aca="false">AND(#REF!,"AAAAAHPe/jc=")</f>
        <v>#VALUE!</v>
      </c>
      <c r="BE72" s="22" t="e">
        <f aca="false">AND(#REF!,"AAAAAHPe/jg=")</f>
        <v>#VALUE!</v>
      </c>
      <c r="BF72" s="22" t="e">
        <f aca="false">AND(#REF!,"AAAAAHPe/jk=")</f>
        <v>#VALUE!</v>
      </c>
      <c r="BG72" s="22" t="e">
        <f aca="false">IF(#REF!,"AAAAAHPe/jo=",0)</f>
        <v>#REF!</v>
      </c>
      <c r="BH72" s="22" t="e">
        <f aca="false">AND(#REF!,"AAAAAHPe/js=")</f>
        <v>#VALUE!</v>
      </c>
      <c r="BI72" s="22" t="e">
        <f aca="false">AND(#REF!,"AAAAAHPe/jw=")</f>
        <v>#VALUE!</v>
      </c>
      <c r="BJ72" s="22" t="e">
        <f aca="false">AND(#REF!,"AAAAAHPe/j0=")</f>
        <v>#VALUE!</v>
      </c>
      <c r="BK72" s="22" t="e">
        <f aca="false">AND(#REF!,"AAAAAHPe/j4=")</f>
        <v>#VALUE!</v>
      </c>
      <c r="BL72" s="22" t="e">
        <f aca="false">AND(#REF!,"AAAAAHPe/j8=")</f>
        <v>#VALUE!</v>
      </c>
      <c r="BM72" s="22" t="e">
        <f aca="false">AND(#REF!,"AAAAAHPe/kA=")</f>
        <v>#VALUE!</v>
      </c>
      <c r="BN72" s="22" t="e">
        <f aca="false">AND(#REF!,"AAAAAHPe/kE=")</f>
        <v>#VALUE!</v>
      </c>
      <c r="BO72" s="22" t="e">
        <f aca="false">AND(#REF!,"AAAAAHPe/kI=")</f>
        <v>#VALUE!</v>
      </c>
      <c r="BP72" s="22" t="e">
        <f aca="false">IF(#REF!,"AAAAAHPe/kM=",0)</f>
        <v>#REF!</v>
      </c>
      <c r="BQ72" s="22" t="e">
        <f aca="false">AND(#REF!,"AAAAAHPe/kQ=")</f>
        <v>#VALUE!</v>
      </c>
      <c r="BR72" s="22" t="e">
        <f aca="false">AND(#REF!,"AAAAAHPe/kU=")</f>
        <v>#VALUE!</v>
      </c>
      <c r="BS72" s="22" t="e">
        <f aca="false">AND(#REF!,"AAAAAHPe/kY=")</f>
        <v>#VALUE!</v>
      </c>
      <c r="BT72" s="22" t="e">
        <f aca="false">AND(#REF!,"AAAAAHPe/kc=")</f>
        <v>#VALUE!</v>
      </c>
      <c r="BU72" s="22" t="e">
        <f aca="false">AND(#REF!,"AAAAAHPe/kg=")</f>
        <v>#VALUE!</v>
      </c>
      <c r="BV72" s="22" t="e">
        <f aca="false">AND(#REF!,"AAAAAHPe/kk=")</f>
        <v>#VALUE!</v>
      </c>
      <c r="BW72" s="22" t="e">
        <f aca="false">AND(#REF!,"AAAAAHPe/ko=")</f>
        <v>#VALUE!</v>
      </c>
      <c r="BX72" s="22" t="e">
        <f aca="false">AND(#REF!,"AAAAAHPe/ks=")</f>
        <v>#VALUE!</v>
      </c>
      <c r="BY72" s="22" t="e">
        <f aca="false">IF(#REF!,"AAAAAHPe/kw=",0)</f>
        <v>#REF!</v>
      </c>
      <c r="BZ72" s="22" t="e">
        <f aca="false">AND(#REF!,"AAAAAHPe/k0=")</f>
        <v>#VALUE!</v>
      </c>
      <c r="CA72" s="22" t="e">
        <f aca="false">AND(#REF!,"AAAAAHPe/k4=")</f>
        <v>#VALUE!</v>
      </c>
      <c r="CB72" s="22" t="e">
        <f aca="false">AND(#REF!,"AAAAAHPe/k8=")</f>
        <v>#VALUE!</v>
      </c>
      <c r="CC72" s="22" t="e">
        <f aca="false">AND(#REF!,"AAAAAHPe/lA=")</f>
        <v>#VALUE!</v>
      </c>
      <c r="CD72" s="22" t="e">
        <f aca="false">AND(#REF!,"AAAAAHPe/lE=")</f>
        <v>#VALUE!</v>
      </c>
      <c r="CE72" s="22" t="e">
        <f aca="false">AND(#REF!,"AAAAAHPe/lI=")</f>
        <v>#VALUE!</v>
      </c>
      <c r="CF72" s="22" t="e">
        <f aca="false">AND(#REF!,"AAAAAHPe/lM=")</f>
        <v>#VALUE!</v>
      </c>
      <c r="CG72" s="22" t="e">
        <f aca="false">AND(#REF!,"AAAAAHPe/lQ=")</f>
        <v>#VALUE!</v>
      </c>
      <c r="CH72" s="22" t="e">
        <f aca="false">IF(#REF!,"AAAAAHPe/lU=",0)</f>
        <v>#REF!</v>
      </c>
      <c r="CI72" s="22" t="e">
        <f aca="false">AND(#REF!,"AAAAAHPe/lY=")</f>
        <v>#VALUE!</v>
      </c>
      <c r="CJ72" s="22" t="e">
        <f aca="false">AND(#REF!,"AAAAAHPe/lc=")</f>
        <v>#VALUE!</v>
      </c>
      <c r="CK72" s="22" t="e">
        <f aca="false">AND(#REF!,"AAAAAHPe/lg=")</f>
        <v>#VALUE!</v>
      </c>
      <c r="CL72" s="22" t="e">
        <f aca="false">AND(#REF!,"AAAAAHPe/lk=")</f>
        <v>#VALUE!</v>
      </c>
      <c r="CM72" s="22" t="e">
        <f aca="false">AND(#REF!,"AAAAAHPe/lo=")</f>
        <v>#VALUE!</v>
      </c>
      <c r="CN72" s="22" t="e">
        <f aca="false">AND(#REF!,"AAAAAHPe/ls=")</f>
        <v>#VALUE!</v>
      </c>
      <c r="CO72" s="22" t="e">
        <f aca="false">AND(#REF!,"AAAAAHPe/lw=")</f>
        <v>#VALUE!</v>
      </c>
      <c r="CP72" s="22" t="e">
        <f aca="false">AND(#REF!,"AAAAAHPe/l0=")</f>
        <v>#VALUE!</v>
      </c>
      <c r="CQ72" s="22" t="e">
        <f aca="false">IF(#REF!,"AAAAAHPe/l4=",0)</f>
        <v>#REF!</v>
      </c>
      <c r="CR72" s="22" t="e">
        <f aca="false">AND(#REF!,"AAAAAHPe/l8=")</f>
        <v>#VALUE!</v>
      </c>
      <c r="CS72" s="22" t="e">
        <f aca="false">AND(#REF!,"AAAAAHPe/mA=")</f>
        <v>#VALUE!</v>
      </c>
      <c r="CT72" s="22" t="e">
        <f aca="false">AND(#REF!,"AAAAAHPe/mE=")</f>
        <v>#VALUE!</v>
      </c>
      <c r="CU72" s="22" t="e">
        <f aca="false">AND(#REF!,"AAAAAHPe/mI=")</f>
        <v>#VALUE!</v>
      </c>
      <c r="CV72" s="22" t="e">
        <f aca="false">AND(#REF!,"AAAAAHPe/mM=")</f>
        <v>#VALUE!</v>
      </c>
      <c r="CW72" s="22" t="e">
        <f aca="false">AND(#REF!,"AAAAAHPe/mQ=")</f>
        <v>#VALUE!</v>
      </c>
      <c r="CX72" s="22" t="e">
        <f aca="false">AND(#REF!,"AAAAAHPe/mU=")</f>
        <v>#VALUE!</v>
      </c>
      <c r="CY72" s="22" t="e">
        <f aca="false">AND(#REF!,"AAAAAHPe/mY=")</f>
        <v>#VALUE!</v>
      </c>
      <c r="CZ72" s="22" t="e">
        <f aca="false">IF(#REF!,"AAAAAHPe/mc=",0)</f>
        <v>#REF!</v>
      </c>
      <c r="DA72" s="22" t="e">
        <f aca="false">AND(#REF!,"AAAAAHPe/mg=")</f>
        <v>#VALUE!</v>
      </c>
      <c r="DB72" s="22" t="e">
        <f aca="false">AND(#REF!,"AAAAAHPe/mk=")</f>
        <v>#VALUE!</v>
      </c>
      <c r="DC72" s="22" t="e">
        <f aca="false">AND(#REF!,"AAAAAHPe/mo=")</f>
        <v>#VALUE!</v>
      </c>
      <c r="DD72" s="22" t="e">
        <f aca="false">AND(#REF!,"AAAAAHPe/ms=")</f>
        <v>#VALUE!</v>
      </c>
      <c r="DE72" s="22" t="e">
        <f aca="false">AND(#REF!,"AAAAAHPe/mw=")</f>
        <v>#VALUE!</v>
      </c>
      <c r="DF72" s="22" t="e">
        <f aca="false">AND(#REF!,"AAAAAHPe/m0=")</f>
        <v>#VALUE!</v>
      </c>
      <c r="DG72" s="22" t="e">
        <f aca="false">AND(#REF!,"AAAAAHPe/m4=")</f>
        <v>#VALUE!</v>
      </c>
      <c r="DH72" s="22" t="e">
        <f aca="false">AND(#REF!,"AAAAAHPe/m8=")</f>
        <v>#VALUE!</v>
      </c>
      <c r="DI72" s="22" t="e">
        <f aca="false">IF(#REF!,"AAAAAHPe/nA=",0)</f>
        <v>#REF!</v>
      </c>
      <c r="DJ72" s="22" t="e">
        <f aca="false">AND(#REF!,"AAAAAHPe/nE=")</f>
        <v>#VALUE!</v>
      </c>
      <c r="DK72" s="22" t="e">
        <f aca="false">AND(#REF!,"AAAAAHPe/nI=")</f>
        <v>#VALUE!</v>
      </c>
      <c r="DL72" s="22" t="e">
        <f aca="false">AND(#REF!,"AAAAAHPe/nM=")</f>
        <v>#VALUE!</v>
      </c>
      <c r="DM72" s="22" t="e">
        <f aca="false">AND(#REF!,"AAAAAHPe/nQ=")</f>
        <v>#VALUE!</v>
      </c>
      <c r="DN72" s="22" t="e">
        <f aca="false">AND(#REF!,"AAAAAHPe/nU=")</f>
        <v>#VALUE!</v>
      </c>
      <c r="DO72" s="22" t="e">
        <f aca="false">AND(#REF!,"AAAAAHPe/nY=")</f>
        <v>#VALUE!</v>
      </c>
      <c r="DP72" s="22" t="e">
        <f aca="false">AND(#REF!,"AAAAAHPe/nc=")</f>
        <v>#VALUE!</v>
      </c>
      <c r="DQ72" s="22" t="e">
        <f aca="false">AND(#REF!,"AAAAAHPe/ng=")</f>
        <v>#VALUE!</v>
      </c>
      <c r="DR72" s="22" t="e">
        <f aca="false">IF(#REF!,"AAAAAHPe/nk=",0)</f>
        <v>#REF!</v>
      </c>
      <c r="DS72" s="22" t="e">
        <f aca="false">AND(#REF!,"AAAAAHPe/no=")</f>
        <v>#VALUE!</v>
      </c>
      <c r="DT72" s="22" t="e">
        <f aca="false">AND(#REF!,"AAAAAHPe/ns=")</f>
        <v>#VALUE!</v>
      </c>
      <c r="DU72" s="22" t="e">
        <f aca="false">AND(#REF!,"AAAAAHPe/nw=")</f>
        <v>#VALUE!</v>
      </c>
      <c r="DV72" s="22" t="e">
        <f aca="false">AND(#REF!,"AAAAAHPe/n0=")</f>
        <v>#VALUE!</v>
      </c>
      <c r="DW72" s="22" t="e">
        <f aca="false">AND(#REF!,"AAAAAHPe/n4=")</f>
        <v>#VALUE!</v>
      </c>
      <c r="DX72" s="22" t="e">
        <f aca="false">AND(#REF!,"AAAAAHPe/n8=")</f>
        <v>#VALUE!</v>
      </c>
      <c r="DY72" s="22" t="e">
        <f aca="false">AND(#REF!,"AAAAAHPe/oA=")</f>
        <v>#VALUE!</v>
      </c>
      <c r="DZ72" s="22" t="e">
        <f aca="false">AND(#REF!,"AAAAAHPe/oE=")</f>
        <v>#VALUE!</v>
      </c>
      <c r="EA72" s="22" t="e">
        <f aca="false">IF(#REF!,"AAAAAHPe/oI=",0)</f>
        <v>#REF!</v>
      </c>
      <c r="EB72" s="22" t="e">
        <f aca="false">AND(#REF!,"AAAAAHPe/oM=")</f>
        <v>#VALUE!</v>
      </c>
      <c r="EC72" s="22" t="e">
        <f aca="false">AND(#REF!,"AAAAAHPe/oQ=")</f>
        <v>#VALUE!</v>
      </c>
      <c r="ED72" s="22" t="e">
        <f aca="false">AND(#REF!,"AAAAAHPe/oU=")</f>
        <v>#VALUE!</v>
      </c>
      <c r="EE72" s="22" t="e">
        <f aca="false">AND(#REF!,"AAAAAHPe/oY=")</f>
        <v>#VALUE!</v>
      </c>
      <c r="EF72" s="22" t="e">
        <f aca="false">AND(#REF!,"AAAAAHPe/oc=")</f>
        <v>#VALUE!</v>
      </c>
      <c r="EG72" s="22" t="e">
        <f aca="false">AND(#REF!,"AAAAAHPe/og=")</f>
        <v>#VALUE!</v>
      </c>
      <c r="EH72" s="22" t="e">
        <f aca="false">AND(#REF!,"AAAAAHPe/ok=")</f>
        <v>#VALUE!</v>
      </c>
      <c r="EI72" s="22" t="e">
        <f aca="false">AND(#REF!,"AAAAAHPe/oo=")</f>
        <v>#VALUE!</v>
      </c>
      <c r="EJ72" s="22" t="e">
        <f aca="false">IF(#REF!,"AAAAAHPe/os=",0)</f>
        <v>#REF!</v>
      </c>
      <c r="EK72" s="22" t="e">
        <f aca="false">AND(#REF!,"AAAAAHPe/ow=")</f>
        <v>#VALUE!</v>
      </c>
      <c r="EL72" s="22" t="e">
        <f aca="false">AND(#REF!,"AAAAAHPe/o0=")</f>
        <v>#VALUE!</v>
      </c>
      <c r="EM72" s="22" t="e">
        <f aca="false">AND(#REF!,"AAAAAHPe/o4=")</f>
        <v>#VALUE!</v>
      </c>
      <c r="EN72" s="22" t="e">
        <f aca="false">AND(#REF!,"AAAAAHPe/o8=")</f>
        <v>#VALUE!</v>
      </c>
      <c r="EO72" s="22" t="e">
        <f aca="false">AND(#REF!,"AAAAAHPe/pA=")</f>
        <v>#VALUE!</v>
      </c>
      <c r="EP72" s="22" t="e">
        <f aca="false">AND(#REF!,"AAAAAHPe/pE=")</f>
        <v>#VALUE!</v>
      </c>
      <c r="EQ72" s="22" t="e">
        <f aca="false">AND(#REF!,"AAAAAHPe/pI=")</f>
        <v>#VALUE!</v>
      </c>
      <c r="ER72" s="22" t="e">
        <f aca="false">AND(#REF!,"AAAAAHPe/pM=")</f>
        <v>#VALUE!</v>
      </c>
      <c r="ES72" s="22" t="e">
        <f aca="false">IF(#REF!,"AAAAAHPe/pQ=",0)</f>
        <v>#REF!</v>
      </c>
      <c r="ET72" s="22" t="e">
        <f aca="false">AND(#REF!,"AAAAAHPe/pU=")</f>
        <v>#VALUE!</v>
      </c>
      <c r="EU72" s="22" t="e">
        <f aca="false">AND(#REF!,"AAAAAHPe/pY=")</f>
        <v>#VALUE!</v>
      </c>
      <c r="EV72" s="22" t="e">
        <f aca="false">AND(#REF!,"AAAAAHPe/pc=")</f>
        <v>#VALUE!</v>
      </c>
      <c r="EW72" s="22" t="e">
        <f aca="false">AND(#REF!,"AAAAAHPe/pg=")</f>
        <v>#VALUE!</v>
      </c>
      <c r="EX72" s="22" t="e">
        <f aca="false">AND(#REF!,"AAAAAHPe/pk=")</f>
        <v>#VALUE!</v>
      </c>
      <c r="EY72" s="22" t="e">
        <f aca="false">AND(#REF!,"AAAAAHPe/po=")</f>
        <v>#VALUE!</v>
      </c>
      <c r="EZ72" s="22" t="e">
        <f aca="false">AND(#REF!,"AAAAAHPe/ps=")</f>
        <v>#VALUE!</v>
      </c>
      <c r="FA72" s="22" t="e">
        <f aca="false">AND(#REF!,"AAAAAHPe/pw=")</f>
        <v>#VALUE!</v>
      </c>
      <c r="FB72" s="22" t="e">
        <f aca="false">IF(#REF!,"AAAAAHPe/p0=",0)</f>
        <v>#REF!</v>
      </c>
      <c r="FC72" s="22" t="e">
        <f aca="false">AND(#REF!,"AAAAAHPe/p4=")</f>
        <v>#VALUE!</v>
      </c>
      <c r="FD72" s="22" t="e">
        <f aca="false">AND(#REF!,"AAAAAHPe/p8=")</f>
        <v>#VALUE!</v>
      </c>
      <c r="FE72" s="22" t="e">
        <f aca="false">AND(#REF!,"AAAAAHPe/qA=")</f>
        <v>#VALUE!</v>
      </c>
      <c r="FF72" s="22" t="e">
        <f aca="false">AND(#REF!,"AAAAAHPe/qE=")</f>
        <v>#VALUE!</v>
      </c>
      <c r="FG72" s="22" t="e">
        <f aca="false">AND(#REF!,"AAAAAHPe/qI=")</f>
        <v>#VALUE!</v>
      </c>
      <c r="FH72" s="22" t="e">
        <f aca="false">AND(#REF!,"AAAAAHPe/qM=")</f>
        <v>#VALUE!</v>
      </c>
      <c r="FI72" s="22" t="e">
        <f aca="false">AND(#REF!,"AAAAAHPe/qQ=")</f>
        <v>#VALUE!</v>
      </c>
      <c r="FJ72" s="22" t="e">
        <f aca="false">AND(#REF!,"AAAAAHPe/qU=")</f>
        <v>#VALUE!</v>
      </c>
      <c r="FK72" s="22" t="e">
        <f aca="false">IF(#REF!,"AAAAAHPe/qY=",0)</f>
        <v>#REF!</v>
      </c>
      <c r="FL72" s="22" t="e">
        <f aca="false">AND(#REF!,"AAAAAHPe/qc=")</f>
        <v>#VALUE!</v>
      </c>
      <c r="FM72" s="22" t="e">
        <f aca="false">AND(#REF!,"AAAAAHPe/qg=")</f>
        <v>#VALUE!</v>
      </c>
      <c r="FN72" s="22" t="e">
        <f aca="false">AND(#REF!,"AAAAAHPe/qk=")</f>
        <v>#VALUE!</v>
      </c>
      <c r="FO72" s="22" t="e">
        <f aca="false">AND(#REF!,"AAAAAHPe/qo=")</f>
        <v>#VALUE!</v>
      </c>
      <c r="FP72" s="22" t="e">
        <f aca="false">AND(#REF!,"AAAAAHPe/qs=")</f>
        <v>#VALUE!</v>
      </c>
      <c r="FQ72" s="22" t="e">
        <f aca="false">AND(#REF!,"AAAAAHPe/qw=")</f>
        <v>#VALUE!</v>
      </c>
      <c r="FR72" s="22" t="e">
        <f aca="false">AND(#REF!,"AAAAAHPe/q0=")</f>
        <v>#VALUE!</v>
      </c>
      <c r="FS72" s="22" t="e">
        <f aca="false">AND(#REF!,"AAAAAHPe/q4=")</f>
        <v>#VALUE!</v>
      </c>
      <c r="FT72" s="22" t="e">
        <f aca="false">IF(#REF!,"AAAAAHPe/q8=",0)</f>
        <v>#REF!</v>
      </c>
      <c r="FU72" s="22" t="e">
        <f aca="false">AND(#REF!,"AAAAAHPe/rA=")</f>
        <v>#VALUE!</v>
      </c>
      <c r="FV72" s="22" t="e">
        <f aca="false">AND(#REF!,"AAAAAHPe/rE=")</f>
        <v>#VALUE!</v>
      </c>
      <c r="FW72" s="22" t="e">
        <f aca="false">AND(#REF!,"AAAAAHPe/rI=")</f>
        <v>#VALUE!</v>
      </c>
      <c r="FX72" s="22" t="e">
        <f aca="false">AND(#REF!,"AAAAAHPe/rM=")</f>
        <v>#VALUE!</v>
      </c>
      <c r="FY72" s="22" t="e">
        <f aca="false">AND(#REF!,"AAAAAHPe/rQ=")</f>
        <v>#VALUE!</v>
      </c>
      <c r="FZ72" s="22" t="e">
        <f aca="false">AND(#REF!,"AAAAAHPe/rU=")</f>
        <v>#VALUE!</v>
      </c>
      <c r="GA72" s="22" t="e">
        <f aca="false">AND(#REF!,"AAAAAHPe/rY=")</f>
        <v>#VALUE!</v>
      </c>
      <c r="GB72" s="22" t="e">
        <f aca="false">AND(#REF!,"AAAAAHPe/rc=")</f>
        <v>#VALUE!</v>
      </c>
      <c r="GC72" s="22" t="e">
        <f aca="false">IF(#REF!,"AAAAAHPe/rg=",0)</f>
        <v>#REF!</v>
      </c>
      <c r="GD72" s="22" t="e">
        <f aca="false">AND(#REF!,"AAAAAHPe/rk=")</f>
        <v>#VALUE!</v>
      </c>
      <c r="GE72" s="22" t="e">
        <f aca="false">AND(#REF!,"AAAAAHPe/ro=")</f>
        <v>#VALUE!</v>
      </c>
      <c r="GF72" s="22" t="e">
        <f aca="false">AND(#REF!,"AAAAAHPe/rs=")</f>
        <v>#VALUE!</v>
      </c>
      <c r="GG72" s="22" t="e">
        <f aca="false">AND(#REF!,"AAAAAHPe/rw=")</f>
        <v>#VALUE!</v>
      </c>
      <c r="GH72" s="22" t="e">
        <f aca="false">AND(#REF!,"AAAAAHPe/r0=")</f>
        <v>#VALUE!</v>
      </c>
      <c r="GI72" s="22" t="e">
        <f aca="false">AND(#REF!,"AAAAAHPe/r4=")</f>
        <v>#VALUE!</v>
      </c>
      <c r="GJ72" s="22" t="e">
        <f aca="false">AND(#REF!,"AAAAAHPe/r8=")</f>
        <v>#VALUE!</v>
      </c>
      <c r="GK72" s="22" t="e">
        <f aca="false">AND(#REF!,"AAAAAHPe/sA=")</f>
        <v>#VALUE!</v>
      </c>
      <c r="GL72" s="22" t="e">
        <f aca="false">IF(#REF!,"AAAAAHPe/sE=",0)</f>
        <v>#REF!</v>
      </c>
      <c r="GM72" s="22" t="e">
        <f aca="false">AND(#REF!,"AAAAAHPe/sI=")</f>
        <v>#VALUE!</v>
      </c>
      <c r="GN72" s="22" t="e">
        <f aca="false">AND(#REF!,"AAAAAHPe/sM=")</f>
        <v>#VALUE!</v>
      </c>
      <c r="GO72" s="22" t="e">
        <f aca="false">AND(#REF!,"AAAAAHPe/sQ=")</f>
        <v>#VALUE!</v>
      </c>
      <c r="GP72" s="22" t="e">
        <f aca="false">AND(#REF!,"AAAAAHPe/sU=")</f>
        <v>#VALUE!</v>
      </c>
      <c r="GQ72" s="22" t="e">
        <f aca="false">AND(#REF!,"AAAAAHPe/sY=")</f>
        <v>#VALUE!</v>
      </c>
      <c r="GR72" s="22" t="e">
        <f aca="false">AND(#REF!,"AAAAAHPe/sc=")</f>
        <v>#VALUE!</v>
      </c>
      <c r="GS72" s="22" t="e">
        <f aca="false">AND(#REF!,"AAAAAHPe/sg=")</f>
        <v>#VALUE!</v>
      </c>
      <c r="GT72" s="22" t="e">
        <f aca="false">AND(#REF!,"AAAAAHPe/sk=")</f>
        <v>#VALUE!</v>
      </c>
      <c r="GU72" s="22" t="e">
        <f aca="false">IF(#REF!,"AAAAAHPe/so=",0)</f>
        <v>#REF!</v>
      </c>
      <c r="GV72" s="22" t="e">
        <f aca="false">AND(#REF!,"AAAAAHPe/ss=")</f>
        <v>#VALUE!</v>
      </c>
      <c r="GW72" s="22" t="e">
        <f aca="false">AND(#REF!,"AAAAAHPe/sw=")</f>
        <v>#VALUE!</v>
      </c>
      <c r="GX72" s="22" t="e">
        <f aca="false">AND(#REF!,"AAAAAHPe/s0=")</f>
        <v>#VALUE!</v>
      </c>
      <c r="GY72" s="22" t="e">
        <f aca="false">AND(#REF!,"AAAAAHPe/s4=")</f>
        <v>#VALUE!</v>
      </c>
      <c r="GZ72" s="22" t="e">
        <f aca="false">AND(#REF!,"AAAAAHPe/s8=")</f>
        <v>#VALUE!</v>
      </c>
      <c r="HA72" s="22" t="e">
        <f aca="false">AND(#REF!,"AAAAAHPe/tA=")</f>
        <v>#VALUE!</v>
      </c>
      <c r="HB72" s="22" t="e">
        <f aca="false">AND(#REF!,"AAAAAHPe/tE=")</f>
        <v>#VALUE!</v>
      </c>
      <c r="HC72" s="22" t="e">
        <f aca="false">AND(#REF!,"AAAAAHPe/tI=")</f>
        <v>#VALUE!</v>
      </c>
      <c r="HD72" s="22" t="e">
        <f aca="false">IF(#REF!,"AAAAAHPe/tM=",0)</f>
        <v>#REF!</v>
      </c>
      <c r="HE72" s="22" t="e">
        <f aca="false">AND(#REF!,"AAAAAHPe/tQ=")</f>
        <v>#VALUE!</v>
      </c>
      <c r="HF72" s="22" t="e">
        <f aca="false">AND(#REF!,"AAAAAHPe/tU=")</f>
        <v>#VALUE!</v>
      </c>
      <c r="HG72" s="22" t="e">
        <f aca="false">AND(#REF!,"AAAAAHPe/tY=")</f>
        <v>#VALUE!</v>
      </c>
      <c r="HH72" s="22" t="e">
        <f aca="false">AND(#REF!,"AAAAAHPe/tc=")</f>
        <v>#VALUE!</v>
      </c>
      <c r="HI72" s="22" t="e">
        <f aca="false">AND(#REF!,"AAAAAHPe/tg=")</f>
        <v>#VALUE!</v>
      </c>
      <c r="HJ72" s="22" t="e">
        <f aca="false">AND(#REF!,"AAAAAHPe/tk=")</f>
        <v>#VALUE!</v>
      </c>
      <c r="HK72" s="22" t="e">
        <f aca="false">AND(#REF!,"AAAAAHPe/to=")</f>
        <v>#VALUE!</v>
      </c>
      <c r="HL72" s="22" t="e">
        <f aca="false">AND(#REF!,"AAAAAHPe/ts=")</f>
        <v>#VALUE!</v>
      </c>
      <c r="HM72" s="22" t="e">
        <f aca="false">IF(#REF!,"AAAAAHPe/tw=",0)</f>
        <v>#REF!</v>
      </c>
      <c r="HN72" s="22" t="e">
        <f aca="false">AND(#REF!,"AAAAAHPe/t0=")</f>
        <v>#VALUE!</v>
      </c>
      <c r="HO72" s="22" t="e">
        <f aca="false">AND(#REF!,"AAAAAHPe/t4=")</f>
        <v>#VALUE!</v>
      </c>
      <c r="HP72" s="22" t="e">
        <f aca="false">AND(#REF!,"AAAAAHPe/t8=")</f>
        <v>#VALUE!</v>
      </c>
      <c r="HQ72" s="22" t="e">
        <f aca="false">AND(#REF!,"AAAAAHPe/uA=")</f>
        <v>#VALUE!</v>
      </c>
      <c r="HR72" s="22" t="e">
        <f aca="false">AND(#REF!,"AAAAAHPe/uE=")</f>
        <v>#VALUE!</v>
      </c>
      <c r="HS72" s="22" t="e">
        <f aca="false">AND(#REF!,"AAAAAHPe/uI=")</f>
        <v>#VALUE!</v>
      </c>
      <c r="HT72" s="22" t="e">
        <f aca="false">AND(#REF!,"AAAAAHPe/uM=")</f>
        <v>#VALUE!</v>
      </c>
      <c r="HU72" s="22" t="e">
        <f aca="false">AND(#REF!,"AAAAAHPe/uQ=")</f>
        <v>#VALUE!</v>
      </c>
      <c r="HV72" s="22" t="e">
        <f aca="false">IF(#REF!,"AAAAAHPe/uU=",0)</f>
        <v>#REF!</v>
      </c>
      <c r="HW72" s="22" t="e">
        <f aca="false">AND(#REF!,"AAAAAHPe/uY=")</f>
        <v>#VALUE!</v>
      </c>
      <c r="HX72" s="22" t="e">
        <f aca="false">AND(#REF!,"AAAAAHPe/uc=")</f>
        <v>#VALUE!</v>
      </c>
      <c r="HY72" s="22" t="e">
        <f aca="false">AND(#REF!,"AAAAAHPe/ug=")</f>
        <v>#VALUE!</v>
      </c>
      <c r="HZ72" s="22" t="e">
        <f aca="false">AND(#REF!,"AAAAAHPe/uk=")</f>
        <v>#VALUE!</v>
      </c>
      <c r="IA72" s="22" t="e">
        <f aca="false">AND(#REF!,"AAAAAHPe/uo=")</f>
        <v>#VALUE!</v>
      </c>
      <c r="IB72" s="22" t="e">
        <f aca="false">AND(#REF!,"AAAAAHPe/us=")</f>
        <v>#VALUE!</v>
      </c>
      <c r="IC72" s="22" t="e">
        <f aca="false">AND(#REF!,"AAAAAHPe/uw=")</f>
        <v>#VALUE!</v>
      </c>
      <c r="ID72" s="22" t="e">
        <f aca="false">AND(#REF!,"AAAAAHPe/u0=")</f>
        <v>#VALUE!</v>
      </c>
      <c r="IE72" s="22" t="e">
        <f aca="false">IF(#REF!,"AAAAAHPe/u4=",0)</f>
        <v>#REF!</v>
      </c>
      <c r="IF72" s="22" t="e">
        <f aca="false">AND(#REF!,"AAAAAHPe/u8=")</f>
        <v>#VALUE!</v>
      </c>
      <c r="IG72" s="22" t="e">
        <f aca="false">AND(#REF!,"AAAAAHPe/vA=")</f>
        <v>#VALUE!</v>
      </c>
      <c r="IH72" s="22" t="e">
        <f aca="false">AND(#REF!,"AAAAAHPe/vE=")</f>
        <v>#VALUE!</v>
      </c>
      <c r="II72" s="22" t="e">
        <f aca="false">AND(#REF!,"AAAAAHPe/vI=")</f>
        <v>#VALUE!</v>
      </c>
      <c r="IJ72" s="22" t="e">
        <f aca="false">AND(#REF!,"AAAAAHPe/vM=")</f>
        <v>#VALUE!</v>
      </c>
      <c r="IK72" s="22" t="e">
        <f aca="false">AND(#REF!,"AAAAAHPe/vQ=")</f>
        <v>#VALUE!</v>
      </c>
      <c r="IL72" s="22" t="e">
        <f aca="false">AND(#REF!,"AAAAAHPe/vU=")</f>
        <v>#VALUE!</v>
      </c>
      <c r="IM72" s="22" t="e">
        <f aca="false">AND(#REF!,"AAAAAHPe/vY=")</f>
        <v>#VALUE!</v>
      </c>
      <c r="IN72" s="22" t="e">
        <f aca="false">IF(#REF!,"AAAAAHPe/vc=",0)</f>
        <v>#REF!</v>
      </c>
      <c r="IO72" s="22" t="e">
        <f aca="false">AND(#REF!,"AAAAAHPe/vg=")</f>
        <v>#VALUE!</v>
      </c>
      <c r="IP72" s="22" t="e">
        <f aca="false">AND(#REF!,"AAAAAHPe/vk=")</f>
        <v>#VALUE!</v>
      </c>
      <c r="IQ72" s="22" t="e">
        <f aca="false">AND(#REF!,"AAAAAHPe/vo=")</f>
        <v>#VALUE!</v>
      </c>
      <c r="IR72" s="22" t="e">
        <f aca="false">AND(#REF!,"AAAAAHPe/vs=")</f>
        <v>#VALUE!</v>
      </c>
      <c r="IS72" s="22" t="e">
        <f aca="false">AND(#REF!,"AAAAAHPe/vw=")</f>
        <v>#VALUE!</v>
      </c>
      <c r="IT72" s="22" t="e">
        <f aca="false">AND(#REF!,"AAAAAHPe/v0=")</f>
        <v>#VALUE!</v>
      </c>
      <c r="IU72" s="22" t="e">
        <f aca="false">AND(#REF!,"AAAAAHPe/v4=")</f>
        <v>#VALUE!</v>
      </c>
      <c r="IV72" s="22" t="e">
        <f aca="false">AND(#REF!,"AAAAAHPe/v8=")</f>
        <v>#VALUE!</v>
      </c>
    </row>
    <row r="73" customFormat="false" ht="12.75" hidden="false" customHeight="false" outlineLevel="0" collapsed="false">
      <c r="A73" s="22" t="e">
        <f aca="false">IF(#REF!,"AAAAAH+77AA=",0)</f>
        <v>#REF!</v>
      </c>
      <c r="B73" s="22" t="e">
        <f aca="false">AND(#REF!,"AAAAAH+77AE=")</f>
        <v>#VALUE!</v>
      </c>
      <c r="C73" s="22" t="e">
        <f aca="false">AND(#REF!,"AAAAAH+77AI=")</f>
        <v>#VALUE!</v>
      </c>
      <c r="D73" s="22" t="e">
        <f aca="false">AND(#REF!,"AAAAAH+77AM=")</f>
        <v>#VALUE!</v>
      </c>
      <c r="E73" s="22" t="e">
        <f aca="false">AND(#REF!,"AAAAAH+77AQ=")</f>
        <v>#VALUE!</v>
      </c>
      <c r="F73" s="22" t="e">
        <f aca="false">AND(#REF!,"AAAAAH+77AU=")</f>
        <v>#VALUE!</v>
      </c>
      <c r="G73" s="22" t="e">
        <f aca="false">AND(#REF!,"AAAAAH+77AY=")</f>
        <v>#VALUE!</v>
      </c>
      <c r="H73" s="22" t="e">
        <f aca="false">AND(#REF!,"AAAAAH+77Ac=")</f>
        <v>#VALUE!</v>
      </c>
      <c r="I73" s="22" t="e">
        <f aca="false">AND(#REF!,"AAAAAH+77Ag=")</f>
        <v>#VALUE!</v>
      </c>
      <c r="J73" s="22" t="e">
        <f aca="false">IF(#REF!,"AAAAAH+77Ak=",0)</f>
        <v>#REF!</v>
      </c>
      <c r="K73" s="22" t="e">
        <f aca="false">AND(#REF!,"AAAAAH+77Ao=")</f>
        <v>#VALUE!</v>
      </c>
      <c r="L73" s="22" t="e">
        <f aca="false">AND(#REF!,"AAAAAH+77As=")</f>
        <v>#VALUE!</v>
      </c>
      <c r="M73" s="22" t="e">
        <f aca="false">AND(#REF!,"AAAAAH+77Aw=")</f>
        <v>#VALUE!</v>
      </c>
      <c r="N73" s="22" t="e">
        <f aca="false">AND(#REF!,"AAAAAH+77A0=")</f>
        <v>#VALUE!</v>
      </c>
      <c r="O73" s="22" t="e">
        <f aca="false">AND(#REF!,"AAAAAH+77A4=")</f>
        <v>#VALUE!</v>
      </c>
      <c r="P73" s="22" t="e">
        <f aca="false">AND(#REF!,"AAAAAH+77A8=")</f>
        <v>#VALUE!</v>
      </c>
      <c r="Q73" s="22" t="e">
        <f aca="false">AND(#REF!,"AAAAAH+77BA=")</f>
        <v>#VALUE!</v>
      </c>
      <c r="R73" s="22" t="e">
        <f aca="false">AND(#REF!,"AAAAAH+77BE=")</f>
        <v>#VALUE!</v>
      </c>
      <c r="S73" s="22" t="e">
        <f aca="false">IF(#REF!,"AAAAAH+77BI=",0)</f>
        <v>#REF!</v>
      </c>
      <c r="T73" s="22" t="e">
        <f aca="false">AND(#REF!,"AAAAAH+77BM=")</f>
        <v>#VALUE!</v>
      </c>
      <c r="U73" s="22" t="e">
        <f aca="false">AND(#REF!,"AAAAAH+77BQ=")</f>
        <v>#VALUE!</v>
      </c>
      <c r="V73" s="22" t="e">
        <f aca="false">AND(#REF!,"AAAAAH+77BU=")</f>
        <v>#VALUE!</v>
      </c>
      <c r="W73" s="22" t="e">
        <f aca="false">AND(#REF!,"AAAAAH+77BY=")</f>
        <v>#VALUE!</v>
      </c>
      <c r="X73" s="22" t="e">
        <f aca="false">AND(#REF!,"AAAAAH+77Bc=")</f>
        <v>#VALUE!</v>
      </c>
      <c r="Y73" s="22" t="e">
        <f aca="false">AND(#REF!,"AAAAAH+77Bg=")</f>
        <v>#VALUE!</v>
      </c>
      <c r="Z73" s="22" t="e">
        <f aca="false">AND(#REF!,"AAAAAH+77Bk=")</f>
        <v>#VALUE!</v>
      </c>
      <c r="AA73" s="22" t="e">
        <f aca="false">AND(#REF!,"AAAAAH+77Bo=")</f>
        <v>#VALUE!</v>
      </c>
      <c r="AB73" s="22" t="e">
        <f aca="false">IF(#REF!,"AAAAAH+77Bs=",0)</f>
        <v>#REF!</v>
      </c>
      <c r="AC73" s="22" t="e">
        <f aca="false">AND(#REF!,"AAAAAH+77Bw=")</f>
        <v>#VALUE!</v>
      </c>
      <c r="AD73" s="22" t="e">
        <f aca="false">AND(#REF!,"AAAAAH+77B0=")</f>
        <v>#VALUE!</v>
      </c>
      <c r="AE73" s="22" t="e">
        <f aca="false">AND(#REF!,"AAAAAH+77B4=")</f>
        <v>#VALUE!</v>
      </c>
      <c r="AF73" s="22" t="e">
        <f aca="false">AND(#REF!,"AAAAAH+77B8=")</f>
        <v>#VALUE!</v>
      </c>
      <c r="AG73" s="22" t="e">
        <f aca="false">AND(#REF!,"AAAAAH+77CA=")</f>
        <v>#VALUE!</v>
      </c>
      <c r="AH73" s="22" t="e">
        <f aca="false">AND(#REF!,"AAAAAH+77CE=")</f>
        <v>#VALUE!</v>
      </c>
      <c r="AI73" s="22" t="e">
        <f aca="false">AND(#REF!,"AAAAAH+77CI=")</f>
        <v>#VALUE!</v>
      </c>
      <c r="AJ73" s="22" t="e">
        <f aca="false">AND(#REF!,"AAAAAH+77CM=")</f>
        <v>#VALUE!</v>
      </c>
      <c r="AK73" s="22" t="e">
        <f aca="false">IF(#REF!,"AAAAAH+77CQ=",0)</f>
        <v>#REF!</v>
      </c>
      <c r="AL73" s="22" t="e">
        <f aca="false">AND(#REF!,"AAAAAH+77CU=")</f>
        <v>#VALUE!</v>
      </c>
      <c r="AM73" s="22" t="e">
        <f aca="false">AND(#REF!,"AAAAAH+77CY=")</f>
        <v>#VALUE!</v>
      </c>
      <c r="AN73" s="22" t="e">
        <f aca="false">AND(#REF!,"AAAAAH+77Cc=")</f>
        <v>#VALUE!</v>
      </c>
      <c r="AO73" s="22" t="e">
        <f aca="false">AND(#REF!,"AAAAAH+77Cg=")</f>
        <v>#VALUE!</v>
      </c>
      <c r="AP73" s="22" t="e">
        <f aca="false">AND(#REF!,"AAAAAH+77Ck=")</f>
        <v>#VALUE!</v>
      </c>
      <c r="AQ73" s="22" t="e">
        <f aca="false">AND(#REF!,"AAAAAH+77Co=")</f>
        <v>#VALUE!</v>
      </c>
      <c r="AR73" s="22" t="e">
        <f aca="false">AND(#REF!,"AAAAAH+77Cs=")</f>
        <v>#VALUE!</v>
      </c>
      <c r="AS73" s="22" t="e">
        <f aca="false">AND(#REF!,"AAAAAH+77Cw=")</f>
        <v>#VALUE!</v>
      </c>
      <c r="AT73" s="22" t="e">
        <f aca="false">IF(#REF!,"AAAAAH+77C0=",0)</f>
        <v>#REF!</v>
      </c>
      <c r="AU73" s="22" t="e">
        <f aca="false">AND(#REF!,"AAAAAH+77C4=")</f>
        <v>#VALUE!</v>
      </c>
      <c r="AV73" s="22" t="e">
        <f aca="false">AND(#REF!,"AAAAAH+77C8=")</f>
        <v>#VALUE!</v>
      </c>
      <c r="AW73" s="22" t="e">
        <f aca="false">AND(#REF!,"AAAAAH+77DA=")</f>
        <v>#VALUE!</v>
      </c>
      <c r="AX73" s="22" t="e">
        <f aca="false">AND(#REF!,"AAAAAH+77DE=")</f>
        <v>#VALUE!</v>
      </c>
      <c r="AY73" s="22" t="e">
        <f aca="false">AND(#REF!,"AAAAAH+77DI=")</f>
        <v>#VALUE!</v>
      </c>
      <c r="AZ73" s="22" t="e">
        <f aca="false">AND(#REF!,"AAAAAH+77DM=")</f>
        <v>#VALUE!</v>
      </c>
      <c r="BA73" s="22" t="e">
        <f aca="false">AND(#REF!,"AAAAAH+77DQ=")</f>
        <v>#VALUE!</v>
      </c>
      <c r="BB73" s="22" t="e">
        <f aca="false">AND(#REF!,"AAAAAH+77DU=")</f>
        <v>#VALUE!</v>
      </c>
      <c r="BC73" s="22" t="e">
        <f aca="false">IF(#REF!,"AAAAAH+77DY=",0)</f>
        <v>#REF!</v>
      </c>
      <c r="BD73" s="22" t="e">
        <f aca="false">AND(#REF!,"AAAAAH+77Dc=")</f>
        <v>#VALUE!</v>
      </c>
      <c r="BE73" s="22" t="e">
        <f aca="false">AND(#REF!,"AAAAAH+77Dg=")</f>
        <v>#VALUE!</v>
      </c>
      <c r="BF73" s="22" t="e">
        <f aca="false">AND(#REF!,"AAAAAH+77Dk=")</f>
        <v>#VALUE!</v>
      </c>
      <c r="BG73" s="22" t="e">
        <f aca="false">AND(#REF!,"AAAAAH+77Do=")</f>
        <v>#VALUE!</v>
      </c>
      <c r="BH73" s="22" t="e">
        <f aca="false">AND(#REF!,"AAAAAH+77Ds=")</f>
        <v>#VALUE!</v>
      </c>
      <c r="BI73" s="22" t="e">
        <f aca="false">AND(#REF!,"AAAAAH+77Dw=")</f>
        <v>#VALUE!</v>
      </c>
      <c r="BJ73" s="22" t="e">
        <f aca="false">AND(#REF!,"AAAAAH+77D0=")</f>
        <v>#VALUE!</v>
      </c>
      <c r="BK73" s="22" t="e">
        <f aca="false">AND(#REF!,"AAAAAH+77D4=")</f>
        <v>#VALUE!</v>
      </c>
      <c r="BL73" s="22" t="e">
        <f aca="false">IF(#REF!,"AAAAAH+77D8=",0)</f>
        <v>#REF!</v>
      </c>
      <c r="BM73" s="22" t="e">
        <f aca="false">AND(#REF!,"AAAAAH+77EA=")</f>
        <v>#VALUE!</v>
      </c>
      <c r="BN73" s="22" t="e">
        <f aca="false">AND(#REF!,"AAAAAH+77EE=")</f>
        <v>#VALUE!</v>
      </c>
      <c r="BO73" s="22" t="e">
        <f aca="false">AND(#REF!,"AAAAAH+77EI=")</f>
        <v>#VALUE!</v>
      </c>
      <c r="BP73" s="22" t="e">
        <f aca="false">AND(#REF!,"AAAAAH+77EM=")</f>
        <v>#VALUE!</v>
      </c>
      <c r="BQ73" s="22" t="e">
        <f aca="false">AND(#REF!,"AAAAAH+77EQ=")</f>
        <v>#VALUE!</v>
      </c>
      <c r="BR73" s="22" t="e">
        <f aca="false">AND(#REF!,"AAAAAH+77EU=")</f>
        <v>#VALUE!</v>
      </c>
      <c r="BS73" s="22" t="e">
        <f aca="false">AND(#REF!,"AAAAAH+77EY=")</f>
        <v>#VALUE!</v>
      </c>
      <c r="BT73" s="22" t="e">
        <f aca="false">AND(#REF!,"AAAAAH+77Ec=")</f>
        <v>#VALUE!</v>
      </c>
      <c r="BU73" s="22" t="e">
        <f aca="false">IF(#REF!,"AAAAAH+77Eg=",0)</f>
        <v>#REF!</v>
      </c>
      <c r="BV73" s="22" t="e">
        <f aca="false">AND(#REF!,"AAAAAH+77Ek=")</f>
        <v>#VALUE!</v>
      </c>
      <c r="BW73" s="22" t="e">
        <f aca="false">AND(#REF!,"AAAAAH+77Eo=")</f>
        <v>#VALUE!</v>
      </c>
      <c r="BX73" s="22" t="e">
        <f aca="false">AND(#REF!,"AAAAAH+77Es=")</f>
        <v>#VALUE!</v>
      </c>
      <c r="BY73" s="22" t="e">
        <f aca="false">AND(#REF!,"AAAAAH+77Ew=")</f>
        <v>#VALUE!</v>
      </c>
      <c r="BZ73" s="22" t="e">
        <f aca="false">AND(#REF!,"AAAAAH+77E0=")</f>
        <v>#VALUE!</v>
      </c>
      <c r="CA73" s="22" t="e">
        <f aca="false">AND(#REF!,"AAAAAH+77E4=")</f>
        <v>#VALUE!</v>
      </c>
      <c r="CB73" s="22" t="e">
        <f aca="false">AND(#REF!,"AAAAAH+77E8=")</f>
        <v>#VALUE!</v>
      </c>
      <c r="CC73" s="22" t="e">
        <f aca="false">AND(#REF!,"AAAAAH+77FA=")</f>
        <v>#VALUE!</v>
      </c>
      <c r="CD73" s="22" t="e">
        <f aca="false">IF(#REF!,"AAAAAH+77FE=",0)</f>
        <v>#REF!</v>
      </c>
      <c r="CE73" s="22" t="e">
        <f aca="false">AND(#REF!,"AAAAAH+77FI=")</f>
        <v>#VALUE!</v>
      </c>
      <c r="CF73" s="22" t="e">
        <f aca="false">AND(#REF!,"AAAAAH+77FM=")</f>
        <v>#VALUE!</v>
      </c>
      <c r="CG73" s="22" t="e">
        <f aca="false">AND(#REF!,"AAAAAH+77FQ=")</f>
        <v>#VALUE!</v>
      </c>
      <c r="CH73" s="22" t="e">
        <f aca="false">AND(#REF!,"AAAAAH+77FU=")</f>
        <v>#VALUE!</v>
      </c>
      <c r="CI73" s="22" t="e">
        <f aca="false">AND(#REF!,"AAAAAH+77FY=")</f>
        <v>#VALUE!</v>
      </c>
      <c r="CJ73" s="22" t="e">
        <f aca="false">AND(#REF!,"AAAAAH+77Fc=")</f>
        <v>#VALUE!</v>
      </c>
      <c r="CK73" s="22" t="e">
        <f aca="false">AND(#REF!,"AAAAAH+77Fg=")</f>
        <v>#VALUE!</v>
      </c>
      <c r="CL73" s="22" t="e">
        <f aca="false">AND(#REF!,"AAAAAH+77Fk=")</f>
        <v>#VALUE!</v>
      </c>
      <c r="CM73" s="22" t="e">
        <f aca="false">IF(#REF!,"AAAAAH+77Fo=",0)</f>
        <v>#REF!</v>
      </c>
      <c r="CN73" s="22" t="e">
        <f aca="false">AND(#REF!,"AAAAAH+77Fs=")</f>
        <v>#VALUE!</v>
      </c>
      <c r="CO73" s="22" t="e">
        <f aca="false">AND(#REF!,"AAAAAH+77Fw=")</f>
        <v>#VALUE!</v>
      </c>
      <c r="CP73" s="22" t="e">
        <f aca="false">AND(#REF!,"AAAAAH+77F0=")</f>
        <v>#VALUE!</v>
      </c>
      <c r="CQ73" s="22" t="e">
        <f aca="false">AND(#REF!,"AAAAAH+77F4=")</f>
        <v>#VALUE!</v>
      </c>
      <c r="CR73" s="22" t="e">
        <f aca="false">AND(#REF!,"AAAAAH+77F8=")</f>
        <v>#VALUE!</v>
      </c>
      <c r="CS73" s="22" t="e">
        <f aca="false">AND(#REF!,"AAAAAH+77GA=")</f>
        <v>#VALUE!</v>
      </c>
      <c r="CT73" s="22" t="e">
        <f aca="false">AND(#REF!,"AAAAAH+77GE=")</f>
        <v>#VALUE!</v>
      </c>
      <c r="CU73" s="22" t="e">
        <f aca="false">AND(#REF!,"AAAAAH+77GI=")</f>
        <v>#VALUE!</v>
      </c>
      <c r="CV73" s="22" t="e">
        <f aca="false">IF(#REF!,"AAAAAH+77GM=",0)</f>
        <v>#REF!</v>
      </c>
      <c r="CW73" s="22" t="e">
        <f aca="false">AND(#REF!,"AAAAAH+77GQ=")</f>
        <v>#VALUE!</v>
      </c>
      <c r="CX73" s="22" t="e">
        <f aca="false">AND(#REF!,"AAAAAH+77GU=")</f>
        <v>#VALUE!</v>
      </c>
      <c r="CY73" s="22" t="e">
        <f aca="false">AND(#REF!,"AAAAAH+77GY=")</f>
        <v>#VALUE!</v>
      </c>
      <c r="CZ73" s="22" t="e">
        <f aca="false">AND(#REF!,"AAAAAH+77Gc=")</f>
        <v>#VALUE!</v>
      </c>
      <c r="DA73" s="22" t="e">
        <f aca="false">AND(#REF!,"AAAAAH+77Gg=")</f>
        <v>#VALUE!</v>
      </c>
      <c r="DB73" s="22" t="e">
        <f aca="false">AND(#REF!,"AAAAAH+77Gk=")</f>
        <v>#VALUE!</v>
      </c>
      <c r="DC73" s="22" t="e">
        <f aca="false">AND(#REF!,"AAAAAH+77Go=")</f>
        <v>#VALUE!</v>
      </c>
      <c r="DD73" s="22" t="e">
        <f aca="false">AND(#REF!,"AAAAAH+77Gs=")</f>
        <v>#VALUE!</v>
      </c>
      <c r="DE73" s="22" t="e">
        <f aca="false">IF(#REF!,"AAAAAH+77Gw=",0)</f>
        <v>#REF!</v>
      </c>
      <c r="DF73" s="22" t="e">
        <f aca="false">AND(#REF!,"AAAAAH+77G0=")</f>
        <v>#VALUE!</v>
      </c>
      <c r="DG73" s="22" t="e">
        <f aca="false">AND(#REF!,"AAAAAH+77G4=")</f>
        <v>#VALUE!</v>
      </c>
      <c r="DH73" s="22" t="e">
        <f aca="false">AND(#REF!,"AAAAAH+77G8=")</f>
        <v>#VALUE!</v>
      </c>
      <c r="DI73" s="22" t="e">
        <f aca="false">AND(#REF!,"AAAAAH+77HA=")</f>
        <v>#VALUE!</v>
      </c>
      <c r="DJ73" s="22" t="e">
        <f aca="false">AND(#REF!,"AAAAAH+77HE=")</f>
        <v>#VALUE!</v>
      </c>
      <c r="DK73" s="22" t="e">
        <f aca="false">AND(#REF!,"AAAAAH+77HI=")</f>
        <v>#VALUE!</v>
      </c>
      <c r="DL73" s="22" t="e">
        <f aca="false">AND(#REF!,"AAAAAH+77HM=")</f>
        <v>#VALUE!</v>
      </c>
      <c r="DM73" s="22" t="e">
        <f aca="false">AND(#REF!,"AAAAAH+77HQ=")</f>
        <v>#VALUE!</v>
      </c>
      <c r="DN73" s="22" t="e">
        <f aca="false">IF(#REF!,"AAAAAH+77HU=",0)</f>
        <v>#REF!</v>
      </c>
      <c r="DO73" s="22" t="e">
        <f aca="false">AND(#REF!,"AAAAAH+77HY=")</f>
        <v>#VALUE!</v>
      </c>
      <c r="DP73" s="22" t="e">
        <f aca="false">AND(#REF!,"AAAAAH+77Hc=")</f>
        <v>#VALUE!</v>
      </c>
      <c r="DQ73" s="22" t="e">
        <f aca="false">AND(#REF!,"AAAAAH+77Hg=")</f>
        <v>#VALUE!</v>
      </c>
      <c r="DR73" s="22" t="e">
        <f aca="false">AND(#REF!,"AAAAAH+77Hk=")</f>
        <v>#VALUE!</v>
      </c>
      <c r="DS73" s="22" t="e">
        <f aca="false">AND(#REF!,"AAAAAH+77Ho=")</f>
        <v>#VALUE!</v>
      </c>
      <c r="DT73" s="22" t="e">
        <f aca="false">AND(#REF!,"AAAAAH+77Hs=")</f>
        <v>#VALUE!</v>
      </c>
      <c r="DU73" s="22" t="e">
        <f aca="false">AND(#REF!,"AAAAAH+77Hw=")</f>
        <v>#VALUE!</v>
      </c>
      <c r="DV73" s="22" t="e">
        <f aca="false">AND(#REF!,"AAAAAH+77H0=")</f>
        <v>#VALUE!</v>
      </c>
      <c r="DW73" s="22" t="e">
        <f aca="false">IF(#REF!,"AAAAAH+77H4=",0)</f>
        <v>#REF!</v>
      </c>
      <c r="DX73" s="22" t="e">
        <f aca="false">AND(#REF!,"AAAAAH+77H8=")</f>
        <v>#VALUE!</v>
      </c>
      <c r="DY73" s="22" t="e">
        <f aca="false">AND(#REF!,"AAAAAH+77IA=")</f>
        <v>#VALUE!</v>
      </c>
      <c r="DZ73" s="22" t="e">
        <f aca="false">AND(#REF!,"AAAAAH+77IE=")</f>
        <v>#VALUE!</v>
      </c>
      <c r="EA73" s="22" t="e">
        <f aca="false">AND(#REF!,"AAAAAH+77II=")</f>
        <v>#VALUE!</v>
      </c>
      <c r="EB73" s="22" t="e">
        <f aca="false">AND(#REF!,"AAAAAH+77IM=")</f>
        <v>#VALUE!</v>
      </c>
      <c r="EC73" s="22" t="e">
        <f aca="false">AND(#REF!,"AAAAAH+77IQ=")</f>
        <v>#VALUE!</v>
      </c>
      <c r="ED73" s="22" t="e">
        <f aca="false">AND(#REF!,"AAAAAH+77IU=")</f>
        <v>#VALUE!</v>
      </c>
      <c r="EE73" s="22" t="e">
        <f aca="false">AND(#REF!,"AAAAAH+77IY=")</f>
        <v>#VALUE!</v>
      </c>
      <c r="EF73" s="22" t="e">
        <f aca="false">IF(#REF!,"AAAAAH+77Ic=",0)</f>
        <v>#REF!</v>
      </c>
      <c r="EG73" s="22" t="e">
        <f aca="false">AND(#REF!,"AAAAAH+77Ig=")</f>
        <v>#VALUE!</v>
      </c>
      <c r="EH73" s="22" t="e">
        <f aca="false">AND(#REF!,"AAAAAH+77Ik=")</f>
        <v>#VALUE!</v>
      </c>
      <c r="EI73" s="22" t="e">
        <f aca="false">AND(#REF!,"AAAAAH+77Io=")</f>
        <v>#VALUE!</v>
      </c>
      <c r="EJ73" s="22" t="e">
        <f aca="false">AND(#REF!,"AAAAAH+77Is=")</f>
        <v>#VALUE!</v>
      </c>
      <c r="EK73" s="22" t="e">
        <f aca="false">AND(#REF!,"AAAAAH+77Iw=")</f>
        <v>#VALUE!</v>
      </c>
      <c r="EL73" s="22" t="e">
        <f aca="false">AND(#REF!,"AAAAAH+77I0=")</f>
        <v>#VALUE!</v>
      </c>
      <c r="EM73" s="22" t="e">
        <f aca="false">AND(#REF!,"AAAAAH+77I4=")</f>
        <v>#VALUE!</v>
      </c>
      <c r="EN73" s="22" t="e">
        <f aca="false">AND(#REF!,"AAAAAH+77I8=")</f>
        <v>#VALUE!</v>
      </c>
      <c r="EO73" s="22" t="e">
        <f aca="false">IF(#REF!,"AAAAAH+77JA=",0)</f>
        <v>#REF!</v>
      </c>
      <c r="EP73" s="22" t="e">
        <f aca="false">AND(#REF!,"AAAAAH+77JE=")</f>
        <v>#VALUE!</v>
      </c>
      <c r="EQ73" s="22" t="e">
        <f aca="false">AND(#REF!,"AAAAAH+77JI=")</f>
        <v>#VALUE!</v>
      </c>
      <c r="ER73" s="22" t="e">
        <f aca="false">AND(#REF!,"AAAAAH+77JM=")</f>
        <v>#VALUE!</v>
      </c>
      <c r="ES73" s="22" t="e">
        <f aca="false">AND(#REF!,"AAAAAH+77JQ=")</f>
        <v>#VALUE!</v>
      </c>
      <c r="ET73" s="22" t="e">
        <f aca="false">AND(#REF!,"AAAAAH+77JU=")</f>
        <v>#VALUE!</v>
      </c>
      <c r="EU73" s="22" t="e">
        <f aca="false">AND(#REF!,"AAAAAH+77JY=")</f>
        <v>#VALUE!</v>
      </c>
      <c r="EV73" s="22" t="e">
        <f aca="false">AND(#REF!,"AAAAAH+77Jc=")</f>
        <v>#VALUE!</v>
      </c>
      <c r="EW73" s="22" t="e">
        <f aca="false">AND(#REF!,"AAAAAH+77Jg=")</f>
        <v>#VALUE!</v>
      </c>
      <c r="EX73" s="22" t="e">
        <f aca="false">IF(#REF!,"AAAAAH+77Jk=",0)</f>
        <v>#REF!</v>
      </c>
      <c r="EY73" s="22" t="e">
        <f aca="false">AND(#REF!,"AAAAAH+77Jo=")</f>
        <v>#VALUE!</v>
      </c>
      <c r="EZ73" s="22" t="e">
        <f aca="false">AND(#REF!,"AAAAAH+77Js=")</f>
        <v>#VALUE!</v>
      </c>
      <c r="FA73" s="22" t="e">
        <f aca="false">AND(#REF!,"AAAAAH+77Jw=")</f>
        <v>#VALUE!</v>
      </c>
      <c r="FB73" s="22" t="e">
        <f aca="false">AND(#REF!,"AAAAAH+77J0=")</f>
        <v>#VALUE!</v>
      </c>
      <c r="FC73" s="22" t="e">
        <f aca="false">AND(#REF!,"AAAAAH+77J4=")</f>
        <v>#VALUE!</v>
      </c>
      <c r="FD73" s="22" t="e">
        <f aca="false">AND(#REF!,"AAAAAH+77J8=")</f>
        <v>#VALUE!</v>
      </c>
      <c r="FE73" s="22" t="e">
        <f aca="false">AND(#REF!,"AAAAAH+77KA=")</f>
        <v>#VALUE!</v>
      </c>
      <c r="FF73" s="22" t="e">
        <f aca="false">AND(#REF!,"AAAAAH+77KE=")</f>
        <v>#VALUE!</v>
      </c>
      <c r="FG73" s="22" t="e">
        <f aca="false">IF(#REF!,"AAAAAH+77KI=",0)</f>
        <v>#REF!</v>
      </c>
      <c r="FH73" s="22" t="e">
        <f aca="false">AND(#REF!,"AAAAAH+77KM=")</f>
        <v>#VALUE!</v>
      </c>
      <c r="FI73" s="22" t="e">
        <f aca="false">AND(#REF!,"AAAAAH+77KQ=")</f>
        <v>#VALUE!</v>
      </c>
      <c r="FJ73" s="22" t="e">
        <f aca="false">AND(#REF!,"AAAAAH+77KU=")</f>
        <v>#VALUE!</v>
      </c>
      <c r="FK73" s="22" t="e">
        <f aca="false">AND(#REF!,"AAAAAH+77KY=")</f>
        <v>#VALUE!</v>
      </c>
      <c r="FL73" s="22" t="e">
        <f aca="false">AND(#REF!,"AAAAAH+77Kc=")</f>
        <v>#VALUE!</v>
      </c>
      <c r="FM73" s="22" t="e">
        <f aca="false">AND(#REF!,"AAAAAH+77Kg=")</f>
        <v>#VALUE!</v>
      </c>
      <c r="FN73" s="22" t="e">
        <f aca="false">AND(#REF!,"AAAAAH+77Kk=")</f>
        <v>#VALUE!</v>
      </c>
      <c r="FO73" s="22" t="e">
        <f aca="false">AND(#REF!,"AAAAAH+77Ko=")</f>
        <v>#VALUE!</v>
      </c>
      <c r="FP73" s="22" t="e">
        <f aca="false">IF(#REF!,"AAAAAH+77Ks=",0)</f>
        <v>#REF!</v>
      </c>
      <c r="FQ73" s="22" t="e">
        <f aca="false">AND(#REF!,"AAAAAH+77Kw=")</f>
        <v>#VALUE!</v>
      </c>
      <c r="FR73" s="22" t="e">
        <f aca="false">AND(#REF!,"AAAAAH+77K0=")</f>
        <v>#VALUE!</v>
      </c>
      <c r="FS73" s="22" t="e">
        <f aca="false">AND(#REF!,"AAAAAH+77K4=")</f>
        <v>#VALUE!</v>
      </c>
      <c r="FT73" s="22" t="e">
        <f aca="false">AND(#REF!,"AAAAAH+77K8=")</f>
        <v>#VALUE!</v>
      </c>
      <c r="FU73" s="22" t="e">
        <f aca="false">AND(#REF!,"AAAAAH+77LA=")</f>
        <v>#VALUE!</v>
      </c>
      <c r="FV73" s="22" t="e">
        <f aca="false">AND(#REF!,"AAAAAH+77LE=")</f>
        <v>#VALUE!</v>
      </c>
      <c r="FW73" s="22" t="e">
        <f aca="false">AND(#REF!,"AAAAAH+77LI=")</f>
        <v>#VALUE!</v>
      </c>
      <c r="FX73" s="22" t="e">
        <f aca="false">AND(#REF!,"AAAAAH+77LM=")</f>
        <v>#VALUE!</v>
      </c>
      <c r="FY73" s="22" t="e">
        <f aca="false">IF(#REF!,"AAAAAH+77LQ=",0)</f>
        <v>#REF!</v>
      </c>
      <c r="FZ73" s="22" t="e">
        <f aca="false">AND(#REF!,"AAAAAH+77LU=")</f>
        <v>#VALUE!</v>
      </c>
      <c r="GA73" s="22" t="e">
        <f aca="false">AND(#REF!,"AAAAAH+77LY=")</f>
        <v>#VALUE!</v>
      </c>
      <c r="GB73" s="22" t="e">
        <f aca="false">AND(#REF!,"AAAAAH+77Lc=")</f>
        <v>#VALUE!</v>
      </c>
      <c r="GC73" s="22" t="e">
        <f aca="false">AND(#REF!,"AAAAAH+77Lg=")</f>
        <v>#VALUE!</v>
      </c>
      <c r="GD73" s="22" t="e">
        <f aca="false">AND(#REF!,"AAAAAH+77Lk=")</f>
        <v>#VALUE!</v>
      </c>
      <c r="GE73" s="22" t="e">
        <f aca="false">AND(#REF!,"AAAAAH+77Lo=")</f>
        <v>#VALUE!</v>
      </c>
      <c r="GF73" s="22" t="e">
        <f aca="false">AND(#REF!,"AAAAAH+77Ls=")</f>
        <v>#VALUE!</v>
      </c>
      <c r="GG73" s="22" t="e">
        <f aca="false">AND(#REF!,"AAAAAH+77Lw=")</f>
        <v>#VALUE!</v>
      </c>
      <c r="GH73" s="22" t="e">
        <f aca="false">IF(#REF!,"AAAAAH+77L0=",0)</f>
        <v>#REF!</v>
      </c>
      <c r="GI73" s="22" t="e">
        <f aca="false">AND(#REF!,"AAAAAH+77L4=")</f>
        <v>#VALUE!</v>
      </c>
      <c r="GJ73" s="22" t="e">
        <f aca="false">AND(#REF!,"AAAAAH+77L8=")</f>
        <v>#VALUE!</v>
      </c>
      <c r="GK73" s="22" t="e">
        <f aca="false">AND(#REF!,"AAAAAH+77MA=")</f>
        <v>#VALUE!</v>
      </c>
      <c r="GL73" s="22" t="e">
        <f aca="false">AND(#REF!,"AAAAAH+77ME=")</f>
        <v>#VALUE!</v>
      </c>
      <c r="GM73" s="22" t="e">
        <f aca="false">AND(#REF!,"AAAAAH+77MI=")</f>
        <v>#VALUE!</v>
      </c>
      <c r="GN73" s="22" t="e">
        <f aca="false">AND(#REF!,"AAAAAH+77MM=")</f>
        <v>#VALUE!</v>
      </c>
      <c r="GO73" s="22" t="e">
        <f aca="false">AND(#REF!,"AAAAAH+77MQ=")</f>
        <v>#VALUE!</v>
      </c>
      <c r="GP73" s="22" t="e">
        <f aca="false">AND(#REF!,"AAAAAH+77MU=")</f>
        <v>#VALUE!</v>
      </c>
      <c r="GQ73" s="22" t="e">
        <f aca="false">IF(#REF!,"AAAAAH+77MY=",0)</f>
        <v>#REF!</v>
      </c>
      <c r="GR73" s="22" t="e">
        <f aca="false">AND(#REF!,"AAAAAH+77Mc=")</f>
        <v>#VALUE!</v>
      </c>
      <c r="GS73" s="22" t="e">
        <f aca="false">AND(#REF!,"AAAAAH+77Mg=")</f>
        <v>#VALUE!</v>
      </c>
      <c r="GT73" s="22" t="e">
        <f aca="false">AND(#REF!,"AAAAAH+77Mk=")</f>
        <v>#VALUE!</v>
      </c>
      <c r="GU73" s="22" t="e">
        <f aca="false">AND(#REF!,"AAAAAH+77Mo=")</f>
        <v>#VALUE!</v>
      </c>
      <c r="GV73" s="22" t="e">
        <f aca="false">AND(#REF!,"AAAAAH+77Ms=")</f>
        <v>#VALUE!</v>
      </c>
      <c r="GW73" s="22" t="e">
        <f aca="false">AND(#REF!,"AAAAAH+77Mw=")</f>
        <v>#VALUE!</v>
      </c>
      <c r="GX73" s="22" t="e">
        <f aca="false">AND(#REF!,"AAAAAH+77M0=")</f>
        <v>#VALUE!</v>
      </c>
      <c r="GY73" s="22" t="e">
        <f aca="false">AND(#REF!,"AAAAAH+77M4=")</f>
        <v>#VALUE!</v>
      </c>
      <c r="GZ73" s="22" t="e">
        <f aca="false">IF(#REF!,"AAAAAH+77M8=",0)</f>
        <v>#REF!</v>
      </c>
      <c r="HA73" s="22" t="e">
        <f aca="false">AND(#REF!,"AAAAAH+77NA=")</f>
        <v>#VALUE!</v>
      </c>
      <c r="HB73" s="22" t="e">
        <f aca="false">AND(#REF!,"AAAAAH+77NE=")</f>
        <v>#VALUE!</v>
      </c>
      <c r="HC73" s="22" t="e">
        <f aca="false">AND(#REF!,"AAAAAH+77NI=")</f>
        <v>#VALUE!</v>
      </c>
      <c r="HD73" s="22" t="e">
        <f aca="false">AND(#REF!,"AAAAAH+77NM=")</f>
        <v>#VALUE!</v>
      </c>
      <c r="HE73" s="22" t="e">
        <f aca="false">AND(#REF!,"AAAAAH+77NQ=")</f>
        <v>#VALUE!</v>
      </c>
      <c r="HF73" s="22" t="e">
        <f aca="false">AND(#REF!,"AAAAAH+77NU=")</f>
        <v>#VALUE!</v>
      </c>
      <c r="HG73" s="22" t="e">
        <f aca="false">AND(#REF!,"AAAAAH+77NY=")</f>
        <v>#VALUE!</v>
      </c>
      <c r="HH73" s="22" t="e">
        <f aca="false">AND(#REF!,"AAAAAH+77Nc=")</f>
        <v>#VALUE!</v>
      </c>
      <c r="HI73" s="22" t="e">
        <f aca="false">IF(#REF!,"AAAAAH+77Ng=",0)</f>
        <v>#REF!</v>
      </c>
      <c r="HJ73" s="22" t="e">
        <f aca="false">AND(#REF!,"AAAAAH+77Nk=")</f>
        <v>#VALUE!</v>
      </c>
      <c r="HK73" s="22" t="e">
        <f aca="false">AND(#REF!,"AAAAAH+77No=")</f>
        <v>#VALUE!</v>
      </c>
      <c r="HL73" s="22" t="e">
        <f aca="false">AND(#REF!,"AAAAAH+77Ns=")</f>
        <v>#VALUE!</v>
      </c>
      <c r="HM73" s="22" t="e">
        <f aca="false">AND(#REF!,"AAAAAH+77Nw=")</f>
        <v>#VALUE!</v>
      </c>
      <c r="HN73" s="22" t="e">
        <f aca="false">AND(#REF!,"AAAAAH+77N0=")</f>
        <v>#VALUE!</v>
      </c>
      <c r="HO73" s="22" t="e">
        <f aca="false">AND(#REF!,"AAAAAH+77N4=")</f>
        <v>#VALUE!</v>
      </c>
      <c r="HP73" s="22" t="e">
        <f aca="false">AND(#REF!,"AAAAAH+77N8=")</f>
        <v>#VALUE!</v>
      </c>
      <c r="HQ73" s="22" t="e">
        <f aca="false">AND(#REF!,"AAAAAH+77OA=")</f>
        <v>#VALUE!</v>
      </c>
      <c r="HR73" s="22" t="e">
        <f aca="false">IF(#REF!,"AAAAAH+77OE=",0)</f>
        <v>#REF!</v>
      </c>
      <c r="HS73" s="22" t="e">
        <f aca="false">AND(#REF!,"AAAAAH+77OI=")</f>
        <v>#VALUE!</v>
      </c>
      <c r="HT73" s="22" t="e">
        <f aca="false">AND(#REF!,"AAAAAH+77OM=")</f>
        <v>#VALUE!</v>
      </c>
      <c r="HU73" s="22" t="e">
        <f aca="false">AND(#REF!,"AAAAAH+77OQ=")</f>
        <v>#VALUE!</v>
      </c>
      <c r="HV73" s="22" t="e">
        <f aca="false">AND(#REF!,"AAAAAH+77OU=")</f>
        <v>#VALUE!</v>
      </c>
      <c r="HW73" s="22" t="e">
        <f aca="false">AND(#REF!,"AAAAAH+77OY=")</f>
        <v>#VALUE!</v>
      </c>
      <c r="HX73" s="22" t="e">
        <f aca="false">AND(#REF!,"AAAAAH+77Oc=")</f>
        <v>#VALUE!</v>
      </c>
      <c r="HY73" s="22" t="e">
        <f aca="false">AND(#REF!,"AAAAAH+77Og=")</f>
        <v>#VALUE!</v>
      </c>
      <c r="HZ73" s="22" t="e">
        <f aca="false">AND(#REF!,"AAAAAH+77Ok=")</f>
        <v>#VALUE!</v>
      </c>
      <c r="IA73" s="22" t="e">
        <f aca="false">IF(#REF!,"AAAAAH+77Oo=",0)</f>
        <v>#REF!</v>
      </c>
      <c r="IB73" s="22" t="e">
        <f aca="false">AND(#REF!,"AAAAAH+77Os=")</f>
        <v>#VALUE!</v>
      </c>
      <c r="IC73" s="22" t="e">
        <f aca="false">AND(#REF!,"AAAAAH+77Ow=")</f>
        <v>#VALUE!</v>
      </c>
      <c r="ID73" s="22" t="e">
        <f aca="false">AND(#REF!,"AAAAAH+77O0=")</f>
        <v>#VALUE!</v>
      </c>
      <c r="IE73" s="22" t="e">
        <f aca="false">AND(#REF!,"AAAAAH+77O4=")</f>
        <v>#VALUE!</v>
      </c>
      <c r="IF73" s="22" t="e">
        <f aca="false">AND(#REF!,"AAAAAH+77O8=")</f>
        <v>#VALUE!</v>
      </c>
      <c r="IG73" s="22" t="e">
        <f aca="false">AND(#REF!,"AAAAAH+77PA=")</f>
        <v>#VALUE!</v>
      </c>
      <c r="IH73" s="22" t="e">
        <f aca="false">AND(#REF!,"AAAAAH+77PE=")</f>
        <v>#VALUE!</v>
      </c>
      <c r="II73" s="22" t="e">
        <f aca="false">AND(#REF!,"AAAAAH+77PI=")</f>
        <v>#VALUE!</v>
      </c>
      <c r="IJ73" s="22" t="e">
        <f aca="false">IF(#REF!,"AAAAAH+77PM=",0)</f>
        <v>#REF!</v>
      </c>
      <c r="IK73" s="22" t="e">
        <f aca="false">AND(#REF!,"AAAAAH+77PQ=")</f>
        <v>#VALUE!</v>
      </c>
      <c r="IL73" s="22" t="e">
        <f aca="false">AND(#REF!,"AAAAAH+77PU=")</f>
        <v>#VALUE!</v>
      </c>
      <c r="IM73" s="22" t="e">
        <f aca="false">AND(#REF!,"AAAAAH+77PY=")</f>
        <v>#VALUE!</v>
      </c>
      <c r="IN73" s="22" t="e">
        <f aca="false">AND(#REF!,"AAAAAH+77Pc=")</f>
        <v>#VALUE!</v>
      </c>
      <c r="IO73" s="22" t="e">
        <f aca="false">AND(#REF!,"AAAAAH+77Pg=")</f>
        <v>#VALUE!</v>
      </c>
      <c r="IP73" s="22" t="e">
        <f aca="false">AND(#REF!,"AAAAAH+77Pk=")</f>
        <v>#VALUE!</v>
      </c>
      <c r="IQ73" s="22" t="e">
        <f aca="false">AND(#REF!,"AAAAAH+77Po=")</f>
        <v>#VALUE!</v>
      </c>
      <c r="IR73" s="22" t="e">
        <f aca="false">AND(#REF!,"AAAAAH+77Ps=")</f>
        <v>#VALUE!</v>
      </c>
      <c r="IS73" s="22" t="e">
        <f aca="false">IF(#REF!,"AAAAAH+77Pw=",0)</f>
        <v>#REF!</v>
      </c>
      <c r="IT73" s="22" t="e">
        <f aca="false">AND(#REF!,"AAAAAH+77P0=")</f>
        <v>#VALUE!</v>
      </c>
      <c r="IU73" s="22" t="e">
        <f aca="false">AND(#REF!,"AAAAAH+77P4=")</f>
        <v>#VALUE!</v>
      </c>
      <c r="IV73" s="22" t="e">
        <f aca="false">AND(#REF!,"AAAAAH+77P8=")</f>
        <v>#VALUE!</v>
      </c>
    </row>
    <row r="74" customFormat="false" ht="12.75" hidden="false" customHeight="false" outlineLevel="0" collapsed="false">
      <c r="A74" s="22" t="e">
        <f aca="false">AND(#REF!,"AAAAAFe23wA=")</f>
        <v>#VALUE!</v>
      </c>
      <c r="B74" s="22" t="e">
        <f aca="false">AND(#REF!,"AAAAAFe23wE=")</f>
        <v>#VALUE!</v>
      </c>
      <c r="C74" s="22" t="e">
        <f aca="false">AND(#REF!,"AAAAAFe23wI=")</f>
        <v>#VALUE!</v>
      </c>
      <c r="D74" s="22" t="e">
        <f aca="false">AND(#REF!,"AAAAAFe23wM=")</f>
        <v>#VALUE!</v>
      </c>
      <c r="E74" s="22" t="e">
        <f aca="false">AND(#REF!,"AAAAAFe23wQ=")</f>
        <v>#VALUE!</v>
      </c>
      <c r="F74" s="22" t="e">
        <f aca="false">IF(#REF!,"AAAAAFe23wU=",0)</f>
        <v>#REF!</v>
      </c>
      <c r="G74" s="22" t="e">
        <f aca="false">AND(#REF!,"AAAAAFe23wY=")</f>
        <v>#VALUE!</v>
      </c>
      <c r="H74" s="22" t="e">
        <f aca="false">AND(#REF!,"AAAAAFe23wc=")</f>
        <v>#VALUE!</v>
      </c>
      <c r="I74" s="22" t="e">
        <f aca="false">AND(#REF!,"AAAAAFe23wg=")</f>
        <v>#VALUE!</v>
      </c>
      <c r="J74" s="22" t="e">
        <f aca="false">AND(#REF!,"AAAAAFe23wk=")</f>
        <v>#VALUE!</v>
      </c>
      <c r="K74" s="22" t="e">
        <f aca="false">AND(#REF!,"AAAAAFe23wo=")</f>
        <v>#VALUE!</v>
      </c>
      <c r="L74" s="22" t="e">
        <f aca="false">AND(#REF!,"AAAAAFe23ws=")</f>
        <v>#VALUE!</v>
      </c>
      <c r="M74" s="22" t="e">
        <f aca="false">AND(#REF!,"AAAAAFe23ww=")</f>
        <v>#VALUE!</v>
      </c>
      <c r="N74" s="22" t="e">
        <f aca="false">AND(#REF!,"AAAAAFe23w0=")</f>
        <v>#VALUE!</v>
      </c>
      <c r="O74" s="22" t="e">
        <f aca="false">IF(#REF!,"AAAAAFe23w4=",0)</f>
        <v>#REF!</v>
      </c>
      <c r="P74" s="22" t="e">
        <f aca="false">AND(#REF!,"AAAAAFe23w8=")</f>
        <v>#VALUE!</v>
      </c>
      <c r="Q74" s="22" t="e">
        <f aca="false">AND(#REF!,"AAAAAFe23xA=")</f>
        <v>#VALUE!</v>
      </c>
      <c r="R74" s="22" t="e">
        <f aca="false">AND(#REF!,"AAAAAFe23xE=")</f>
        <v>#VALUE!</v>
      </c>
      <c r="S74" s="22" t="e">
        <f aca="false">AND(#REF!,"AAAAAFe23xI=")</f>
        <v>#VALUE!</v>
      </c>
      <c r="T74" s="22" t="e">
        <f aca="false">AND(#REF!,"AAAAAFe23xM=")</f>
        <v>#VALUE!</v>
      </c>
      <c r="U74" s="22" t="e">
        <f aca="false">AND(#REF!,"AAAAAFe23xQ=")</f>
        <v>#VALUE!</v>
      </c>
      <c r="V74" s="22" t="e">
        <f aca="false">AND(#REF!,"AAAAAFe23xU=")</f>
        <v>#VALUE!</v>
      </c>
      <c r="W74" s="22" t="e">
        <f aca="false">AND(#REF!,"AAAAAFe23xY=")</f>
        <v>#VALUE!</v>
      </c>
      <c r="X74" s="22" t="e">
        <f aca="false">IF(#REF!,"AAAAAFe23xc=",0)</f>
        <v>#REF!</v>
      </c>
      <c r="Y74" s="22" t="e">
        <f aca="false">AND(#REF!,"AAAAAFe23xg=")</f>
        <v>#VALUE!</v>
      </c>
      <c r="Z74" s="22" t="e">
        <f aca="false">AND(#REF!,"AAAAAFe23xk=")</f>
        <v>#VALUE!</v>
      </c>
      <c r="AA74" s="22" t="e">
        <f aca="false">AND(#REF!,"AAAAAFe23xo=")</f>
        <v>#VALUE!</v>
      </c>
      <c r="AB74" s="22" t="e">
        <f aca="false">AND(#REF!,"AAAAAFe23xs=")</f>
        <v>#VALUE!</v>
      </c>
      <c r="AC74" s="22" t="e">
        <f aca="false">AND(#REF!,"AAAAAFe23xw=")</f>
        <v>#VALUE!</v>
      </c>
      <c r="AD74" s="22" t="e">
        <f aca="false">AND(#REF!,"AAAAAFe23x0=")</f>
        <v>#VALUE!</v>
      </c>
      <c r="AE74" s="22" t="e">
        <f aca="false">AND(#REF!,"AAAAAFe23x4=")</f>
        <v>#VALUE!</v>
      </c>
      <c r="AF74" s="22" t="e">
        <f aca="false">AND(#REF!,"AAAAAFe23x8=")</f>
        <v>#VALUE!</v>
      </c>
      <c r="AG74" s="22" t="e">
        <f aca="false">IF(#REF!,"AAAAAFe23yA=",0)</f>
        <v>#REF!</v>
      </c>
      <c r="AH74" s="22" t="e">
        <f aca="false">AND(#REF!,"AAAAAFe23yE=")</f>
        <v>#VALUE!</v>
      </c>
      <c r="AI74" s="22" t="e">
        <f aca="false">AND(#REF!,"AAAAAFe23yI=")</f>
        <v>#VALUE!</v>
      </c>
      <c r="AJ74" s="22" t="e">
        <f aca="false">AND(#REF!,"AAAAAFe23yM=")</f>
        <v>#VALUE!</v>
      </c>
      <c r="AK74" s="22" t="e">
        <f aca="false">AND(#REF!,"AAAAAFe23yQ=")</f>
        <v>#VALUE!</v>
      </c>
      <c r="AL74" s="22" t="e">
        <f aca="false">AND(#REF!,"AAAAAFe23yU=")</f>
        <v>#VALUE!</v>
      </c>
      <c r="AM74" s="22" t="e">
        <f aca="false">AND(#REF!,"AAAAAFe23yY=")</f>
        <v>#VALUE!</v>
      </c>
      <c r="AN74" s="22" t="e">
        <f aca="false">AND(#REF!,"AAAAAFe23yc=")</f>
        <v>#VALUE!</v>
      </c>
      <c r="AO74" s="22" t="e">
        <f aca="false">AND(#REF!,"AAAAAFe23yg=")</f>
        <v>#VALUE!</v>
      </c>
      <c r="AP74" s="22" t="e">
        <f aca="false">IF(#REF!,"AAAAAFe23yk=",0)</f>
        <v>#REF!</v>
      </c>
      <c r="AQ74" s="22" t="e">
        <f aca="false">AND(#REF!,"AAAAAFe23yo=")</f>
        <v>#VALUE!</v>
      </c>
      <c r="AR74" s="22" t="e">
        <f aca="false">AND(#REF!,"AAAAAFe23ys=")</f>
        <v>#VALUE!</v>
      </c>
      <c r="AS74" s="22" t="e">
        <f aca="false">AND(#REF!,"AAAAAFe23yw=")</f>
        <v>#VALUE!</v>
      </c>
      <c r="AT74" s="22" t="e">
        <f aca="false">AND(#REF!,"AAAAAFe23y0=")</f>
        <v>#VALUE!</v>
      </c>
      <c r="AU74" s="22" t="e">
        <f aca="false">AND(#REF!,"AAAAAFe23y4=")</f>
        <v>#VALUE!</v>
      </c>
      <c r="AV74" s="22" t="e">
        <f aca="false">AND(#REF!,"AAAAAFe23y8=")</f>
        <v>#VALUE!</v>
      </c>
      <c r="AW74" s="22" t="e">
        <f aca="false">AND(#REF!,"AAAAAFe23zA=")</f>
        <v>#VALUE!</v>
      </c>
      <c r="AX74" s="22" t="e">
        <f aca="false">AND(#REF!,"AAAAAFe23zE=")</f>
        <v>#VALUE!</v>
      </c>
      <c r="AY74" s="22" t="e">
        <f aca="false">IF(#REF!,"AAAAAFe23zI=",0)</f>
        <v>#REF!</v>
      </c>
      <c r="AZ74" s="22" t="e">
        <f aca="false">AND(#REF!,"AAAAAFe23zM=")</f>
        <v>#VALUE!</v>
      </c>
      <c r="BA74" s="22" t="e">
        <f aca="false">AND(#REF!,"AAAAAFe23zQ=")</f>
        <v>#VALUE!</v>
      </c>
      <c r="BB74" s="22" t="e">
        <f aca="false">AND(#REF!,"AAAAAFe23zU=")</f>
        <v>#VALUE!</v>
      </c>
      <c r="BC74" s="22" t="e">
        <f aca="false">AND(#REF!,"AAAAAFe23zY=")</f>
        <v>#VALUE!</v>
      </c>
      <c r="BD74" s="22" t="e">
        <f aca="false">AND(#REF!,"AAAAAFe23zc=")</f>
        <v>#VALUE!</v>
      </c>
      <c r="BE74" s="22" t="e">
        <f aca="false">AND(#REF!,"AAAAAFe23zg=")</f>
        <v>#VALUE!</v>
      </c>
      <c r="BF74" s="22" t="e">
        <f aca="false">AND(#REF!,"AAAAAFe23zk=")</f>
        <v>#VALUE!</v>
      </c>
      <c r="BG74" s="22" t="e">
        <f aca="false">AND(#REF!,"AAAAAFe23zo=")</f>
        <v>#VALUE!</v>
      </c>
      <c r="BH74" s="22" t="e">
        <f aca="false">IF(#REF!,"AAAAAFe23zs=",0)</f>
        <v>#REF!</v>
      </c>
      <c r="BI74" s="22" t="e">
        <f aca="false">AND(#REF!,"AAAAAFe23zw=")</f>
        <v>#VALUE!</v>
      </c>
      <c r="BJ74" s="22" t="e">
        <f aca="false">AND(#REF!,"AAAAAFe23z0=")</f>
        <v>#VALUE!</v>
      </c>
      <c r="BK74" s="22" t="e">
        <f aca="false">AND(#REF!,"AAAAAFe23z4=")</f>
        <v>#VALUE!</v>
      </c>
      <c r="BL74" s="22" t="e">
        <f aca="false">AND(#REF!,"AAAAAFe23z8=")</f>
        <v>#VALUE!</v>
      </c>
      <c r="BM74" s="22" t="e">
        <f aca="false">AND(#REF!,"AAAAAFe230A=")</f>
        <v>#VALUE!</v>
      </c>
      <c r="BN74" s="22" t="e">
        <f aca="false">AND(#REF!,"AAAAAFe230E=")</f>
        <v>#VALUE!</v>
      </c>
      <c r="BO74" s="22" t="e">
        <f aca="false">AND(#REF!,"AAAAAFe230I=")</f>
        <v>#VALUE!</v>
      </c>
      <c r="BP74" s="22" t="e">
        <f aca="false">AND(#REF!,"AAAAAFe230M=")</f>
        <v>#VALUE!</v>
      </c>
      <c r="BQ74" s="22" t="e">
        <f aca="false">IF(#REF!,"AAAAAFe230Q=",0)</f>
        <v>#REF!</v>
      </c>
      <c r="BR74" s="22" t="e">
        <f aca="false">AND(#REF!,"AAAAAFe230U=")</f>
        <v>#VALUE!</v>
      </c>
      <c r="BS74" s="22" t="e">
        <f aca="false">AND(#REF!,"AAAAAFe230Y=")</f>
        <v>#VALUE!</v>
      </c>
      <c r="BT74" s="22" t="e">
        <f aca="false">AND(#REF!,"AAAAAFe230c=")</f>
        <v>#VALUE!</v>
      </c>
      <c r="BU74" s="22" t="e">
        <f aca="false">AND(#REF!,"AAAAAFe230g=")</f>
        <v>#VALUE!</v>
      </c>
      <c r="BV74" s="22" t="e">
        <f aca="false">AND(#REF!,"AAAAAFe230k=")</f>
        <v>#VALUE!</v>
      </c>
      <c r="BW74" s="22" t="e">
        <f aca="false">AND(#REF!,"AAAAAFe230o=")</f>
        <v>#VALUE!</v>
      </c>
      <c r="BX74" s="22" t="e">
        <f aca="false">AND(#REF!,"AAAAAFe230s=")</f>
        <v>#VALUE!</v>
      </c>
      <c r="BY74" s="22" t="e">
        <f aca="false">AND(#REF!,"AAAAAFe230w=")</f>
        <v>#VALUE!</v>
      </c>
      <c r="BZ74" s="22" t="e">
        <f aca="false">IF(#REF!,"AAAAAFe2300=",0)</f>
        <v>#REF!</v>
      </c>
      <c r="CA74" s="22" t="e">
        <f aca="false">AND(#REF!,"AAAAAFe2304=")</f>
        <v>#VALUE!</v>
      </c>
      <c r="CB74" s="22" t="e">
        <f aca="false">AND(#REF!,"AAAAAFe2308=")</f>
        <v>#VALUE!</v>
      </c>
      <c r="CC74" s="22" t="e">
        <f aca="false">AND(#REF!,"AAAAAFe231A=")</f>
        <v>#VALUE!</v>
      </c>
      <c r="CD74" s="22" t="e">
        <f aca="false">AND(#REF!,"AAAAAFe231E=")</f>
        <v>#VALUE!</v>
      </c>
      <c r="CE74" s="22" t="e">
        <f aca="false">AND(#REF!,"AAAAAFe231I=")</f>
        <v>#VALUE!</v>
      </c>
      <c r="CF74" s="22" t="e">
        <f aca="false">AND(#REF!,"AAAAAFe231M=")</f>
        <v>#VALUE!</v>
      </c>
      <c r="CG74" s="22" t="e">
        <f aca="false">AND(#REF!,"AAAAAFe231Q=")</f>
        <v>#VALUE!</v>
      </c>
      <c r="CH74" s="22" t="e">
        <f aca="false">AND(#REF!,"AAAAAFe231U=")</f>
        <v>#VALUE!</v>
      </c>
      <c r="CI74" s="22" t="e">
        <f aca="false">IF(#REF!,"AAAAAFe231Y=",0)</f>
        <v>#REF!</v>
      </c>
      <c r="CJ74" s="22" t="e">
        <f aca="false">AND(#REF!,"AAAAAFe231c=")</f>
        <v>#VALUE!</v>
      </c>
      <c r="CK74" s="22" t="e">
        <f aca="false">AND(#REF!,"AAAAAFe231g=")</f>
        <v>#VALUE!</v>
      </c>
      <c r="CL74" s="22" t="e">
        <f aca="false">AND(#REF!,"AAAAAFe231k=")</f>
        <v>#VALUE!</v>
      </c>
      <c r="CM74" s="22" t="e">
        <f aca="false">AND(#REF!,"AAAAAFe231o=")</f>
        <v>#VALUE!</v>
      </c>
      <c r="CN74" s="22" t="e">
        <f aca="false">AND(#REF!,"AAAAAFe231s=")</f>
        <v>#VALUE!</v>
      </c>
      <c r="CO74" s="22" t="e">
        <f aca="false">AND(#REF!,"AAAAAFe231w=")</f>
        <v>#VALUE!</v>
      </c>
      <c r="CP74" s="22" t="e">
        <f aca="false">AND(#REF!,"AAAAAFe2310=")</f>
        <v>#VALUE!</v>
      </c>
      <c r="CQ74" s="22" t="e">
        <f aca="false">AND(#REF!,"AAAAAFe2314=")</f>
        <v>#VALUE!</v>
      </c>
      <c r="CR74" s="22" t="e">
        <f aca="false">IF(#REF!,"AAAAAFe2318=",0)</f>
        <v>#REF!</v>
      </c>
      <c r="CS74" s="22" t="e">
        <f aca="false">AND(#REF!,"AAAAAFe232A=")</f>
        <v>#VALUE!</v>
      </c>
      <c r="CT74" s="22" t="e">
        <f aca="false">AND(#REF!,"AAAAAFe232E=")</f>
        <v>#VALUE!</v>
      </c>
      <c r="CU74" s="22" t="e">
        <f aca="false">AND(#REF!,"AAAAAFe232I=")</f>
        <v>#VALUE!</v>
      </c>
      <c r="CV74" s="22" t="e">
        <f aca="false">AND(#REF!,"AAAAAFe232M=")</f>
        <v>#VALUE!</v>
      </c>
      <c r="CW74" s="22" t="e">
        <f aca="false">AND(#REF!,"AAAAAFe232Q=")</f>
        <v>#VALUE!</v>
      </c>
      <c r="CX74" s="22" t="e">
        <f aca="false">AND(#REF!,"AAAAAFe232U=")</f>
        <v>#VALUE!</v>
      </c>
      <c r="CY74" s="22" t="e">
        <f aca="false">AND(#REF!,"AAAAAFe232Y=")</f>
        <v>#VALUE!</v>
      </c>
      <c r="CZ74" s="22" t="e">
        <f aca="false">AND(#REF!,"AAAAAFe232c=")</f>
        <v>#VALUE!</v>
      </c>
      <c r="DA74" s="22" t="e">
        <f aca="false">IF(#REF!,"AAAAAFe232g=",0)</f>
        <v>#REF!</v>
      </c>
      <c r="DB74" s="22" t="e">
        <f aca="false">AND(#REF!,"AAAAAFe232k=")</f>
        <v>#VALUE!</v>
      </c>
      <c r="DC74" s="22" t="e">
        <f aca="false">AND(#REF!,"AAAAAFe232o=")</f>
        <v>#VALUE!</v>
      </c>
      <c r="DD74" s="22" t="e">
        <f aca="false">AND(#REF!,"AAAAAFe232s=")</f>
        <v>#VALUE!</v>
      </c>
      <c r="DE74" s="22" t="e">
        <f aca="false">AND(#REF!,"AAAAAFe232w=")</f>
        <v>#VALUE!</v>
      </c>
      <c r="DF74" s="22" t="e">
        <f aca="false">AND(#REF!,"AAAAAFe2320=")</f>
        <v>#VALUE!</v>
      </c>
      <c r="DG74" s="22" t="e">
        <f aca="false">AND(#REF!,"AAAAAFe2324=")</f>
        <v>#VALUE!</v>
      </c>
      <c r="DH74" s="22" t="e">
        <f aca="false">AND(#REF!,"AAAAAFe2328=")</f>
        <v>#VALUE!</v>
      </c>
      <c r="DI74" s="22" t="e">
        <f aca="false">AND(#REF!,"AAAAAFe233A=")</f>
        <v>#VALUE!</v>
      </c>
      <c r="DJ74" s="22" t="e">
        <f aca="false">IF(#REF!,"AAAAAFe233E=",0)</f>
        <v>#REF!</v>
      </c>
      <c r="DK74" s="22" t="e">
        <f aca="false">AND(#REF!,"AAAAAFe233I=")</f>
        <v>#VALUE!</v>
      </c>
      <c r="DL74" s="22" t="e">
        <f aca="false">AND(#REF!,"AAAAAFe233M=")</f>
        <v>#VALUE!</v>
      </c>
      <c r="DM74" s="22" t="e">
        <f aca="false">AND(#REF!,"AAAAAFe233Q=")</f>
        <v>#VALUE!</v>
      </c>
      <c r="DN74" s="22" t="e">
        <f aca="false">AND(#REF!,"AAAAAFe233U=")</f>
        <v>#VALUE!</v>
      </c>
      <c r="DO74" s="22" t="e">
        <f aca="false">AND(#REF!,"AAAAAFe233Y=")</f>
        <v>#VALUE!</v>
      </c>
      <c r="DP74" s="22" t="e">
        <f aca="false">AND(#REF!,"AAAAAFe233c=")</f>
        <v>#VALUE!</v>
      </c>
      <c r="DQ74" s="22" t="e">
        <f aca="false">AND(#REF!,"AAAAAFe233g=")</f>
        <v>#VALUE!</v>
      </c>
      <c r="DR74" s="22" t="e">
        <f aca="false">AND(#REF!,"AAAAAFe233k=")</f>
        <v>#VALUE!</v>
      </c>
      <c r="DS74" s="22" t="e">
        <f aca="false">IF(#REF!,"AAAAAFe233o=",0)</f>
        <v>#REF!</v>
      </c>
      <c r="DT74" s="22" t="e">
        <f aca="false">AND(#REF!,"AAAAAFe233s=")</f>
        <v>#VALUE!</v>
      </c>
      <c r="DU74" s="22" t="e">
        <f aca="false">AND(#REF!,"AAAAAFe233w=")</f>
        <v>#VALUE!</v>
      </c>
      <c r="DV74" s="22" t="e">
        <f aca="false">AND(#REF!,"AAAAAFe2330=")</f>
        <v>#VALUE!</v>
      </c>
      <c r="DW74" s="22" t="e">
        <f aca="false">AND(#REF!,"AAAAAFe2334=")</f>
        <v>#VALUE!</v>
      </c>
      <c r="DX74" s="22" t="e">
        <f aca="false">AND(#REF!,"AAAAAFe2338=")</f>
        <v>#VALUE!</v>
      </c>
      <c r="DY74" s="22" t="e">
        <f aca="false">AND(#REF!,"AAAAAFe234A=")</f>
        <v>#VALUE!</v>
      </c>
      <c r="DZ74" s="22" t="e">
        <f aca="false">AND(#REF!,"AAAAAFe234E=")</f>
        <v>#VALUE!</v>
      </c>
      <c r="EA74" s="22" t="e">
        <f aca="false">AND(#REF!,"AAAAAFe234I=")</f>
        <v>#VALUE!</v>
      </c>
      <c r="EB74" s="22" t="e">
        <f aca="false">IF(#REF!,"AAAAAFe234M=",0)</f>
        <v>#REF!</v>
      </c>
      <c r="EC74" s="22" t="e">
        <f aca="false">AND(#REF!,"AAAAAFe234Q=")</f>
        <v>#VALUE!</v>
      </c>
      <c r="ED74" s="22" t="e">
        <f aca="false">AND(#REF!,"AAAAAFe234U=")</f>
        <v>#VALUE!</v>
      </c>
      <c r="EE74" s="22" t="e">
        <f aca="false">AND(#REF!,"AAAAAFe234Y=")</f>
        <v>#VALUE!</v>
      </c>
      <c r="EF74" s="22" t="e">
        <f aca="false">AND(#REF!,"AAAAAFe234c=")</f>
        <v>#VALUE!</v>
      </c>
      <c r="EG74" s="22" t="e">
        <f aca="false">AND(#REF!,"AAAAAFe234g=")</f>
        <v>#VALUE!</v>
      </c>
      <c r="EH74" s="22" t="e">
        <f aca="false">AND(#REF!,"AAAAAFe234k=")</f>
        <v>#VALUE!</v>
      </c>
      <c r="EI74" s="22" t="e">
        <f aca="false">AND(#REF!,"AAAAAFe234o=")</f>
        <v>#VALUE!</v>
      </c>
      <c r="EJ74" s="22" t="e">
        <f aca="false">AND(#REF!,"AAAAAFe234s=")</f>
        <v>#VALUE!</v>
      </c>
      <c r="EK74" s="22" t="e">
        <f aca="false">IF(#REF!,"AAAAAFe234w=",0)</f>
        <v>#REF!</v>
      </c>
      <c r="EL74" s="22" t="e">
        <f aca="false">AND(#REF!,"AAAAAFe2340=")</f>
        <v>#VALUE!</v>
      </c>
      <c r="EM74" s="22" t="e">
        <f aca="false">AND(#REF!,"AAAAAFe2344=")</f>
        <v>#VALUE!</v>
      </c>
      <c r="EN74" s="22" t="e">
        <f aca="false">AND(#REF!,"AAAAAFe2348=")</f>
        <v>#VALUE!</v>
      </c>
      <c r="EO74" s="22" t="e">
        <f aca="false">AND(#REF!,"AAAAAFe235A=")</f>
        <v>#VALUE!</v>
      </c>
      <c r="EP74" s="22" t="e">
        <f aca="false">AND(#REF!,"AAAAAFe235E=")</f>
        <v>#VALUE!</v>
      </c>
      <c r="EQ74" s="22" t="e">
        <f aca="false">AND(#REF!,"AAAAAFe235I=")</f>
        <v>#VALUE!</v>
      </c>
      <c r="ER74" s="22" t="e">
        <f aca="false">AND(#REF!,"AAAAAFe235M=")</f>
        <v>#VALUE!</v>
      </c>
      <c r="ES74" s="22" t="e">
        <f aca="false">AND(#REF!,"AAAAAFe235Q=")</f>
        <v>#VALUE!</v>
      </c>
      <c r="ET74" s="22" t="e">
        <f aca="false">IF(#REF!,"AAAAAFe235U=",0)</f>
        <v>#REF!</v>
      </c>
      <c r="EU74" s="22" t="e">
        <f aca="false">AND(#REF!,"AAAAAFe235Y=")</f>
        <v>#VALUE!</v>
      </c>
      <c r="EV74" s="22" t="e">
        <f aca="false">AND(#REF!,"AAAAAFe235c=")</f>
        <v>#VALUE!</v>
      </c>
      <c r="EW74" s="22" t="e">
        <f aca="false">AND(#REF!,"AAAAAFe235g=")</f>
        <v>#VALUE!</v>
      </c>
      <c r="EX74" s="22" t="e">
        <f aca="false">AND(#REF!,"AAAAAFe235k=")</f>
        <v>#VALUE!</v>
      </c>
      <c r="EY74" s="22" t="e">
        <f aca="false">AND(#REF!,"AAAAAFe235o=")</f>
        <v>#VALUE!</v>
      </c>
      <c r="EZ74" s="22" t="e">
        <f aca="false">AND(#REF!,"AAAAAFe235s=")</f>
        <v>#VALUE!</v>
      </c>
      <c r="FA74" s="22" t="e">
        <f aca="false">AND(#REF!,"AAAAAFe235w=")</f>
        <v>#VALUE!</v>
      </c>
      <c r="FB74" s="22" t="e">
        <f aca="false">AND(#REF!,"AAAAAFe2350=")</f>
        <v>#VALUE!</v>
      </c>
      <c r="FC74" s="22" t="e">
        <f aca="false">IF(#REF!,"AAAAAFe2354=",0)</f>
        <v>#REF!</v>
      </c>
      <c r="FD74" s="22" t="e">
        <f aca="false">AND(#REF!,"AAAAAFe2358=")</f>
        <v>#VALUE!</v>
      </c>
      <c r="FE74" s="22" t="e">
        <f aca="false">AND(#REF!,"AAAAAFe236A=")</f>
        <v>#VALUE!</v>
      </c>
      <c r="FF74" s="22" t="e">
        <f aca="false">AND(#REF!,"AAAAAFe236E=")</f>
        <v>#VALUE!</v>
      </c>
      <c r="FG74" s="22" t="e">
        <f aca="false">AND(#REF!,"AAAAAFe236I=")</f>
        <v>#VALUE!</v>
      </c>
      <c r="FH74" s="22" t="e">
        <f aca="false">AND(#REF!,"AAAAAFe236M=")</f>
        <v>#VALUE!</v>
      </c>
      <c r="FI74" s="22" t="e">
        <f aca="false">AND(#REF!,"AAAAAFe236Q=")</f>
        <v>#VALUE!</v>
      </c>
      <c r="FJ74" s="22" t="e">
        <f aca="false">AND(#REF!,"AAAAAFe236U=")</f>
        <v>#VALUE!</v>
      </c>
      <c r="FK74" s="22" t="e">
        <f aca="false">AND(#REF!,"AAAAAFe236Y=")</f>
        <v>#VALUE!</v>
      </c>
      <c r="FL74" s="22" t="e">
        <f aca="false">IF(#REF!,"AAAAAFe236c=",0)</f>
        <v>#REF!</v>
      </c>
      <c r="FM74" s="22" t="e">
        <f aca="false">AND(#REF!,"AAAAAFe236g=")</f>
        <v>#VALUE!</v>
      </c>
      <c r="FN74" s="22" t="e">
        <f aca="false">AND(#REF!,"AAAAAFe236k=")</f>
        <v>#VALUE!</v>
      </c>
      <c r="FO74" s="22" t="e">
        <f aca="false">AND(#REF!,"AAAAAFe236o=")</f>
        <v>#VALUE!</v>
      </c>
      <c r="FP74" s="22" t="e">
        <f aca="false">AND(#REF!,"AAAAAFe236s=")</f>
        <v>#VALUE!</v>
      </c>
      <c r="FQ74" s="22" t="e">
        <f aca="false">AND(#REF!,"AAAAAFe236w=")</f>
        <v>#VALUE!</v>
      </c>
      <c r="FR74" s="22" t="e">
        <f aca="false">AND(#REF!,"AAAAAFe2360=")</f>
        <v>#VALUE!</v>
      </c>
      <c r="FS74" s="22" t="e">
        <f aca="false">AND(#REF!,"AAAAAFe2364=")</f>
        <v>#VALUE!</v>
      </c>
      <c r="FT74" s="22" t="e">
        <f aca="false">AND(#REF!,"AAAAAFe2368=")</f>
        <v>#VALUE!</v>
      </c>
      <c r="FU74" s="22" t="e">
        <f aca="false">IF(#REF!,"AAAAAFe237A=",0)</f>
        <v>#REF!</v>
      </c>
      <c r="FV74" s="22" t="e">
        <f aca="false">AND(#REF!,"AAAAAFe237E=")</f>
        <v>#VALUE!</v>
      </c>
      <c r="FW74" s="22" t="e">
        <f aca="false">AND(#REF!,"AAAAAFe237I=")</f>
        <v>#VALUE!</v>
      </c>
      <c r="FX74" s="22" t="e">
        <f aca="false">AND(#REF!,"AAAAAFe237M=")</f>
        <v>#VALUE!</v>
      </c>
      <c r="FY74" s="22" t="e">
        <f aca="false">AND(#REF!,"AAAAAFe237Q=")</f>
        <v>#VALUE!</v>
      </c>
      <c r="FZ74" s="22" t="e">
        <f aca="false">AND(#REF!,"AAAAAFe237U=")</f>
        <v>#VALUE!</v>
      </c>
      <c r="GA74" s="22" t="e">
        <f aca="false">AND(#REF!,"AAAAAFe237Y=")</f>
        <v>#VALUE!</v>
      </c>
      <c r="GB74" s="22" t="e">
        <f aca="false">AND(#REF!,"AAAAAFe237c=")</f>
        <v>#VALUE!</v>
      </c>
      <c r="GC74" s="22" t="e">
        <f aca="false">AND(#REF!,"AAAAAFe237g=")</f>
        <v>#VALUE!</v>
      </c>
      <c r="GD74" s="22" t="e">
        <f aca="false">IF(#REF!,"AAAAAFe237k=",0)</f>
        <v>#REF!</v>
      </c>
      <c r="GE74" s="22" t="e">
        <f aca="false">AND(#REF!,"AAAAAFe237o=")</f>
        <v>#VALUE!</v>
      </c>
      <c r="GF74" s="22" t="e">
        <f aca="false">AND(#REF!,"AAAAAFe237s=")</f>
        <v>#VALUE!</v>
      </c>
      <c r="GG74" s="22" t="e">
        <f aca="false">AND(#REF!,"AAAAAFe237w=")</f>
        <v>#VALUE!</v>
      </c>
      <c r="GH74" s="22" t="e">
        <f aca="false">AND(#REF!,"AAAAAFe2370=")</f>
        <v>#VALUE!</v>
      </c>
      <c r="GI74" s="22" t="e">
        <f aca="false">AND(#REF!,"AAAAAFe2374=")</f>
        <v>#VALUE!</v>
      </c>
      <c r="GJ74" s="22" t="e">
        <f aca="false">AND(#REF!,"AAAAAFe2378=")</f>
        <v>#VALUE!</v>
      </c>
      <c r="GK74" s="22" t="e">
        <f aca="false">AND(#REF!,"AAAAAFe238A=")</f>
        <v>#VALUE!</v>
      </c>
      <c r="GL74" s="22" t="e">
        <f aca="false">AND(#REF!,"AAAAAFe238E=")</f>
        <v>#VALUE!</v>
      </c>
      <c r="GM74" s="22" t="e">
        <f aca="false">IF(#REF!,"AAAAAFe238I=",0)</f>
        <v>#REF!</v>
      </c>
      <c r="GN74" s="22" t="e">
        <f aca="false">AND(#REF!,"AAAAAFe238M=")</f>
        <v>#VALUE!</v>
      </c>
      <c r="GO74" s="22" t="e">
        <f aca="false">AND(#REF!,"AAAAAFe238Q=")</f>
        <v>#VALUE!</v>
      </c>
      <c r="GP74" s="22" t="e">
        <f aca="false">AND(#REF!,"AAAAAFe238U=")</f>
        <v>#VALUE!</v>
      </c>
      <c r="GQ74" s="22" t="e">
        <f aca="false">AND(#REF!,"AAAAAFe238Y=")</f>
        <v>#VALUE!</v>
      </c>
      <c r="GR74" s="22" t="e">
        <f aca="false">AND(#REF!,"AAAAAFe238c=")</f>
        <v>#VALUE!</v>
      </c>
      <c r="GS74" s="22" t="e">
        <f aca="false">AND(#REF!,"AAAAAFe238g=")</f>
        <v>#VALUE!</v>
      </c>
      <c r="GT74" s="22" t="e">
        <f aca="false">AND(#REF!,"AAAAAFe238k=")</f>
        <v>#VALUE!</v>
      </c>
      <c r="GU74" s="22" t="e">
        <f aca="false">AND(#REF!,"AAAAAFe238o=")</f>
        <v>#VALUE!</v>
      </c>
      <c r="GV74" s="22" t="e">
        <f aca="false">IF(#REF!,"AAAAAFe238s=",0)</f>
        <v>#REF!</v>
      </c>
      <c r="GW74" s="22" t="e">
        <f aca="false">AND(#REF!,"AAAAAFe238w=")</f>
        <v>#VALUE!</v>
      </c>
      <c r="GX74" s="22" t="e">
        <f aca="false">AND(#REF!,"AAAAAFe2380=")</f>
        <v>#VALUE!</v>
      </c>
      <c r="GY74" s="22" t="e">
        <f aca="false">AND(#REF!,"AAAAAFe2384=")</f>
        <v>#VALUE!</v>
      </c>
      <c r="GZ74" s="22" t="e">
        <f aca="false">AND(#REF!,"AAAAAFe2388=")</f>
        <v>#VALUE!</v>
      </c>
      <c r="HA74" s="22" t="e">
        <f aca="false">AND(#REF!,"AAAAAFe239A=")</f>
        <v>#VALUE!</v>
      </c>
      <c r="HB74" s="22" t="e">
        <f aca="false">AND(#REF!,"AAAAAFe239E=")</f>
        <v>#VALUE!</v>
      </c>
      <c r="HC74" s="22" t="e">
        <f aca="false">AND(#REF!,"AAAAAFe239I=")</f>
        <v>#VALUE!</v>
      </c>
      <c r="HD74" s="22" t="e">
        <f aca="false">AND(#REF!,"AAAAAFe239M=")</f>
        <v>#VALUE!</v>
      </c>
      <c r="HE74" s="22" t="e">
        <f aca="false">IF(#REF!,"AAAAAFe239Q=",0)</f>
        <v>#REF!</v>
      </c>
      <c r="HF74" s="22" t="e">
        <f aca="false">AND(#REF!,"AAAAAFe239U=")</f>
        <v>#VALUE!</v>
      </c>
      <c r="HG74" s="22" t="e">
        <f aca="false">AND(#REF!,"AAAAAFe239Y=")</f>
        <v>#VALUE!</v>
      </c>
      <c r="HH74" s="22" t="e">
        <f aca="false">AND(#REF!,"AAAAAFe239c=")</f>
        <v>#VALUE!</v>
      </c>
      <c r="HI74" s="22" t="e">
        <f aca="false">AND(#REF!,"AAAAAFe239g=")</f>
        <v>#VALUE!</v>
      </c>
      <c r="HJ74" s="22" t="e">
        <f aca="false">AND(#REF!,"AAAAAFe239k=")</f>
        <v>#VALUE!</v>
      </c>
      <c r="HK74" s="22" t="e">
        <f aca="false">AND(#REF!,"AAAAAFe239o=")</f>
        <v>#VALUE!</v>
      </c>
      <c r="HL74" s="22" t="e">
        <f aca="false">AND(#REF!,"AAAAAFe239s=")</f>
        <v>#VALUE!</v>
      </c>
      <c r="HM74" s="22" t="e">
        <f aca="false">AND(#REF!,"AAAAAFe239w=")</f>
        <v>#VALUE!</v>
      </c>
      <c r="HN74" s="22" t="e">
        <f aca="false">IF(#REF!,"AAAAAFe2390=",0)</f>
        <v>#REF!</v>
      </c>
      <c r="HO74" s="22" t="e">
        <f aca="false">AND(#REF!,"AAAAAFe2394=")</f>
        <v>#VALUE!</v>
      </c>
      <c r="HP74" s="22" t="e">
        <f aca="false">AND(#REF!,"AAAAAFe2398=")</f>
        <v>#VALUE!</v>
      </c>
      <c r="HQ74" s="22" t="e">
        <f aca="false">AND(#REF!,"AAAAAFe23+A=")</f>
        <v>#VALUE!</v>
      </c>
      <c r="HR74" s="22" t="e">
        <f aca="false">AND(#REF!,"AAAAAFe23+E=")</f>
        <v>#VALUE!</v>
      </c>
      <c r="HS74" s="22" t="e">
        <f aca="false">AND(#REF!,"AAAAAFe23+I=")</f>
        <v>#VALUE!</v>
      </c>
      <c r="HT74" s="22" t="e">
        <f aca="false">AND(#REF!,"AAAAAFe23+M=")</f>
        <v>#VALUE!</v>
      </c>
      <c r="HU74" s="22" t="e">
        <f aca="false">AND(#REF!,"AAAAAFe23+Q=")</f>
        <v>#VALUE!</v>
      </c>
      <c r="HV74" s="22" t="e">
        <f aca="false">AND(#REF!,"AAAAAFe23+U=")</f>
        <v>#VALUE!</v>
      </c>
      <c r="HW74" s="22" t="e">
        <f aca="false">IF(#REF!,"AAAAAFe23+Y=",0)</f>
        <v>#REF!</v>
      </c>
      <c r="HX74" s="22" t="e">
        <f aca="false">AND(#REF!,"AAAAAFe23+c=")</f>
        <v>#VALUE!</v>
      </c>
      <c r="HY74" s="22" t="e">
        <f aca="false">AND(#REF!,"AAAAAFe23+g=")</f>
        <v>#VALUE!</v>
      </c>
      <c r="HZ74" s="22" t="e">
        <f aca="false">AND(#REF!,"AAAAAFe23+k=")</f>
        <v>#VALUE!</v>
      </c>
      <c r="IA74" s="22" t="e">
        <f aca="false">AND(#REF!,"AAAAAFe23+o=")</f>
        <v>#VALUE!</v>
      </c>
      <c r="IB74" s="22" t="e">
        <f aca="false">AND(#REF!,"AAAAAFe23+s=")</f>
        <v>#VALUE!</v>
      </c>
      <c r="IC74" s="22" t="e">
        <f aca="false">AND(#REF!,"AAAAAFe23+w=")</f>
        <v>#VALUE!</v>
      </c>
      <c r="ID74" s="22" t="e">
        <f aca="false">AND(#REF!,"AAAAAFe23+0=")</f>
        <v>#VALUE!</v>
      </c>
      <c r="IE74" s="22" t="e">
        <f aca="false">AND(#REF!,"AAAAAFe23+4=")</f>
        <v>#VALUE!</v>
      </c>
      <c r="IF74" s="22" t="e">
        <f aca="false">IF(#REF!,"AAAAAFe23+8=",0)</f>
        <v>#REF!</v>
      </c>
      <c r="IG74" s="22" t="e">
        <f aca="false">AND(#REF!,"AAAAAFe23/A=")</f>
        <v>#VALUE!</v>
      </c>
      <c r="IH74" s="22" t="e">
        <f aca="false">AND(#REF!,"AAAAAFe23/E=")</f>
        <v>#VALUE!</v>
      </c>
      <c r="II74" s="22" t="e">
        <f aca="false">AND(#REF!,"AAAAAFe23/I=")</f>
        <v>#VALUE!</v>
      </c>
      <c r="IJ74" s="22" t="e">
        <f aca="false">AND(#REF!,"AAAAAFe23/M=")</f>
        <v>#VALUE!</v>
      </c>
      <c r="IK74" s="22" t="e">
        <f aca="false">AND(#REF!,"AAAAAFe23/Q=")</f>
        <v>#VALUE!</v>
      </c>
      <c r="IL74" s="22" t="e">
        <f aca="false">AND(#REF!,"AAAAAFe23/U=")</f>
        <v>#VALUE!</v>
      </c>
      <c r="IM74" s="22" t="e">
        <f aca="false">AND(#REF!,"AAAAAFe23/Y=")</f>
        <v>#VALUE!</v>
      </c>
      <c r="IN74" s="22" t="e">
        <f aca="false">AND(#REF!,"AAAAAFe23/c=")</f>
        <v>#VALUE!</v>
      </c>
      <c r="IO74" s="22" t="e">
        <f aca="false">IF(#REF!,"AAAAAFe23/g=",0)</f>
        <v>#REF!</v>
      </c>
      <c r="IP74" s="22" t="e">
        <f aca="false">AND(#REF!,"AAAAAFe23/k=")</f>
        <v>#VALUE!</v>
      </c>
      <c r="IQ74" s="22" t="e">
        <f aca="false">AND(#REF!,"AAAAAFe23/o=")</f>
        <v>#VALUE!</v>
      </c>
      <c r="IR74" s="22" t="e">
        <f aca="false">AND(#REF!,"AAAAAFe23/s=")</f>
        <v>#VALUE!</v>
      </c>
      <c r="IS74" s="22" t="e">
        <f aca="false">AND(#REF!,"AAAAAFe23/w=")</f>
        <v>#VALUE!</v>
      </c>
      <c r="IT74" s="22" t="e">
        <f aca="false">AND(#REF!,"AAAAAFe23/0=")</f>
        <v>#VALUE!</v>
      </c>
      <c r="IU74" s="22" t="e">
        <f aca="false">AND(#REF!,"AAAAAFe23/4=")</f>
        <v>#VALUE!</v>
      </c>
      <c r="IV74" s="22" t="e">
        <f aca="false">AND(#REF!,"AAAAAFe23/8=")</f>
        <v>#VALUE!</v>
      </c>
    </row>
    <row r="75" customFormat="false" ht="12.75" hidden="false" customHeight="false" outlineLevel="0" collapsed="false">
      <c r="A75" s="22" t="e">
        <f aca="false">AND(#REF!,"AAAAACf9nwA=")</f>
        <v>#VALUE!</v>
      </c>
      <c r="B75" s="22" t="e">
        <f aca="false">IF(#REF!,"AAAAACf9nwE=",0)</f>
        <v>#REF!</v>
      </c>
      <c r="C75" s="22" t="e">
        <f aca="false">AND(#REF!,"AAAAACf9nwI=")</f>
        <v>#VALUE!</v>
      </c>
      <c r="D75" s="22" t="e">
        <f aca="false">AND(#REF!,"AAAAACf9nwM=")</f>
        <v>#VALUE!</v>
      </c>
      <c r="E75" s="22" t="e">
        <f aca="false">AND(#REF!,"AAAAACf9nwQ=")</f>
        <v>#VALUE!</v>
      </c>
      <c r="F75" s="22" t="e">
        <f aca="false">AND(#REF!,"AAAAACf9nwU=")</f>
        <v>#VALUE!</v>
      </c>
      <c r="G75" s="22" t="e">
        <f aca="false">AND(#REF!,"AAAAACf9nwY=")</f>
        <v>#VALUE!</v>
      </c>
      <c r="H75" s="22" t="e">
        <f aca="false">AND(#REF!,"AAAAACf9nwc=")</f>
        <v>#VALUE!</v>
      </c>
      <c r="I75" s="22" t="e">
        <f aca="false">AND(#REF!,"AAAAACf9nwg=")</f>
        <v>#VALUE!</v>
      </c>
      <c r="J75" s="22" t="e">
        <f aca="false">AND(#REF!,"AAAAACf9nwk=")</f>
        <v>#VALUE!</v>
      </c>
      <c r="K75" s="22" t="e">
        <f aca="false">IF(#REF!,"AAAAACf9nwo=",0)</f>
        <v>#REF!</v>
      </c>
      <c r="L75" s="22" t="e">
        <f aca="false">AND(#REF!,"AAAAACf9nws=")</f>
        <v>#VALUE!</v>
      </c>
      <c r="M75" s="22" t="e">
        <f aca="false">AND(#REF!,"AAAAACf9nww=")</f>
        <v>#VALUE!</v>
      </c>
      <c r="N75" s="22" t="e">
        <f aca="false">AND(#REF!,"AAAAACf9nw0=")</f>
        <v>#VALUE!</v>
      </c>
      <c r="O75" s="22" t="e">
        <f aca="false">AND(#REF!,"AAAAACf9nw4=")</f>
        <v>#VALUE!</v>
      </c>
      <c r="P75" s="22" t="e">
        <f aca="false">AND(#REF!,"AAAAACf9nw8=")</f>
        <v>#VALUE!</v>
      </c>
      <c r="Q75" s="22" t="e">
        <f aca="false">AND(#REF!,"AAAAACf9nxA=")</f>
        <v>#VALUE!</v>
      </c>
      <c r="R75" s="22" t="e">
        <f aca="false">AND(#REF!,"AAAAACf9nxE=")</f>
        <v>#VALUE!</v>
      </c>
      <c r="S75" s="22" t="e">
        <f aca="false">AND(#REF!,"AAAAACf9nxI=")</f>
        <v>#VALUE!</v>
      </c>
      <c r="T75" s="22" t="e">
        <f aca="false">IF(#REF!,"AAAAACf9nxM=",0)</f>
        <v>#REF!</v>
      </c>
      <c r="U75" s="22" t="e">
        <f aca="false">AND(#REF!,"AAAAACf9nxQ=")</f>
        <v>#VALUE!</v>
      </c>
      <c r="V75" s="22" t="e">
        <f aca="false">AND(#REF!,"AAAAACf9nxU=")</f>
        <v>#VALUE!</v>
      </c>
      <c r="W75" s="22" t="e">
        <f aca="false">AND(#REF!,"AAAAACf9nxY=")</f>
        <v>#VALUE!</v>
      </c>
      <c r="X75" s="22" t="e">
        <f aca="false">AND(#REF!,"AAAAACf9nxc=")</f>
        <v>#VALUE!</v>
      </c>
      <c r="Y75" s="22" t="e">
        <f aca="false">AND(#REF!,"AAAAACf9nxg=")</f>
        <v>#VALUE!</v>
      </c>
      <c r="Z75" s="22" t="e">
        <f aca="false">AND(#REF!,"AAAAACf9nxk=")</f>
        <v>#VALUE!</v>
      </c>
      <c r="AA75" s="22" t="e">
        <f aca="false">AND(#REF!,"AAAAACf9nxo=")</f>
        <v>#VALUE!</v>
      </c>
      <c r="AB75" s="22" t="e">
        <f aca="false">AND(#REF!,"AAAAACf9nxs=")</f>
        <v>#VALUE!</v>
      </c>
      <c r="AC75" s="22" t="e">
        <f aca="false">IF(#REF!,"AAAAACf9nxw=",0)</f>
        <v>#REF!</v>
      </c>
      <c r="AD75" s="22" t="e">
        <f aca="false">AND(#REF!,"AAAAACf9nx0=")</f>
        <v>#VALUE!</v>
      </c>
      <c r="AE75" s="22" t="e">
        <f aca="false">AND(#REF!,"AAAAACf9nx4=")</f>
        <v>#VALUE!</v>
      </c>
      <c r="AF75" s="22" t="e">
        <f aca="false">AND(#REF!,"AAAAACf9nx8=")</f>
        <v>#VALUE!</v>
      </c>
      <c r="AG75" s="22" t="e">
        <f aca="false">AND(#REF!,"AAAAACf9nyA=")</f>
        <v>#VALUE!</v>
      </c>
      <c r="AH75" s="22" t="e">
        <f aca="false">AND(#REF!,"AAAAACf9nyE=")</f>
        <v>#VALUE!</v>
      </c>
      <c r="AI75" s="22" t="e">
        <f aca="false">AND(#REF!,"AAAAACf9nyI=")</f>
        <v>#VALUE!</v>
      </c>
      <c r="AJ75" s="22" t="e">
        <f aca="false">AND(#REF!,"AAAAACf9nyM=")</f>
        <v>#VALUE!</v>
      </c>
      <c r="AK75" s="22" t="e">
        <f aca="false">AND(#REF!,"AAAAACf9nyQ=")</f>
        <v>#VALUE!</v>
      </c>
      <c r="AL75" s="22" t="e">
        <f aca="false">IF(#REF!,"AAAAACf9nyU=",0)</f>
        <v>#REF!</v>
      </c>
      <c r="AM75" s="22" t="e">
        <f aca="false">AND(#REF!,"AAAAACf9nyY=")</f>
        <v>#VALUE!</v>
      </c>
      <c r="AN75" s="22" t="e">
        <f aca="false">AND(#REF!,"AAAAACf9nyc=")</f>
        <v>#VALUE!</v>
      </c>
      <c r="AO75" s="22" t="e">
        <f aca="false">AND(#REF!,"AAAAACf9nyg=")</f>
        <v>#VALUE!</v>
      </c>
      <c r="AP75" s="22" t="e">
        <f aca="false">AND(#REF!,"AAAAACf9nyk=")</f>
        <v>#VALUE!</v>
      </c>
      <c r="AQ75" s="22" t="e">
        <f aca="false">AND(#REF!,"AAAAACf9nyo=")</f>
        <v>#VALUE!</v>
      </c>
      <c r="AR75" s="22" t="e">
        <f aca="false">AND(#REF!,"AAAAACf9nys=")</f>
        <v>#VALUE!</v>
      </c>
      <c r="AS75" s="22" t="e">
        <f aca="false">AND(#REF!,"AAAAACf9nyw=")</f>
        <v>#VALUE!</v>
      </c>
      <c r="AT75" s="22" t="e">
        <f aca="false">AND(#REF!,"AAAAACf9ny0=")</f>
        <v>#VALUE!</v>
      </c>
      <c r="AU75" s="22" t="e">
        <f aca="false">IF(#REF!,"AAAAACf9ny4=",0)</f>
        <v>#REF!</v>
      </c>
      <c r="AV75" s="22" t="e">
        <f aca="false">AND(#REF!,"AAAAACf9ny8=")</f>
        <v>#VALUE!</v>
      </c>
      <c r="AW75" s="22" t="e">
        <f aca="false">AND(#REF!,"AAAAACf9nzA=")</f>
        <v>#VALUE!</v>
      </c>
      <c r="AX75" s="22" t="e">
        <f aca="false">AND(#REF!,"AAAAACf9nzE=")</f>
        <v>#VALUE!</v>
      </c>
      <c r="AY75" s="22" t="e">
        <f aca="false">AND(#REF!,"AAAAACf9nzI=")</f>
        <v>#VALUE!</v>
      </c>
      <c r="AZ75" s="22" t="e">
        <f aca="false">AND(#REF!,"AAAAACf9nzM=")</f>
        <v>#VALUE!</v>
      </c>
      <c r="BA75" s="22" t="e">
        <f aca="false">AND(#REF!,"AAAAACf9nzQ=")</f>
        <v>#VALUE!</v>
      </c>
      <c r="BB75" s="22" t="e">
        <f aca="false">AND(#REF!,"AAAAACf9nzU=")</f>
        <v>#VALUE!</v>
      </c>
      <c r="BC75" s="22" t="e">
        <f aca="false">AND(#REF!,"AAAAACf9nzY=")</f>
        <v>#VALUE!</v>
      </c>
      <c r="BD75" s="22" t="e">
        <f aca="false">IF(#REF!,"AAAAACf9nzc=",0)</f>
        <v>#REF!</v>
      </c>
      <c r="BE75" s="22" t="e">
        <f aca="false">AND(#REF!,"AAAAACf9nzg=")</f>
        <v>#VALUE!</v>
      </c>
      <c r="BF75" s="22" t="e">
        <f aca="false">AND(#REF!,"AAAAACf9nzk=")</f>
        <v>#VALUE!</v>
      </c>
      <c r="BG75" s="22" t="e">
        <f aca="false">AND(#REF!,"AAAAACf9nzo=")</f>
        <v>#VALUE!</v>
      </c>
      <c r="BH75" s="22" t="e">
        <f aca="false">AND(#REF!,"AAAAACf9nzs=")</f>
        <v>#VALUE!</v>
      </c>
      <c r="BI75" s="22" t="e">
        <f aca="false">AND(#REF!,"AAAAACf9nzw=")</f>
        <v>#VALUE!</v>
      </c>
      <c r="BJ75" s="22" t="e">
        <f aca="false">AND(#REF!,"AAAAACf9nz0=")</f>
        <v>#VALUE!</v>
      </c>
      <c r="BK75" s="22" t="e">
        <f aca="false">AND(#REF!,"AAAAACf9nz4=")</f>
        <v>#VALUE!</v>
      </c>
      <c r="BL75" s="22" t="e">
        <f aca="false">AND(#REF!,"AAAAACf9nz8=")</f>
        <v>#VALUE!</v>
      </c>
      <c r="BM75" s="22" t="e">
        <f aca="false">IF(#REF!,"AAAAACf9n0A=",0)</f>
        <v>#REF!</v>
      </c>
      <c r="BN75" s="22" t="e">
        <f aca="false">AND(#REF!,"AAAAACf9n0E=")</f>
        <v>#VALUE!</v>
      </c>
      <c r="BO75" s="22" t="e">
        <f aca="false">AND(#REF!,"AAAAACf9n0I=")</f>
        <v>#VALUE!</v>
      </c>
      <c r="BP75" s="22" t="e">
        <f aca="false">AND(#REF!,"AAAAACf9n0M=")</f>
        <v>#VALUE!</v>
      </c>
      <c r="BQ75" s="22" t="e">
        <f aca="false">AND(#REF!,"AAAAACf9n0Q=")</f>
        <v>#VALUE!</v>
      </c>
      <c r="BR75" s="22" t="e">
        <f aca="false">AND(#REF!,"AAAAACf9n0U=")</f>
        <v>#VALUE!</v>
      </c>
      <c r="BS75" s="22" t="e">
        <f aca="false">AND(#REF!,"AAAAACf9n0Y=")</f>
        <v>#VALUE!</v>
      </c>
      <c r="BT75" s="22" t="e">
        <f aca="false">AND(#REF!,"AAAAACf9n0c=")</f>
        <v>#VALUE!</v>
      </c>
      <c r="BU75" s="22" t="e">
        <f aca="false">AND(#REF!,"AAAAACf9n0g=")</f>
        <v>#VALUE!</v>
      </c>
      <c r="BV75" s="22" t="e">
        <f aca="false">IF(#REF!,"AAAAACf9n0k=",0)</f>
        <v>#REF!</v>
      </c>
      <c r="BW75" s="22" t="e">
        <f aca="false">AND(#REF!,"AAAAACf9n0o=")</f>
        <v>#VALUE!</v>
      </c>
      <c r="BX75" s="22" t="e">
        <f aca="false">AND(#REF!,"AAAAACf9n0s=")</f>
        <v>#VALUE!</v>
      </c>
      <c r="BY75" s="22" t="e">
        <f aca="false">AND(#REF!,"AAAAACf9n0w=")</f>
        <v>#VALUE!</v>
      </c>
      <c r="BZ75" s="22" t="e">
        <f aca="false">AND(#REF!,"AAAAACf9n00=")</f>
        <v>#VALUE!</v>
      </c>
      <c r="CA75" s="22" t="e">
        <f aca="false">AND(#REF!,"AAAAACf9n04=")</f>
        <v>#VALUE!</v>
      </c>
      <c r="CB75" s="22" t="e">
        <f aca="false">AND(#REF!,"AAAAACf9n08=")</f>
        <v>#VALUE!</v>
      </c>
      <c r="CC75" s="22" t="e">
        <f aca="false">AND(#REF!,"AAAAACf9n1A=")</f>
        <v>#VALUE!</v>
      </c>
      <c r="CD75" s="22" t="e">
        <f aca="false">AND(#REF!,"AAAAACf9n1E=")</f>
        <v>#VALUE!</v>
      </c>
      <c r="CE75" s="22" t="e">
        <f aca="false">IF(#REF!,"AAAAACf9n1I=",0)</f>
        <v>#REF!</v>
      </c>
      <c r="CF75" s="22" t="e">
        <f aca="false">AND(#REF!,"AAAAACf9n1M=")</f>
        <v>#VALUE!</v>
      </c>
      <c r="CG75" s="22" t="e">
        <f aca="false">AND(#REF!,"AAAAACf9n1Q=")</f>
        <v>#VALUE!</v>
      </c>
      <c r="CH75" s="22" t="e">
        <f aca="false">AND(#REF!,"AAAAACf9n1U=")</f>
        <v>#VALUE!</v>
      </c>
      <c r="CI75" s="22" t="e">
        <f aca="false">AND(#REF!,"AAAAACf9n1Y=")</f>
        <v>#VALUE!</v>
      </c>
      <c r="CJ75" s="22" t="e">
        <f aca="false">AND(#REF!,"AAAAACf9n1c=")</f>
        <v>#VALUE!</v>
      </c>
      <c r="CK75" s="22" t="e">
        <f aca="false">AND(#REF!,"AAAAACf9n1g=")</f>
        <v>#VALUE!</v>
      </c>
      <c r="CL75" s="22" t="e">
        <f aca="false">AND(#REF!,"AAAAACf9n1k=")</f>
        <v>#VALUE!</v>
      </c>
      <c r="CM75" s="22" t="e">
        <f aca="false">AND(#REF!,"AAAAACf9n1o=")</f>
        <v>#VALUE!</v>
      </c>
      <c r="CN75" s="22" t="e">
        <f aca="false">IF(#REF!,"AAAAACf9n1s=",0)</f>
        <v>#REF!</v>
      </c>
      <c r="CO75" s="22" t="e">
        <f aca="false">AND(#REF!,"AAAAACf9n1w=")</f>
        <v>#VALUE!</v>
      </c>
      <c r="CP75" s="22" t="e">
        <f aca="false">AND(#REF!,"AAAAACf9n10=")</f>
        <v>#VALUE!</v>
      </c>
      <c r="CQ75" s="22" t="e">
        <f aca="false">AND(#REF!,"AAAAACf9n14=")</f>
        <v>#VALUE!</v>
      </c>
      <c r="CR75" s="22" t="e">
        <f aca="false">AND(#REF!,"AAAAACf9n18=")</f>
        <v>#VALUE!</v>
      </c>
      <c r="CS75" s="22" t="e">
        <f aca="false">AND(#REF!,"AAAAACf9n2A=")</f>
        <v>#VALUE!</v>
      </c>
      <c r="CT75" s="22" t="e">
        <f aca="false">AND(#REF!,"AAAAACf9n2E=")</f>
        <v>#VALUE!</v>
      </c>
      <c r="CU75" s="22" t="e">
        <f aca="false">AND(#REF!,"AAAAACf9n2I=")</f>
        <v>#VALUE!</v>
      </c>
      <c r="CV75" s="22" t="e">
        <f aca="false">AND(#REF!,"AAAAACf9n2M=")</f>
        <v>#VALUE!</v>
      </c>
      <c r="CW75" s="22" t="e">
        <f aca="false">IF(#REF!,"AAAAACf9n2Q=",0)</f>
        <v>#REF!</v>
      </c>
      <c r="CX75" s="22" t="e">
        <f aca="false">AND(#REF!,"AAAAACf9n2U=")</f>
        <v>#VALUE!</v>
      </c>
      <c r="CY75" s="22" t="e">
        <f aca="false">AND(#REF!,"AAAAACf9n2Y=")</f>
        <v>#VALUE!</v>
      </c>
      <c r="CZ75" s="22" t="e">
        <f aca="false">AND(#REF!,"AAAAACf9n2c=")</f>
        <v>#VALUE!</v>
      </c>
      <c r="DA75" s="22" t="e">
        <f aca="false">AND(#REF!,"AAAAACf9n2g=")</f>
        <v>#VALUE!</v>
      </c>
      <c r="DB75" s="22" t="e">
        <f aca="false">AND(#REF!,"AAAAACf9n2k=")</f>
        <v>#VALUE!</v>
      </c>
      <c r="DC75" s="22" t="e">
        <f aca="false">AND(#REF!,"AAAAACf9n2o=")</f>
        <v>#VALUE!</v>
      </c>
      <c r="DD75" s="22" t="e">
        <f aca="false">AND(#REF!,"AAAAACf9n2s=")</f>
        <v>#VALUE!</v>
      </c>
      <c r="DE75" s="22" t="e">
        <f aca="false">AND(#REF!,"AAAAACf9n2w=")</f>
        <v>#VALUE!</v>
      </c>
      <c r="DF75" s="22" t="e">
        <f aca="false">IF(#REF!,"AAAAACf9n20=",0)</f>
        <v>#REF!</v>
      </c>
      <c r="DG75" s="22" t="e">
        <f aca="false">AND(#REF!,"AAAAACf9n24=")</f>
        <v>#VALUE!</v>
      </c>
      <c r="DH75" s="22" t="e">
        <f aca="false">AND(#REF!,"AAAAACf9n28=")</f>
        <v>#VALUE!</v>
      </c>
      <c r="DI75" s="22" t="e">
        <f aca="false">AND(#REF!,"AAAAACf9n3A=")</f>
        <v>#VALUE!</v>
      </c>
      <c r="DJ75" s="22" t="e">
        <f aca="false">AND(#REF!,"AAAAACf9n3E=")</f>
        <v>#VALUE!</v>
      </c>
      <c r="DK75" s="22" t="e">
        <f aca="false">AND(#REF!,"AAAAACf9n3I=")</f>
        <v>#VALUE!</v>
      </c>
      <c r="DL75" s="22" t="e">
        <f aca="false">AND(#REF!,"AAAAACf9n3M=")</f>
        <v>#VALUE!</v>
      </c>
      <c r="DM75" s="22" t="e">
        <f aca="false">AND(#REF!,"AAAAACf9n3Q=")</f>
        <v>#VALUE!</v>
      </c>
      <c r="DN75" s="22" t="e">
        <f aca="false">AND(#REF!,"AAAAACf9n3U=")</f>
        <v>#VALUE!</v>
      </c>
      <c r="DO75" s="22" t="e">
        <f aca="false">IF(#REF!,"AAAAACf9n3Y=",0)</f>
        <v>#REF!</v>
      </c>
      <c r="DP75" s="22" t="e">
        <f aca="false">AND(#REF!,"AAAAACf9n3c=")</f>
        <v>#VALUE!</v>
      </c>
      <c r="DQ75" s="22" t="e">
        <f aca="false">AND(#REF!,"AAAAACf9n3g=")</f>
        <v>#VALUE!</v>
      </c>
      <c r="DR75" s="22" t="e">
        <f aca="false">AND(#REF!,"AAAAACf9n3k=")</f>
        <v>#VALUE!</v>
      </c>
      <c r="DS75" s="22" t="e">
        <f aca="false">AND(#REF!,"AAAAACf9n3o=")</f>
        <v>#VALUE!</v>
      </c>
      <c r="DT75" s="22" t="e">
        <f aca="false">AND(#REF!,"AAAAACf9n3s=")</f>
        <v>#VALUE!</v>
      </c>
      <c r="DU75" s="22" t="e">
        <f aca="false">AND(#REF!,"AAAAACf9n3w=")</f>
        <v>#VALUE!</v>
      </c>
      <c r="DV75" s="22" t="e">
        <f aca="false">AND(#REF!,"AAAAACf9n30=")</f>
        <v>#VALUE!</v>
      </c>
      <c r="DW75" s="22" t="e">
        <f aca="false">AND(#REF!,"AAAAACf9n34=")</f>
        <v>#VALUE!</v>
      </c>
      <c r="DX75" s="22" t="e">
        <f aca="false">IF(#REF!,"AAAAACf9n38=",0)</f>
        <v>#REF!</v>
      </c>
      <c r="DY75" s="22" t="e">
        <f aca="false">AND(#REF!,"AAAAACf9n4A=")</f>
        <v>#VALUE!</v>
      </c>
      <c r="DZ75" s="22" t="e">
        <f aca="false">AND(#REF!,"AAAAACf9n4E=")</f>
        <v>#VALUE!</v>
      </c>
      <c r="EA75" s="22" t="e">
        <f aca="false">AND(#REF!,"AAAAACf9n4I=")</f>
        <v>#VALUE!</v>
      </c>
      <c r="EB75" s="22" t="e">
        <f aca="false">AND(#REF!,"AAAAACf9n4M=")</f>
        <v>#VALUE!</v>
      </c>
      <c r="EC75" s="22" t="e">
        <f aca="false">AND(#REF!,"AAAAACf9n4Q=")</f>
        <v>#VALUE!</v>
      </c>
      <c r="ED75" s="22" t="e">
        <f aca="false">AND(#REF!,"AAAAACf9n4U=")</f>
        <v>#VALUE!</v>
      </c>
      <c r="EE75" s="22" t="e">
        <f aca="false">AND(#REF!,"AAAAACf9n4Y=")</f>
        <v>#VALUE!</v>
      </c>
      <c r="EF75" s="22" t="e">
        <f aca="false">AND(#REF!,"AAAAACf9n4c=")</f>
        <v>#VALUE!</v>
      </c>
      <c r="EG75" s="22" t="e">
        <f aca="false">IF(#REF!,"AAAAACf9n4g=",0)</f>
        <v>#REF!</v>
      </c>
      <c r="EH75" s="22" t="e">
        <f aca="false">AND(#REF!,"AAAAACf9n4k=")</f>
        <v>#VALUE!</v>
      </c>
      <c r="EI75" s="22" t="e">
        <f aca="false">AND(#REF!,"AAAAACf9n4o=")</f>
        <v>#VALUE!</v>
      </c>
      <c r="EJ75" s="22" t="e">
        <f aca="false">AND(#REF!,"AAAAACf9n4s=")</f>
        <v>#VALUE!</v>
      </c>
      <c r="EK75" s="22" t="e">
        <f aca="false">AND(#REF!,"AAAAACf9n4w=")</f>
        <v>#VALUE!</v>
      </c>
      <c r="EL75" s="22" t="e">
        <f aca="false">AND(#REF!,"AAAAACf9n40=")</f>
        <v>#VALUE!</v>
      </c>
      <c r="EM75" s="22" t="e">
        <f aca="false">AND(#REF!,"AAAAACf9n44=")</f>
        <v>#VALUE!</v>
      </c>
      <c r="EN75" s="22" t="e">
        <f aca="false">AND(#REF!,"AAAAACf9n48=")</f>
        <v>#VALUE!</v>
      </c>
      <c r="EO75" s="22" t="e">
        <f aca="false">AND(#REF!,"AAAAACf9n5A=")</f>
        <v>#VALUE!</v>
      </c>
      <c r="EP75" s="22" t="e">
        <f aca="false">IF(#REF!,"AAAAACf9n5E=",0)</f>
        <v>#REF!</v>
      </c>
      <c r="EQ75" s="22" t="e">
        <f aca="false">AND(#REF!,"AAAAACf9n5I=")</f>
        <v>#VALUE!</v>
      </c>
      <c r="ER75" s="22" t="e">
        <f aca="false">AND(#REF!,"AAAAACf9n5M=")</f>
        <v>#VALUE!</v>
      </c>
      <c r="ES75" s="22" t="e">
        <f aca="false">AND(#REF!,"AAAAACf9n5Q=")</f>
        <v>#VALUE!</v>
      </c>
      <c r="ET75" s="22" t="e">
        <f aca="false">AND(#REF!,"AAAAACf9n5U=")</f>
        <v>#VALUE!</v>
      </c>
      <c r="EU75" s="22" t="e">
        <f aca="false">AND(#REF!,"AAAAACf9n5Y=")</f>
        <v>#VALUE!</v>
      </c>
      <c r="EV75" s="22" t="e">
        <f aca="false">AND(#REF!,"AAAAACf9n5c=")</f>
        <v>#VALUE!</v>
      </c>
      <c r="EW75" s="22" t="e">
        <f aca="false">AND(#REF!,"AAAAACf9n5g=")</f>
        <v>#VALUE!</v>
      </c>
      <c r="EX75" s="22" t="e">
        <f aca="false">AND(#REF!,"AAAAACf9n5k=")</f>
        <v>#VALUE!</v>
      </c>
      <c r="EY75" s="22" t="e">
        <f aca="false">IF(#REF!,"AAAAACf9n5o=",0)</f>
        <v>#REF!</v>
      </c>
      <c r="EZ75" s="22" t="e">
        <f aca="false">AND(#REF!,"AAAAACf9n5s=")</f>
        <v>#VALUE!</v>
      </c>
      <c r="FA75" s="22" t="e">
        <f aca="false">AND(#REF!,"AAAAACf9n5w=")</f>
        <v>#VALUE!</v>
      </c>
      <c r="FB75" s="22" t="e">
        <f aca="false">AND(#REF!,"AAAAACf9n50=")</f>
        <v>#VALUE!</v>
      </c>
      <c r="FC75" s="22" t="e">
        <f aca="false">AND(#REF!,"AAAAACf9n54=")</f>
        <v>#VALUE!</v>
      </c>
      <c r="FD75" s="22" t="e">
        <f aca="false">AND(#REF!,"AAAAACf9n58=")</f>
        <v>#VALUE!</v>
      </c>
      <c r="FE75" s="22" t="e">
        <f aca="false">AND(#REF!,"AAAAACf9n6A=")</f>
        <v>#VALUE!</v>
      </c>
      <c r="FF75" s="22" t="e">
        <f aca="false">AND(#REF!,"AAAAACf9n6E=")</f>
        <v>#VALUE!</v>
      </c>
      <c r="FG75" s="22" t="e">
        <f aca="false">AND(#REF!,"AAAAACf9n6I=")</f>
        <v>#VALUE!</v>
      </c>
      <c r="FH75" s="22" t="e">
        <f aca="false">IF(#REF!,"AAAAACf9n6M=",0)</f>
        <v>#REF!</v>
      </c>
      <c r="FI75" s="22" t="e">
        <f aca="false">AND(#REF!,"AAAAACf9n6Q=")</f>
        <v>#VALUE!</v>
      </c>
      <c r="FJ75" s="22" t="e">
        <f aca="false">AND(#REF!,"AAAAACf9n6U=")</f>
        <v>#VALUE!</v>
      </c>
      <c r="FK75" s="22" t="e">
        <f aca="false">AND(#REF!,"AAAAACf9n6Y=")</f>
        <v>#VALUE!</v>
      </c>
      <c r="FL75" s="22" t="e">
        <f aca="false">AND(#REF!,"AAAAACf9n6c=")</f>
        <v>#VALUE!</v>
      </c>
      <c r="FM75" s="22" t="e">
        <f aca="false">AND(#REF!,"AAAAACf9n6g=")</f>
        <v>#VALUE!</v>
      </c>
      <c r="FN75" s="22" t="e">
        <f aca="false">AND(#REF!,"AAAAACf9n6k=")</f>
        <v>#VALUE!</v>
      </c>
      <c r="FO75" s="22" t="e">
        <f aca="false">AND(#REF!,"AAAAACf9n6o=")</f>
        <v>#VALUE!</v>
      </c>
      <c r="FP75" s="22" t="e">
        <f aca="false">AND(#REF!,"AAAAACf9n6s=")</f>
        <v>#VALUE!</v>
      </c>
      <c r="FQ75" s="22" t="e">
        <f aca="false">IF(#REF!,"AAAAACf9n6w=",0)</f>
        <v>#REF!</v>
      </c>
      <c r="FR75" s="22" t="e">
        <f aca="false">AND(#REF!,"AAAAACf9n60=")</f>
        <v>#VALUE!</v>
      </c>
      <c r="FS75" s="22" t="e">
        <f aca="false">AND(#REF!,"AAAAACf9n64=")</f>
        <v>#VALUE!</v>
      </c>
      <c r="FT75" s="22" t="e">
        <f aca="false">AND(#REF!,"AAAAACf9n68=")</f>
        <v>#VALUE!</v>
      </c>
      <c r="FU75" s="22" t="e">
        <f aca="false">AND(#REF!,"AAAAACf9n7A=")</f>
        <v>#VALUE!</v>
      </c>
      <c r="FV75" s="22" t="e">
        <f aca="false">AND(#REF!,"AAAAACf9n7E=")</f>
        <v>#VALUE!</v>
      </c>
      <c r="FW75" s="22" t="e">
        <f aca="false">AND(#REF!,"AAAAACf9n7I=")</f>
        <v>#VALUE!</v>
      </c>
      <c r="FX75" s="22" t="e">
        <f aca="false">AND(#REF!,"AAAAACf9n7M=")</f>
        <v>#VALUE!</v>
      </c>
      <c r="FY75" s="22" t="e">
        <f aca="false">AND(#REF!,"AAAAACf9n7Q=")</f>
        <v>#VALUE!</v>
      </c>
      <c r="FZ75" s="22" t="e">
        <f aca="false">IF(#REF!,"AAAAACf9n7U=",0)</f>
        <v>#REF!</v>
      </c>
      <c r="GA75" s="22" t="e">
        <f aca="false">AND(#REF!,"AAAAACf9n7Y=")</f>
        <v>#VALUE!</v>
      </c>
      <c r="GB75" s="22" t="e">
        <f aca="false">AND(#REF!,"AAAAACf9n7c=")</f>
        <v>#VALUE!</v>
      </c>
      <c r="GC75" s="22" t="e">
        <f aca="false">AND(#REF!,"AAAAACf9n7g=")</f>
        <v>#VALUE!</v>
      </c>
      <c r="GD75" s="22" t="e">
        <f aca="false">AND(#REF!,"AAAAACf9n7k=")</f>
        <v>#VALUE!</v>
      </c>
      <c r="GE75" s="22" t="e">
        <f aca="false">AND(#REF!,"AAAAACf9n7o=")</f>
        <v>#VALUE!</v>
      </c>
      <c r="GF75" s="22" t="e">
        <f aca="false">AND(#REF!,"AAAAACf9n7s=")</f>
        <v>#VALUE!</v>
      </c>
      <c r="GG75" s="22" t="e">
        <f aca="false">AND(#REF!,"AAAAACf9n7w=")</f>
        <v>#VALUE!</v>
      </c>
      <c r="GH75" s="22" t="e">
        <f aca="false">AND(#REF!,"AAAAACf9n70=")</f>
        <v>#VALUE!</v>
      </c>
      <c r="GI75" s="22" t="e">
        <f aca="false">IF(#REF!,"AAAAACf9n74=",0)</f>
        <v>#REF!</v>
      </c>
      <c r="GJ75" s="22" t="e">
        <f aca="false">AND(#REF!,"AAAAACf9n78=")</f>
        <v>#VALUE!</v>
      </c>
      <c r="GK75" s="22" t="e">
        <f aca="false">AND(#REF!,"AAAAACf9n8A=")</f>
        <v>#VALUE!</v>
      </c>
      <c r="GL75" s="22" t="e">
        <f aca="false">AND(#REF!,"AAAAACf9n8E=")</f>
        <v>#VALUE!</v>
      </c>
      <c r="GM75" s="22" t="e">
        <f aca="false">AND(#REF!,"AAAAACf9n8I=")</f>
        <v>#VALUE!</v>
      </c>
      <c r="GN75" s="22" t="e">
        <f aca="false">AND(#REF!,"AAAAACf9n8M=")</f>
        <v>#VALUE!</v>
      </c>
      <c r="GO75" s="22" t="e">
        <f aca="false">AND(#REF!,"AAAAACf9n8Q=")</f>
        <v>#VALUE!</v>
      </c>
      <c r="GP75" s="22" t="e">
        <f aca="false">AND(#REF!,"AAAAACf9n8U=")</f>
        <v>#VALUE!</v>
      </c>
      <c r="GQ75" s="22" t="e">
        <f aca="false">AND(#REF!,"AAAAACf9n8Y=")</f>
        <v>#VALUE!</v>
      </c>
      <c r="GR75" s="22" t="e">
        <f aca="false">IF(#REF!,"AAAAACf9n8c=",0)</f>
        <v>#REF!</v>
      </c>
      <c r="GS75" s="22" t="e">
        <f aca="false">AND(#REF!,"AAAAACf9n8g=")</f>
        <v>#VALUE!</v>
      </c>
      <c r="GT75" s="22" t="e">
        <f aca="false">AND(#REF!,"AAAAACf9n8k=")</f>
        <v>#VALUE!</v>
      </c>
      <c r="GU75" s="22" t="e">
        <f aca="false">AND(#REF!,"AAAAACf9n8o=")</f>
        <v>#VALUE!</v>
      </c>
      <c r="GV75" s="22" t="e">
        <f aca="false">AND(#REF!,"AAAAACf9n8s=")</f>
        <v>#VALUE!</v>
      </c>
      <c r="GW75" s="22" t="e">
        <f aca="false">AND(#REF!,"AAAAACf9n8w=")</f>
        <v>#VALUE!</v>
      </c>
      <c r="GX75" s="22" t="e">
        <f aca="false">AND(#REF!,"AAAAACf9n80=")</f>
        <v>#VALUE!</v>
      </c>
      <c r="GY75" s="22" t="e">
        <f aca="false">AND(#REF!,"AAAAACf9n84=")</f>
        <v>#VALUE!</v>
      </c>
      <c r="GZ75" s="22" t="e">
        <f aca="false">AND(#REF!,"AAAAACf9n88=")</f>
        <v>#VALUE!</v>
      </c>
      <c r="HA75" s="22" t="e">
        <f aca="false">IF(#REF!,"AAAAACf9n9A=",0)</f>
        <v>#REF!</v>
      </c>
      <c r="HB75" s="22" t="e">
        <f aca="false">AND(#REF!,"AAAAACf9n9E=")</f>
        <v>#VALUE!</v>
      </c>
      <c r="HC75" s="22" t="e">
        <f aca="false">AND(#REF!,"AAAAACf9n9I=")</f>
        <v>#VALUE!</v>
      </c>
      <c r="HD75" s="22" t="e">
        <f aca="false">AND(#REF!,"AAAAACf9n9M=")</f>
        <v>#VALUE!</v>
      </c>
      <c r="HE75" s="22" t="e">
        <f aca="false">AND(#REF!,"AAAAACf9n9Q=")</f>
        <v>#VALUE!</v>
      </c>
      <c r="HF75" s="22" t="e">
        <f aca="false">AND(#REF!,"AAAAACf9n9U=")</f>
        <v>#VALUE!</v>
      </c>
      <c r="HG75" s="22" t="e">
        <f aca="false">AND(#REF!,"AAAAACf9n9Y=")</f>
        <v>#VALUE!</v>
      </c>
      <c r="HH75" s="22" t="e">
        <f aca="false">AND(#REF!,"AAAAACf9n9c=")</f>
        <v>#VALUE!</v>
      </c>
      <c r="HI75" s="22" t="e">
        <f aca="false">AND(#REF!,"AAAAACf9n9g=")</f>
        <v>#VALUE!</v>
      </c>
      <c r="HJ75" s="22" t="e">
        <f aca="false">IF(#REF!,"AAAAACf9n9k=",0)</f>
        <v>#REF!</v>
      </c>
      <c r="HK75" s="22" t="e">
        <f aca="false">AND(#REF!,"AAAAACf9n9o=")</f>
        <v>#VALUE!</v>
      </c>
      <c r="HL75" s="22" t="e">
        <f aca="false">AND(#REF!,"AAAAACf9n9s=")</f>
        <v>#VALUE!</v>
      </c>
      <c r="HM75" s="22" t="e">
        <f aca="false">AND(#REF!,"AAAAACf9n9w=")</f>
        <v>#VALUE!</v>
      </c>
      <c r="HN75" s="22" t="e">
        <f aca="false">AND(#REF!,"AAAAACf9n90=")</f>
        <v>#VALUE!</v>
      </c>
      <c r="HO75" s="22" t="e">
        <f aca="false">AND(#REF!,"AAAAACf9n94=")</f>
        <v>#VALUE!</v>
      </c>
      <c r="HP75" s="22" t="e">
        <f aca="false">AND(#REF!,"AAAAACf9n98=")</f>
        <v>#VALUE!</v>
      </c>
      <c r="HQ75" s="22" t="e">
        <f aca="false">AND(#REF!,"AAAAACf9n+A=")</f>
        <v>#VALUE!</v>
      </c>
      <c r="HR75" s="22" t="e">
        <f aca="false">AND(#REF!,"AAAAACf9n+E=")</f>
        <v>#VALUE!</v>
      </c>
      <c r="HS75" s="22" t="e">
        <f aca="false">IF(#REF!,"AAAAACf9n+I=",0)</f>
        <v>#REF!</v>
      </c>
      <c r="HT75" s="22" t="e">
        <f aca="false">AND(#REF!,"AAAAACf9n+M=")</f>
        <v>#VALUE!</v>
      </c>
      <c r="HU75" s="22" t="e">
        <f aca="false">AND(#REF!,"AAAAACf9n+Q=")</f>
        <v>#VALUE!</v>
      </c>
      <c r="HV75" s="22" t="e">
        <f aca="false">AND(#REF!,"AAAAACf9n+U=")</f>
        <v>#VALUE!</v>
      </c>
      <c r="HW75" s="22" t="e">
        <f aca="false">AND(#REF!,"AAAAACf9n+Y=")</f>
        <v>#VALUE!</v>
      </c>
      <c r="HX75" s="22" t="e">
        <f aca="false">AND(#REF!,"AAAAACf9n+c=")</f>
        <v>#VALUE!</v>
      </c>
      <c r="HY75" s="22" t="e">
        <f aca="false">AND(#REF!,"AAAAACf9n+g=")</f>
        <v>#VALUE!</v>
      </c>
      <c r="HZ75" s="22" t="e">
        <f aca="false">AND(#REF!,"AAAAACf9n+k=")</f>
        <v>#VALUE!</v>
      </c>
      <c r="IA75" s="22" t="e">
        <f aca="false">AND(#REF!,"AAAAACf9n+o=")</f>
        <v>#VALUE!</v>
      </c>
      <c r="IB75" s="22" t="e">
        <f aca="false">IF(#REF!,"AAAAACf9n+s=",0)</f>
        <v>#REF!</v>
      </c>
      <c r="IC75" s="22" t="e">
        <f aca="false">AND(#REF!,"AAAAACf9n+w=")</f>
        <v>#VALUE!</v>
      </c>
      <c r="ID75" s="22" t="e">
        <f aca="false">AND(#REF!,"AAAAACf9n+0=")</f>
        <v>#VALUE!</v>
      </c>
      <c r="IE75" s="22" t="e">
        <f aca="false">AND(#REF!,"AAAAACf9n+4=")</f>
        <v>#VALUE!</v>
      </c>
      <c r="IF75" s="22" t="e">
        <f aca="false">AND(#REF!,"AAAAACf9n+8=")</f>
        <v>#VALUE!</v>
      </c>
      <c r="IG75" s="22" t="e">
        <f aca="false">AND(#REF!,"AAAAACf9n/A=")</f>
        <v>#VALUE!</v>
      </c>
      <c r="IH75" s="22" t="e">
        <f aca="false">AND(#REF!,"AAAAACf9n/E=")</f>
        <v>#VALUE!</v>
      </c>
      <c r="II75" s="22" t="e">
        <f aca="false">AND(#REF!,"AAAAACf9n/I=")</f>
        <v>#VALUE!</v>
      </c>
      <c r="IJ75" s="22" t="e">
        <f aca="false">AND(#REF!,"AAAAACf9n/M=")</f>
        <v>#VALUE!</v>
      </c>
      <c r="IK75" s="22" t="e">
        <f aca="false">IF(#REF!,"AAAAACf9n/Q=",0)</f>
        <v>#REF!</v>
      </c>
      <c r="IL75" s="22" t="e">
        <f aca="false">AND(#REF!,"AAAAACf9n/U=")</f>
        <v>#VALUE!</v>
      </c>
      <c r="IM75" s="22" t="e">
        <f aca="false">AND(#REF!,"AAAAACf9n/Y=")</f>
        <v>#VALUE!</v>
      </c>
      <c r="IN75" s="22" t="e">
        <f aca="false">AND(#REF!,"AAAAACf9n/c=")</f>
        <v>#VALUE!</v>
      </c>
      <c r="IO75" s="22" t="e">
        <f aca="false">AND(#REF!,"AAAAACf9n/g=")</f>
        <v>#VALUE!</v>
      </c>
      <c r="IP75" s="22" t="e">
        <f aca="false">AND(#REF!,"AAAAACf9n/k=")</f>
        <v>#VALUE!</v>
      </c>
      <c r="IQ75" s="22" t="e">
        <f aca="false">AND(#REF!,"AAAAACf9n/o=")</f>
        <v>#VALUE!</v>
      </c>
      <c r="IR75" s="22" t="e">
        <f aca="false">AND(#REF!,"AAAAACf9n/s=")</f>
        <v>#VALUE!</v>
      </c>
      <c r="IS75" s="22" t="e">
        <f aca="false">AND(#REF!,"AAAAACf9n/w=")</f>
        <v>#VALUE!</v>
      </c>
      <c r="IT75" s="22" t="e">
        <f aca="false">IF(#REF!,"AAAAACf9n/0=",0)</f>
        <v>#REF!</v>
      </c>
      <c r="IU75" s="22" t="e">
        <f aca="false">AND(#REF!,"AAAAACf9n/4=")</f>
        <v>#VALUE!</v>
      </c>
      <c r="IV75" s="22" t="e">
        <f aca="false">AND(#REF!,"AAAAACf9n/8=")</f>
        <v>#VALUE!</v>
      </c>
    </row>
    <row r="76" customFormat="false" ht="12.75" hidden="false" customHeight="false" outlineLevel="0" collapsed="false">
      <c r="A76" s="22" t="e">
        <f aca="false">AND(#REF!,"AAAAAE+31wA=")</f>
        <v>#VALUE!</v>
      </c>
      <c r="B76" s="22" t="e">
        <f aca="false">AND(#REF!,"AAAAAE+31wE=")</f>
        <v>#VALUE!</v>
      </c>
      <c r="C76" s="22" t="e">
        <f aca="false">AND(#REF!,"AAAAAE+31wI=")</f>
        <v>#VALUE!</v>
      </c>
      <c r="D76" s="22" t="e">
        <f aca="false">AND(#REF!,"AAAAAE+31wM=")</f>
        <v>#VALUE!</v>
      </c>
      <c r="E76" s="22" t="e">
        <f aca="false">AND(#REF!,"AAAAAE+31wQ=")</f>
        <v>#VALUE!</v>
      </c>
      <c r="F76" s="22" t="e">
        <f aca="false">AND(#REF!,"AAAAAE+31wU=")</f>
        <v>#VALUE!</v>
      </c>
      <c r="G76" s="22" t="e">
        <f aca="false">IF(#REF!,"AAAAAE+31wY=",0)</f>
        <v>#REF!</v>
      </c>
      <c r="H76" s="22" t="e">
        <f aca="false">AND(#REF!,"AAAAAE+31wc=")</f>
        <v>#VALUE!</v>
      </c>
      <c r="I76" s="22" t="e">
        <f aca="false">AND(#REF!,"AAAAAE+31wg=")</f>
        <v>#VALUE!</v>
      </c>
      <c r="J76" s="22" t="e">
        <f aca="false">AND(#REF!,"AAAAAE+31wk=")</f>
        <v>#VALUE!</v>
      </c>
      <c r="K76" s="22" t="e">
        <f aca="false">AND(#REF!,"AAAAAE+31wo=")</f>
        <v>#VALUE!</v>
      </c>
      <c r="L76" s="22" t="e">
        <f aca="false">AND(#REF!,"AAAAAE+31ws=")</f>
        <v>#VALUE!</v>
      </c>
      <c r="M76" s="22" t="e">
        <f aca="false">AND(#REF!,"AAAAAE+31ww=")</f>
        <v>#VALUE!</v>
      </c>
      <c r="N76" s="22" t="e">
        <f aca="false">AND(#REF!,"AAAAAE+31w0=")</f>
        <v>#VALUE!</v>
      </c>
      <c r="O76" s="22" t="e">
        <f aca="false">AND(#REF!,"AAAAAE+31w4=")</f>
        <v>#VALUE!</v>
      </c>
      <c r="P76" s="22" t="e">
        <f aca="false">IF(#REF!,"AAAAAE+31w8=",0)</f>
        <v>#REF!</v>
      </c>
      <c r="Q76" s="22" t="e">
        <f aca="false">AND(#REF!,"AAAAAE+31xA=")</f>
        <v>#VALUE!</v>
      </c>
      <c r="R76" s="22" t="e">
        <f aca="false">AND(#REF!,"AAAAAE+31xE=")</f>
        <v>#VALUE!</v>
      </c>
      <c r="S76" s="22" t="e">
        <f aca="false">AND(#REF!,"AAAAAE+31xI=")</f>
        <v>#VALUE!</v>
      </c>
      <c r="T76" s="22" t="e">
        <f aca="false">AND(#REF!,"AAAAAE+31xM=")</f>
        <v>#VALUE!</v>
      </c>
      <c r="U76" s="22" t="e">
        <f aca="false">AND(#REF!,"AAAAAE+31xQ=")</f>
        <v>#VALUE!</v>
      </c>
      <c r="V76" s="22" t="e">
        <f aca="false">AND(#REF!,"AAAAAE+31xU=")</f>
        <v>#VALUE!</v>
      </c>
      <c r="W76" s="22" t="e">
        <f aca="false">AND(#REF!,"AAAAAE+31xY=")</f>
        <v>#VALUE!</v>
      </c>
      <c r="X76" s="22" t="e">
        <f aca="false">AND(#REF!,"AAAAAE+31xc=")</f>
        <v>#VALUE!</v>
      </c>
      <c r="Y76" s="22" t="e">
        <f aca="false">IF(#REF!,"AAAAAE+31xg=",0)</f>
        <v>#REF!</v>
      </c>
      <c r="Z76" s="22" t="e">
        <f aca="false">AND(#REF!,"AAAAAE+31xk=")</f>
        <v>#VALUE!</v>
      </c>
      <c r="AA76" s="22" t="e">
        <f aca="false">AND(#REF!,"AAAAAE+31xo=")</f>
        <v>#VALUE!</v>
      </c>
      <c r="AB76" s="22" t="e">
        <f aca="false">AND(#REF!,"AAAAAE+31xs=")</f>
        <v>#VALUE!</v>
      </c>
      <c r="AC76" s="22" t="e">
        <f aca="false">AND(#REF!,"AAAAAE+31xw=")</f>
        <v>#VALUE!</v>
      </c>
      <c r="AD76" s="22" t="e">
        <f aca="false">AND(#REF!,"AAAAAE+31x0=")</f>
        <v>#VALUE!</v>
      </c>
      <c r="AE76" s="22" t="e">
        <f aca="false">AND(#REF!,"AAAAAE+31x4=")</f>
        <v>#VALUE!</v>
      </c>
      <c r="AF76" s="22" t="e">
        <f aca="false">AND(#REF!,"AAAAAE+31x8=")</f>
        <v>#VALUE!</v>
      </c>
      <c r="AG76" s="22" t="e">
        <f aca="false">AND(#REF!,"AAAAAE+31yA=")</f>
        <v>#VALUE!</v>
      </c>
      <c r="AH76" s="22" t="e">
        <f aca="false">IF(#REF!,"AAAAAE+31yE=",0)</f>
        <v>#REF!</v>
      </c>
      <c r="AI76" s="22" t="e">
        <f aca="false">AND(#REF!,"AAAAAE+31yI=")</f>
        <v>#VALUE!</v>
      </c>
      <c r="AJ76" s="22" t="e">
        <f aca="false">AND(#REF!,"AAAAAE+31yM=")</f>
        <v>#VALUE!</v>
      </c>
      <c r="AK76" s="22" t="e">
        <f aca="false">AND(#REF!,"AAAAAE+31yQ=")</f>
        <v>#VALUE!</v>
      </c>
      <c r="AL76" s="22" t="e">
        <f aca="false">AND(#REF!,"AAAAAE+31yU=")</f>
        <v>#VALUE!</v>
      </c>
      <c r="AM76" s="22" t="e">
        <f aca="false">AND(#REF!,"AAAAAE+31yY=")</f>
        <v>#VALUE!</v>
      </c>
      <c r="AN76" s="22" t="e">
        <f aca="false">AND(#REF!,"AAAAAE+31yc=")</f>
        <v>#VALUE!</v>
      </c>
      <c r="AO76" s="22" t="e">
        <f aca="false">AND(#REF!,"AAAAAE+31yg=")</f>
        <v>#VALUE!</v>
      </c>
      <c r="AP76" s="22" t="e">
        <f aca="false">AND(#REF!,"AAAAAE+31yk=")</f>
        <v>#VALUE!</v>
      </c>
      <c r="AQ76" s="22" t="e">
        <f aca="false">IF(#REF!,"AAAAAE+31yo=",0)</f>
        <v>#REF!</v>
      </c>
      <c r="AR76" s="22" t="e">
        <f aca="false">AND(#REF!,"AAAAAE+31ys=")</f>
        <v>#VALUE!</v>
      </c>
      <c r="AS76" s="22" t="e">
        <f aca="false">AND(#REF!,"AAAAAE+31yw=")</f>
        <v>#VALUE!</v>
      </c>
      <c r="AT76" s="22" t="e">
        <f aca="false">AND(#REF!,"AAAAAE+31y0=")</f>
        <v>#VALUE!</v>
      </c>
      <c r="AU76" s="22" t="e">
        <f aca="false">AND(#REF!,"AAAAAE+31y4=")</f>
        <v>#VALUE!</v>
      </c>
      <c r="AV76" s="22" t="e">
        <f aca="false">AND(#REF!,"AAAAAE+31y8=")</f>
        <v>#VALUE!</v>
      </c>
      <c r="AW76" s="22" t="e">
        <f aca="false">AND(#REF!,"AAAAAE+31zA=")</f>
        <v>#VALUE!</v>
      </c>
      <c r="AX76" s="22" t="e">
        <f aca="false">AND(#REF!,"AAAAAE+31zE=")</f>
        <v>#VALUE!</v>
      </c>
      <c r="AY76" s="22" t="e">
        <f aca="false">AND(#REF!,"AAAAAE+31zI=")</f>
        <v>#VALUE!</v>
      </c>
      <c r="AZ76" s="22" t="e">
        <f aca="false">IF(#REF!,"AAAAAE+31zM=",0)</f>
        <v>#REF!</v>
      </c>
      <c r="BA76" s="22" t="e">
        <f aca="false">AND(#REF!,"AAAAAE+31zQ=")</f>
        <v>#VALUE!</v>
      </c>
      <c r="BB76" s="22" t="e">
        <f aca="false">AND(#REF!,"AAAAAE+31zU=")</f>
        <v>#VALUE!</v>
      </c>
      <c r="BC76" s="22" t="e">
        <f aca="false">AND(#REF!,"AAAAAE+31zY=")</f>
        <v>#VALUE!</v>
      </c>
      <c r="BD76" s="22" t="e">
        <f aca="false">AND(#REF!,"AAAAAE+31zc=")</f>
        <v>#VALUE!</v>
      </c>
      <c r="BE76" s="22" t="e">
        <f aca="false">AND(#REF!,"AAAAAE+31zg=")</f>
        <v>#VALUE!</v>
      </c>
      <c r="BF76" s="22" t="e">
        <f aca="false">AND(#REF!,"AAAAAE+31zk=")</f>
        <v>#VALUE!</v>
      </c>
      <c r="BG76" s="22" t="e">
        <f aca="false">AND(#REF!,"AAAAAE+31zo=")</f>
        <v>#VALUE!</v>
      </c>
      <c r="BH76" s="22" t="e">
        <f aca="false">AND(#REF!,"AAAAAE+31zs=")</f>
        <v>#VALUE!</v>
      </c>
      <c r="BI76" s="22" t="e">
        <f aca="false">IF(#REF!,"AAAAAE+31zw=",0)</f>
        <v>#REF!</v>
      </c>
      <c r="BJ76" s="22" t="e">
        <f aca="false">AND(#REF!,"AAAAAE+31z0=")</f>
        <v>#VALUE!</v>
      </c>
      <c r="BK76" s="22" t="e">
        <f aca="false">AND(#REF!,"AAAAAE+31z4=")</f>
        <v>#VALUE!</v>
      </c>
      <c r="BL76" s="22" t="e">
        <f aca="false">AND(#REF!,"AAAAAE+31z8=")</f>
        <v>#VALUE!</v>
      </c>
      <c r="BM76" s="22" t="e">
        <f aca="false">AND(#REF!,"AAAAAE+310A=")</f>
        <v>#VALUE!</v>
      </c>
      <c r="BN76" s="22" t="e">
        <f aca="false">AND(#REF!,"AAAAAE+310E=")</f>
        <v>#VALUE!</v>
      </c>
      <c r="BO76" s="22" t="e">
        <f aca="false">AND(#REF!,"AAAAAE+310I=")</f>
        <v>#VALUE!</v>
      </c>
      <c r="BP76" s="22" t="e">
        <f aca="false">AND(#REF!,"AAAAAE+310M=")</f>
        <v>#VALUE!</v>
      </c>
      <c r="BQ76" s="22" t="e">
        <f aca="false">AND(#REF!,"AAAAAE+310Q=")</f>
        <v>#VALUE!</v>
      </c>
      <c r="BR76" s="22" t="e">
        <f aca="false">IF(#REF!,"AAAAAE+310U=",0)</f>
        <v>#REF!</v>
      </c>
      <c r="BS76" s="22" t="e">
        <f aca="false">AND(#REF!,"AAAAAE+310Y=")</f>
        <v>#VALUE!</v>
      </c>
      <c r="BT76" s="22" t="e">
        <f aca="false">AND(#REF!,"AAAAAE+310c=")</f>
        <v>#VALUE!</v>
      </c>
      <c r="BU76" s="22" t="e">
        <f aca="false">AND(#REF!,"AAAAAE+310g=")</f>
        <v>#VALUE!</v>
      </c>
      <c r="BV76" s="22" t="e">
        <f aca="false">AND(#REF!,"AAAAAE+310k=")</f>
        <v>#VALUE!</v>
      </c>
      <c r="BW76" s="22" t="e">
        <f aca="false">AND(#REF!,"AAAAAE+310o=")</f>
        <v>#VALUE!</v>
      </c>
      <c r="BX76" s="22" t="e">
        <f aca="false">AND(#REF!,"AAAAAE+310s=")</f>
        <v>#VALUE!</v>
      </c>
      <c r="BY76" s="22" t="e">
        <f aca="false">AND(#REF!,"AAAAAE+310w=")</f>
        <v>#VALUE!</v>
      </c>
      <c r="BZ76" s="22" t="e">
        <f aca="false">AND(#REF!,"AAAAAE+3100=")</f>
        <v>#VALUE!</v>
      </c>
      <c r="CA76" s="22" t="e">
        <f aca="false">IF(#REF!,"AAAAAE+3104=",0)</f>
        <v>#REF!</v>
      </c>
      <c r="CB76" s="22" t="e">
        <f aca="false">AND(#REF!,"AAAAAE+3108=")</f>
        <v>#VALUE!</v>
      </c>
      <c r="CC76" s="22" t="e">
        <f aca="false">AND(#REF!,"AAAAAE+311A=")</f>
        <v>#VALUE!</v>
      </c>
      <c r="CD76" s="22" t="e">
        <f aca="false">AND(#REF!,"AAAAAE+311E=")</f>
        <v>#VALUE!</v>
      </c>
      <c r="CE76" s="22" t="e">
        <f aca="false">AND(#REF!,"AAAAAE+311I=")</f>
        <v>#VALUE!</v>
      </c>
      <c r="CF76" s="22" t="e">
        <f aca="false">AND(#REF!,"AAAAAE+311M=")</f>
        <v>#VALUE!</v>
      </c>
      <c r="CG76" s="22" t="e">
        <f aca="false">AND(#REF!,"AAAAAE+311Q=")</f>
        <v>#VALUE!</v>
      </c>
      <c r="CH76" s="22" t="e">
        <f aca="false">AND(#REF!,"AAAAAE+311U=")</f>
        <v>#VALUE!</v>
      </c>
      <c r="CI76" s="22" t="e">
        <f aca="false">AND(#REF!,"AAAAAE+311Y=")</f>
        <v>#VALUE!</v>
      </c>
      <c r="CJ76" s="22" t="e">
        <f aca="false">IF(#REF!,"AAAAAE+311c=",0)</f>
        <v>#REF!</v>
      </c>
      <c r="CK76" s="22" t="e">
        <f aca="false">AND(#REF!,"AAAAAE+311g=")</f>
        <v>#VALUE!</v>
      </c>
      <c r="CL76" s="22" t="e">
        <f aca="false">AND(#REF!,"AAAAAE+311k=")</f>
        <v>#VALUE!</v>
      </c>
      <c r="CM76" s="22" t="e">
        <f aca="false">AND(#REF!,"AAAAAE+311o=")</f>
        <v>#VALUE!</v>
      </c>
      <c r="CN76" s="22" t="e">
        <f aca="false">AND(#REF!,"AAAAAE+311s=")</f>
        <v>#VALUE!</v>
      </c>
      <c r="CO76" s="22" t="e">
        <f aca="false">AND(#REF!,"AAAAAE+311w=")</f>
        <v>#VALUE!</v>
      </c>
      <c r="CP76" s="22" t="e">
        <f aca="false">AND(#REF!,"AAAAAE+3110=")</f>
        <v>#VALUE!</v>
      </c>
      <c r="CQ76" s="22" t="e">
        <f aca="false">AND(#REF!,"AAAAAE+3114=")</f>
        <v>#VALUE!</v>
      </c>
      <c r="CR76" s="22" t="e">
        <f aca="false">AND(#REF!,"AAAAAE+3118=")</f>
        <v>#VALUE!</v>
      </c>
      <c r="CS76" s="22" t="e">
        <f aca="false">IF(#REF!,"AAAAAE+312A=",0)</f>
        <v>#REF!</v>
      </c>
      <c r="CT76" s="22" t="e">
        <f aca="false">AND(#REF!,"AAAAAE+312E=")</f>
        <v>#VALUE!</v>
      </c>
      <c r="CU76" s="22" t="e">
        <f aca="false">AND(#REF!,"AAAAAE+312I=")</f>
        <v>#VALUE!</v>
      </c>
      <c r="CV76" s="22" t="e">
        <f aca="false">AND(#REF!,"AAAAAE+312M=")</f>
        <v>#VALUE!</v>
      </c>
      <c r="CW76" s="22" t="e">
        <f aca="false">AND(#REF!,"AAAAAE+312Q=")</f>
        <v>#VALUE!</v>
      </c>
      <c r="CX76" s="22" t="e">
        <f aca="false">AND(#REF!,"AAAAAE+312U=")</f>
        <v>#VALUE!</v>
      </c>
      <c r="CY76" s="22" t="e">
        <f aca="false">AND(#REF!,"AAAAAE+312Y=")</f>
        <v>#VALUE!</v>
      </c>
      <c r="CZ76" s="22" t="e">
        <f aca="false">AND(#REF!,"AAAAAE+312c=")</f>
        <v>#VALUE!</v>
      </c>
      <c r="DA76" s="22" t="e">
        <f aca="false">AND(#REF!,"AAAAAE+312g=")</f>
        <v>#VALUE!</v>
      </c>
      <c r="DB76" s="22" t="e">
        <f aca="false">IF(#REF!,"AAAAAE+312k=",0)</f>
        <v>#REF!</v>
      </c>
      <c r="DC76" s="22" t="e">
        <f aca="false">AND(#REF!,"AAAAAE+312o=")</f>
        <v>#VALUE!</v>
      </c>
      <c r="DD76" s="22" t="e">
        <f aca="false">AND(#REF!,"AAAAAE+312s=")</f>
        <v>#VALUE!</v>
      </c>
      <c r="DE76" s="22" t="e">
        <f aca="false">AND(#REF!,"AAAAAE+312w=")</f>
        <v>#VALUE!</v>
      </c>
      <c r="DF76" s="22" t="e">
        <f aca="false">AND(#REF!,"AAAAAE+3120=")</f>
        <v>#VALUE!</v>
      </c>
      <c r="DG76" s="22" t="e">
        <f aca="false">AND(#REF!,"AAAAAE+3124=")</f>
        <v>#VALUE!</v>
      </c>
      <c r="DH76" s="22" t="e">
        <f aca="false">AND(#REF!,"AAAAAE+3128=")</f>
        <v>#VALUE!</v>
      </c>
      <c r="DI76" s="22" t="e">
        <f aca="false">AND(#REF!,"AAAAAE+313A=")</f>
        <v>#VALUE!</v>
      </c>
      <c r="DJ76" s="22" t="e">
        <f aca="false">AND(#REF!,"AAAAAE+313E=")</f>
        <v>#VALUE!</v>
      </c>
      <c r="DK76" s="22" t="e">
        <f aca="false">IF(#REF!,"AAAAAE+313I=",0)</f>
        <v>#REF!</v>
      </c>
      <c r="DL76" s="22" t="e">
        <f aca="false">AND(#REF!,"AAAAAE+313M=")</f>
        <v>#VALUE!</v>
      </c>
      <c r="DM76" s="22" t="e">
        <f aca="false">AND(#REF!,"AAAAAE+313Q=")</f>
        <v>#VALUE!</v>
      </c>
      <c r="DN76" s="22" t="e">
        <f aca="false">AND(#REF!,"AAAAAE+313U=")</f>
        <v>#VALUE!</v>
      </c>
      <c r="DO76" s="22" t="e">
        <f aca="false">AND(#REF!,"AAAAAE+313Y=")</f>
        <v>#VALUE!</v>
      </c>
      <c r="DP76" s="22" t="e">
        <f aca="false">AND(#REF!,"AAAAAE+313c=")</f>
        <v>#VALUE!</v>
      </c>
      <c r="DQ76" s="22" t="e">
        <f aca="false">AND(#REF!,"AAAAAE+313g=")</f>
        <v>#VALUE!</v>
      </c>
      <c r="DR76" s="22" t="e">
        <f aca="false">AND(#REF!,"AAAAAE+313k=")</f>
        <v>#VALUE!</v>
      </c>
      <c r="DS76" s="22" t="e">
        <f aca="false">AND(#REF!,"AAAAAE+313o=")</f>
        <v>#VALUE!</v>
      </c>
      <c r="DT76" s="22" t="e">
        <f aca="false">IF(#REF!,"AAAAAE+313s=",0)</f>
        <v>#REF!</v>
      </c>
      <c r="DU76" s="22" t="e">
        <f aca="false">AND(#REF!,"AAAAAE+313w=")</f>
        <v>#VALUE!</v>
      </c>
      <c r="DV76" s="22" t="e">
        <f aca="false">AND(#REF!,"AAAAAE+3130=")</f>
        <v>#VALUE!</v>
      </c>
      <c r="DW76" s="22" t="e">
        <f aca="false">AND(#REF!,"AAAAAE+3134=")</f>
        <v>#VALUE!</v>
      </c>
      <c r="DX76" s="22" t="e">
        <f aca="false">AND(#REF!,"AAAAAE+3138=")</f>
        <v>#VALUE!</v>
      </c>
      <c r="DY76" s="22" t="e">
        <f aca="false">AND(#REF!,"AAAAAE+314A=")</f>
        <v>#VALUE!</v>
      </c>
      <c r="DZ76" s="22" t="e">
        <f aca="false">AND(#REF!,"AAAAAE+314E=")</f>
        <v>#VALUE!</v>
      </c>
      <c r="EA76" s="22" t="e">
        <f aca="false">AND(#REF!,"AAAAAE+314I=")</f>
        <v>#VALUE!</v>
      </c>
      <c r="EB76" s="22" t="e">
        <f aca="false">AND(#REF!,"AAAAAE+314M=")</f>
        <v>#VALUE!</v>
      </c>
      <c r="EC76" s="22" t="e">
        <f aca="false">IF(#REF!,"AAAAAE+314Q=",0)</f>
        <v>#REF!</v>
      </c>
      <c r="ED76" s="22" t="e">
        <f aca="false">AND(#REF!,"AAAAAE+314U=")</f>
        <v>#VALUE!</v>
      </c>
      <c r="EE76" s="22" t="e">
        <f aca="false">AND(#REF!,"AAAAAE+314Y=")</f>
        <v>#VALUE!</v>
      </c>
      <c r="EF76" s="22" t="e">
        <f aca="false">AND(#REF!,"AAAAAE+314c=")</f>
        <v>#VALUE!</v>
      </c>
      <c r="EG76" s="22" t="e">
        <f aca="false">AND(#REF!,"AAAAAE+314g=")</f>
        <v>#VALUE!</v>
      </c>
      <c r="EH76" s="22" t="e">
        <f aca="false">AND(#REF!,"AAAAAE+314k=")</f>
        <v>#VALUE!</v>
      </c>
      <c r="EI76" s="22" t="e">
        <f aca="false">AND(#REF!,"AAAAAE+314o=")</f>
        <v>#VALUE!</v>
      </c>
      <c r="EJ76" s="22" t="e">
        <f aca="false">AND(#REF!,"AAAAAE+314s=")</f>
        <v>#VALUE!</v>
      </c>
      <c r="EK76" s="22" t="e">
        <f aca="false">AND(#REF!,"AAAAAE+314w=")</f>
        <v>#VALUE!</v>
      </c>
      <c r="EL76" s="22" t="e">
        <f aca="false">IF(#REF!,"AAAAAE+3140=",0)</f>
        <v>#REF!</v>
      </c>
      <c r="EM76" s="22" t="e">
        <f aca="false">AND(#REF!,"AAAAAE+3144=")</f>
        <v>#VALUE!</v>
      </c>
      <c r="EN76" s="22" t="e">
        <f aca="false">AND(#REF!,"AAAAAE+3148=")</f>
        <v>#VALUE!</v>
      </c>
      <c r="EO76" s="22" t="e">
        <f aca="false">AND(#REF!,"AAAAAE+315A=")</f>
        <v>#VALUE!</v>
      </c>
      <c r="EP76" s="22" t="e">
        <f aca="false">AND(#REF!,"AAAAAE+315E=")</f>
        <v>#VALUE!</v>
      </c>
      <c r="EQ76" s="22" t="e">
        <f aca="false">AND(#REF!,"AAAAAE+315I=")</f>
        <v>#VALUE!</v>
      </c>
      <c r="ER76" s="22" t="e">
        <f aca="false">AND(#REF!,"AAAAAE+315M=")</f>
        <v>#VALUE!</v>
      </c>
      <c r="ES76" s="22" t="e">
        <f aca="false">AND(#REF!,"AAAAAE+315Q=")</f>
        <v>#VALUE!</v>
      </c>
      <c r="ET76" s="22" t="e">
        <f aca="false">AND(#REF!,"AAAAAE+315U=")</f>
        <v>#VALUE!</v>
      </c>
      <c r="EU76" s="22" t="e">
        <f aca="false">IF(#REF!,"AAAAAE+315Y=",0)</f>
        <v>#REF!</v>
      </c>
      <c r="EV76" s="22" t="e">
        <f aca="false">AND(#REF!,"AAAAAE+315c=")</f>
        <v>#VALUE!</v>
      </c>
      <c r="EW76" s="22" t="e">
        <f aca="false">AND(#REF!,"AAAAAE+315g=")</f>
        <v>#VALUE!</v>
      </c>
      <c r="EX76" s="22" t="e">
        <f aca="false">AND(#REF!,"AAAAAE+315k=")</f>
        <v>#VALUE!</v>
      </c>
      <c r="EY76" s="22" t="e">
        <f aca="false">AND(#REF!,"AAAAAE+315o=")</f>
        <v>#VALUE!</v>
      </c>
      <c r="EZ76" s="22" t="e">
        <f aca="false">AND(#REF!,"AAAAAE+315s=")</f>
        <v>#VALUE!</v>
      </c>
      <c r="FA76" s="22" t="e">
        <f aca="false">AND(#REF!,"AAAAAE+315w=")</f>
        <v>#VALUE!</v>
      </c>
      <c r="FB76" s="22" t="e">
        <f aca="false">AND(#REF!,"AAAAAE+3150=")</f>
        <v>#VALUE!</v>
      </c>
      <c r="FC76" s="22" t="e">
        <f aca="false">AND(#REF!,"AAAAAE+3154=")</f>
        <v>#VALUE!</v>
      </c>
      <c r="FD76" s="22" t="e">
        <f aca="false">IF(#REF!,"AAAAAE+3158=",0)</f>
        <v>#REF!</v>
      </c>
      <c r="FE76" s="22" t="e">
        <f aca="false">AND(#REF!,"AAAAAE+316A=")</f>
        <v>#VALUE!</v>
      </c>
      <c r="FF76" s="22" t="e">
        <f aca="false">AND(#REF!,"AAAAAE+316E=")</f>
        <v>#VALUE!</v>
      </c>
      <c r="FG76" s="22" t="e">
        <f aca="false">AND(#REF!,"AAAAAE+316I=")</f>
        <v>#VALUE!</v>
      </c>
      <c r="FH76" s="22" t="e">
        <f aca="false">AND(#REF!,"AAAAAE+316M=")</f>
        <v>#VALUE!</v>
      </c>
      <c r="FI76" s="22" t="e">
        <f aca="false">AND(#REF!,"AAAAAE+316Q=")</f>
        <v>#VALUE!</v>
      </c>
      <c r="FJ76" s="22" t="e">
        <f aca="false">AND(#REF!,"AAAAAE+316U=")</f>
        <v>#VALUE!</v>
      </c>
      <c r="FK76" s="22" t="e">
        <f aca="false">AND(#REF!,"AAAAAE+316Y=")</f>
        <v>#VALUE!</v>
      </c>
      <c r="FL76" s="22" t="e">
        <f aca="false">AND(#REF!,"AAAAAE+316c=")</f>
        <v>#VALUE!</v>
      </c>
      <c r="FM76" s="22" t="e">
        <f aca="false">IF(#REF!,"AAAAAE+316g=",0)</f>
        <v>#REF!</v>
      </c>
      <c r="FN76" s="22" t="e">
        <f aca="false">AND(#REF!,"AAAAAE+316k=")</f>
        <v>#VALUE!</v>
      </c>
      <c r="FO76" s="22" t="e">
        <f aca="false">AND(#REF!,"AAAAAE+316o=")</f>
        <v>#VALUE!</v>
      </c>
      <c r="FP76" s="22" t="e">
        <f aca="false">AND(#REF!,"AAAAAE+316s=")</f>
        <v>#VALUE!</v>
      </c>
      <c r="FQ76" s="22" t="e">
        <f aca="false">AND(#REF!,"AAAAAE+316w=")</f>
        <v>#VALUE!</v>
      </c>
      <c r="FR76" s="22" t="e">
        <f aca="false">AND(#REF!,"AAAAAE+3160=")</f>
        <v>#VALUE!</v>
      </c>
      <c r="FS76" s="22" t="e">
        <f aca="false">AND(#REF!,"AAAAAE+3164=")</f>
        <v>#VALUE!</v>
      </c>
      <c r="FT76" s="22" t="e">
        <f aca="false">AND(#REF!,"AAAAAE+3168=")</f>
        <v>#VALUE!</v>
      </c>
      <c r="FU76" s="22" t="e">
        <f aca="false">AND(#REF!,"AAAAAE+317A=")</f>
        <v>#VALUE!</v>
      </c>
      <c r="FV76" s="22" t="e">
        <f aca="false">IF(#REF!,"AAAAAE+317E=",0)</f>
        <v>#REF!</v>
      </c>
      <c r="FW76" s="22" t="e">
        <f aca="false">AND(#REF!,"AAAAAE+317I=")</f>
        <v>#VALUE!</v>
      </c>
      <c r="FX76" s="22" t="e">
        <f aca="false">AND(#REF!,"AAAAAE+317M=")</f>
        <v>#VALUE!</v>
      </c>
      <c r="FY76" s="22" t="e">
        <f aca="false">AND(#REF!,"AAAAAE+317Q=")</f>
        <v>#VALUE!</v>
      </c>
      <c r="FZ76" s="22" t="e">
        <f aca="false">AND(#REF!,"AAAAAE+317U=")</f>
        <v>#VALUE!</v>
      </c>
      <c r="GA76" s="22" t="e">
        <f aca="false">AND(#REF!,"AAAAAE+317Y=")</f>
        <v>#VALUE!</v>
      </c>
      <c r="GB76" s="22" t="e">
        <f aca="false">AND(#REF!,"AAAAAE+317c=")</f>
        <v>#VALUE!</v>
      </c>
      <c r="GC76" s="22" t="e">
        <f aca="false">AND(#REF!,"AAAAAE+317g=")</f>
        <v>#VALUE!</v>
      </c>
      <c r="GD76" s="22" t="e">
        <f aca="false">AND(#REF!,"AAAAAE+317k=")</f>
        <v>#VALUE!</v>
      </c>
      <c r="GE76" s="22" t="e">
        <f aca="false">IF(#REF!,"AAAAAE+317o=",0)</f>
        <v>#REF!</v>
      </c>
      <c r="GF76" s="22" t="e">
        <f aca="false">AND(#REF!,"AAAAAE+317s=")</f>
        <v>#VALUE!</v>
      </c>
      <c r="GG76" s="22" t="e">
        <f aca="false">AND(#REF!,"AAAAAE+317w=")</f>
        <v>#VALUE!</v>
      </c>
      <c r="GH76" s="22" t="e">
        <f aca="false">AND(#REF!,"AAAAAE+3170=")</f>
        <v>#VALUE!</v>
      </c>
      <c r="GI76" s="22" t="e">
        <f aca="false">AND(#REF!,"AAAAAE+3174=")</f>
        <v>#VALUE!</v>
      </c>
      <c r="GJ76" s="22" t="e">
        <f aca="false">AND(#REF!,"AAAAAE+3178=")</f>
        <v>#VALUE!</v>
      </c>
      <c r="GK76" s="22" t="e">
        <f aca="false">AND(#REF!,"AAAAAE+318A=")</f>
        <v>#VALUE!</v>
      </c>
      <c r="GL76" s="22" t="e">
        <f aca="false">AND(#REF!,"AAAAAE+318E=")</f>
        <v>#VALUE!</v>
      </c>
      <c r="GM76" s="22" t="e">
        <f aca="false">AND(#REF!,"AAAAAE+318I=")</f>
        <v>#VALUE!</v>
      </c>
      <c r="GN76" s="22" t="e">
        <f aca="false">IF(#REF!,"AAAAAE+318M=",0)</f>
        <v>#REF!</v>
      </c>
      <c r="GO76" s="22" t="e">
        <f aca="false">AND(#REF!,"AAAAAE+318Q=")</f>
        <v>#VALUE!</v>
      </c>
      <c r="GP76" s="22" t="e">
        <f aca="false">AND(#REF!,"AAAAAE+318U=")</f>
        <v>#VALUE!</v>
      </c>
      <c r="GQ76" s="22" t="e">
        <f aca="false">AND(#REF!,"AAAAAE+318Y=")</f>
        <v>#VALUE!</v>
      </c>
      <c r="GR76" s="22" t="e">
        <f aca="false">AND(#REF!,"AAAAAE+318c=")</f>
        <v>#VALUE!</v>
      </c>
      <c r="GS76" s="22" t="e">
        <f aca="false">AND(#REF!,"AAAAAE+318g=")</f>
        <v>#VALUE!</v>
      </c>
      <c r="GT76" s="22" t="e">
        <f aca="false">AND(#REF!,"AAAAAE+318k=")</f>
        <v>#VALUE!</v>
      </c>
      <c r="GU76" s="22" t="e">
        <f aca="false">AND(#REF!,"AAAAAE+318o=")</f>
        <v>#VALUE!</v>
      </c>
      <c r="GV76" s="22" t="e">
        <f aca="false">AND(#REF!,"AAAAAE+318s=")</f>
        <v>#VALUE!</v>
      </c>
      <c r="GW76" s="22" t="e">
        <f aca="false">IF(#REF!,"AAAAAE+318w=",0)</f>
        <v>#REF!</v>
      </c>
      <c r="GX76" s="22" t="e">
        <f aca="false">AND(#REF!,"AAAAAE+3180=")</f>
        <v>#VALUE!</v>
      </c>
      <c r="GY76" s="22" t="e">
        <f aca="false">AND(#REF!,"AAAAAE+3184=")</f>
        <v>#VALUE!</v>
      </c>
      <c r="GZ76" s="22" t="e">
        <f aca="false">AND(#REF!,"AAAAAE+3188=")</f>
        <v>#VALUE!</v>
      </c>
      <c r="HA76" s="22" t="e">
        <f aca="false">AND(#REF!,"AAAAAE+319A=")</f>
        <v>#VALUE!</v>
      </c>
      <c r="HB76" s="22" t="e">
        <f aca="false">AND(#REF!,"AAAAAE+319E=")</f>
        <v>#VALUE!</v>
      </c>
      <c r="HC76" s="22" t="e">
        <f aca="false">AND(#REF!,"AAAAAE+319I=")</f>
        <v>#VALUE!</v>
      </c>
      <c r="HD76" s="22" t="e">
        <f aca="false">AND(#REF!,"AAAAAE+319M=")</f>
        <v>#VALUE!</v>
      </c>
      <c r="HE76" s="22" t="e">
        <f aca="false">AND(#REF!,"AAAAAE+319Q=")</f>
        <v>#VALUE!</v>
      </c>
      <c r="HF76" s="22" t="e">
        <f aca="false">IF(#REF!,"AAAAAE+319U=",0)</f>
        <v>#REF!</v>
      </c>
      <c r="HG76" s="22" t="e">
        <f aca="false">AND(#REF!,"AAAAAE+319Y=")</f>
        <v>#VALUE!</v>
      </c>
      <c r="HH76" s="22" t="e">
        <f aca="false">AND(#REF!,"AAAAAE+319c=")</f>
        <v>#VALUE!</v>
      </c>
      <c r="HI76" s="22" t="e">
        <f aca="false">AND(#REF!,"AAAAAE+319g=")</f>
        <v>#VALUE!</v>
      </c>
      <c r="HJ76" s="22" t="e">
        <f aca="false">AND(#REF!,"AAAAAE+319k=")</f>
        <v>#VALUE!</v>
      </c>
      <c r="HK76" s="22" t="e">
        <f aca="false">AND(#REF!,"AAAAAE+319o=")</f>
        <v>#VALUE!</v>
      </c>
      <c r="HL76" s="22" t="e">
        <f aca="false">AND(#REF!,"AAAAAE+319s=")</f>
        <v>#VALUE!</v>
      </c>
      <c r="HM76" s="22" t="e">
        <f aca="false">AND(#REF!,"AAAAAE+319w=")</f>
        <v>#VALUE!</v>
      </c>
      <c r="HN76" s="22" t="e">
        <f aca="false">AND(#REF!,"AAAAAE+3190=")</f>
        <v>#VALUE!</v>
      </c>
      <c r="HO76" s="22" t="e">
        <f aca="false">IF(#REF!,"AAAAAE+3194=",0)</f>
        <v>#REF!</v>
      </c>
      <c r="HP76" s="22" t="e">
        <f aca="false">AND(#REF!,"AAAAAE+3198=")</f>
        <v>#VALUE!</v>
      </c>
      <c r="HQ76" s="22" t="e">
        <f aca="false">AND(#REF!,"AAAAAE+31+A=")</f>
        <v>#VALUE!</v>
      </c>
      <c r="HR76" s="22" t="e">
        <f aca="false">AND(#REF!,"AAAAAE+31+E=")</f>
        <v>#VALUE!</v>
      </c>
      <c r="HS76" s="22" t="e">
        <f aca="false">AND(#REF!,"AAAAAE+31+I=")</f>
        <v>#VALUE!</v>
      </c>
      <c r="HT76" s="22" t="e">
        <f aca="false">AND(#REF!,"AAAAAE+31+M=")</f>
        <v>#VALUE!</v>
      </c>
      <c r="HU76" s="22" t="e">
        <f aca="false">AND(#REF!,"AAAAAE+31+Q=")</f>
        <v>#VALUE!</v>
      </c>
      <c r="HV76" s="22" t="e">
        <f aca="false">AND(#REF!,"AAAAAE+31+U=")</f>
        <v>#VALUE!</v>
      </c>
      <c r="HW76" s="22" t="e">
        <f aca="false">AND(#REF!,"AAAAAE+31+Y=")</f>
        <v>#VALUE!</v>
      </c>
      <c r="HX76" s="22" t="e">
        <f aca="false">IF(#REF!,"AAAAAE+31+c=",0)</f>
        <v>#REF!</v>
      </c>
      <c r="HY76" s="22" t="e">
        <f aca="false">AND(#REF!,"AAAAAE+31+g=")</f>
        <v>#VALUE!</v>
      </c>
      <c r="HZ76" s="22" t="e">
        <f aca="false">AND(#REF!,"AAAAAE+31+k=")</f>
        <v>#VALUE!</v>
      </c>
      <c r="IA76" s="22" t="e">
        <f aca="false">AND(#REF!,"AAAAAE+31+o=")</f>
        <v>#VALUE!</v>
      </c>
      <c r="IB76" s="22" t="e">
        <f aca="false">AND(#REF!,"AAAAAE+31+s=")</f>
        <v>#VALUE!</v>
      </c>
      <c r="IC76" s="22" t="e">
        <f aca="false">AND(#REF!,"AAAAAE+31+w=")</f>
        <v>#VALUE!</v>
      </c>
      <c r="ID76" s="22" t="e">
        <f aca="false">AND(#REF!,"AAAAAE+31+0=")</f>
        <v>#VALUE!</v>
      </c>
      <c r="IE76" s="22" t="e">
        <f aca="false">AND(#REF!,"AAAAAE+31+4=")</f>
        <v>#VALUE!</v>
      </c>
      <c r="IF76" s="22" t="e">
        <f aca="false">AND(#REF!,"AAAAAE+31+8=")</f>
        <v>#VALUE!</v>
      </c>
      <c r="IG76" s="22" t="e">
        <f aca="false">IF(#REF!,"AAAAAE+31/A=",0)</f>
        <v>#REF!</v>
      </c>
      <c r="IH76" s="22" t="e">
        <f aca="false">AND(#REF!,"AAAAAE+31/E=")</f>
        <v>#VALUE!</v>
      </c>
      <c r="II76" s="22" t="e">
        <f aca="false">AND(#REF!,"AAAAAE+31/I=")</f>
        <v>#VALUE!</v>
      </c>
      <c r="IJ76" s="22" t="e">
        <f aca="false">AND(#REF!,"AAAAAE+31/M=")</f>
        <v>#VALUE!</v>
      </c>
      <c r="IK76" s="22" t="e">
        <f aca="false">AND(#REF!,"AAAAAE+31/Q=")</f>
        <v>#VALUE!</v>
      </c>
      <c r="IL76" s="22" t="e">
        <f aca="false">AND(#REF!,"AAAAAE+31/U=")</f>
        <v>#VALUE!</v>
      </c>
      <c r="IM76" s="22" t="e">
        <f aca="false">AND(#REF!,"AAAAAE+31/Y=")</f>
        <v>#VALUE!</v>
      </c>
      <c r="IN76" s="22" t="e">
        <f aca="false">AND(#REF!,"AAAAAE+31/c=")</f>
        <v>#VALUE!</v>
      </c>
      <c r="IO76" s="22" t="e">
        <f aca="false">AND(#REF!,"AAAAAE+31/g=")</f>
        <v>#VALUE!</v>
      </c>
      <c r="IP76" s="22" t="e">
        <f aca="false">IF(#REF!,"AAAAAE+31/k=",0)</f>
        <v>#REF!</v>
      </c>
      <c r="IQ76" s="22" t="e">
        <f aca="false">AND(#REF!,"AAAAAE+31/o=")</f>
        <v>#VALUE!</v>
      </c>
      <c r="IR76" s="22" t="e">
        <f aca="false">AND(#REF!,"AAAAAE+31/s=")</f>
        <v>#VALUE!</v>
      </c>
      <c r="IS76" s="22" t="e">
        <f aca="false">AND(#REF!,"AAAAAE+31/w=")</f>
        <v>#VALUE!</v>
      </c>
      <c r="IT76" s="22" t="e">
        <f aca="false">AND(#REF!,"AAAAAE+31/0=")</f>
        <v>#VALUE!</v>
      </c>
      <c r="IU76" s="22" t="e">
        <f aca="false">AND(#REF!,"AAAAAE+31/4=")</f>
        <v>#VALUE!</v>
      </c>
      <c r="IV76" s="22" t="e">
        <f aca="false">AND(#REF!,"AAAAAE+31/8=")</f>
        <v>#VALUE!</v>
      </c>
    </row>
    <row r="77" customFormat="false" ht="12.75" hidden="false" customHeight="false" outlineLevel="0" collapsed="false">
      <c r="A77" s="22" t="e">
        <f aca="false">AND(#REF!,"AAAAACn/vwA=")</f>
        <v>#VALUE!</v>
      </c>
      <c r="B77" s="22" t="e">
        <f aca="false">AND(#REF!,"AAAAACn/vwE=")</f>
        <v>#VALUE!</v>
      </c>
      <c r="C77" s="22" t="e">
        <f aca="false">IF(#REF!,"AAAAACn/vwI=",0)</f>
        <v>#REF!</v>
      </c>
      <c r="D77" s="22" t="e">
        <f aca="false">AND(#REF!,"AAAAACn/vwM=")</f>
        <v>#VALUE!</v>
      </c>
      <c r="E77" s="22" t="e">
        <f aca="false">AND(#REF!,"AAAAACn/vwQ=")</f>
        <v>#VALUE!</v>
      </c>
      <c r="F77" s="22" t="e">
        <f aca="false">AND(#REF!,"AAAAACn/vwU=")</f>
        <v>#VALUE!</v>
      </c>
      <c r="G77" s="22" t="e">
        <f aca="false">AND(#REF!,"AAAAACn/vwY=")</f>
        <v>#VALUE!</v>
      </c>
      <c r="H77" s="22" t="e">
        <f aca="false">AND(#REF!,"AAAAACn/vwc=")</f>
        <v>#VALUE!</v>
      </c>
      <c r="I77" s="22" t="e">
        <f aca="false">AND(#REF!,"AAAAACn/vwg=")</f>
        <v>#VALUE!</v>
      </c>
      <c r="J77" s="22" t="e">
        <f aca="false">AND(#REF!,"AAAAACn/vwk=")</f>
        <v>#VALUE!</v>
      </c>
      <c r="K77" s="22" t="e">
        <f aca="false">AND(#REF!,"AAAAACn/vwo=")</f>
        <v>#VALUE!</v>
      </c>
      <c r="L77" s="22" t="e">
        <f aca="false">IF(#REF!,"AAAAACn/vws=",0)</f>
        <v>#REF!</v>
      </c>
      <c r="M77" s="22" t="e">
        <f aca="false">AND(#REF!,"AAAAACn/vww=")</f>
        <v>#VALUE!</v>
      </c>
      <c r="N77" s="22" t="e">
        <f aca="false">AND(#REF!,"AAAAACn/vw0=")</f>
        <v>#VALUE!</v>
      </c>
      <c r="O77" s="22" t="e">
        <f aca="false">AND(#REF!,"AAAAACn/vw4=")</f>
        <v>#VALUE!</v>
      </c>
      <c r="P77" s="22" t="e">
        <f aca="false">AND(#REF!,"AAAAACn/vw8=")</f>
        <v>#VALUE!</v>
      </c>
      <c r="Q77" s="22" t="e">
        <f aca="false">AND(#REF!,"AAAAACn/vxA=")</f>
        <v>#VALUE!</v>
      </c>
      <c r="R77" s="22" t="e">
        <f aca="false">AND(#REF!,"AAAAACn/vxE=")</f>
        <v>#VALUE!</v>
      </c>
      <c r="S77" s="22" t="e">
        <f aca="false">AND(#REF!,"AAAAACn/vxI=")</f>
        <v>#VALUE!</v>
      </c>
      <c r="T77" s="22" t="e">
        <f aca="false">AND(#REF!,"AAAAACn/vxM=")</f>
        <v>#VALUE!</v>
      </c>
      <c r="U77" s="22" t="e">
        <f aca="false">IF(#REF!,"AAAAACn/vxQ=",0)</f>
        <v>#REF!</v>
      </c>
      <c r="V77" s="22" t="e">
        <f aca="false">AND(#REF!,"AAAAACn/vxU=")</f>
        <v>#VALUE!</v>
      </c>
      <c r="W77" s="22" t="e">
        <f aca="false">AND(#REF!,"AAAAACn/vxY=")</f>
        <v>#VALUE!</v>
      </c>
      <c r="X77" s="22" t="e">
        <f aca="false">AND(#REF!,"AAAAACn/vxc=")</f>
        <v>#VALUE!</v>
      </c>
      <c r="Y77" s="22" t="e">
        <f aca="false">AND(#REF!,"AAAAACn/vxg=")</f>
        <v>#VALUE!</v>
      </c>
      <c r="Z77" s="22" t="e">
        <f aca="false">AND(#REF!,"AAAAACn/vxk=")</f>
        <v>#VALUE!</v>
      </c>
      <c r="AA77" s="22" t="e">
        <f aca="false">AND(#REF!,"AAAAACn/vxo=")</f>
        <v>#VALUE!</v>
      </c>
      <c r="AB77" s="22" t="e">
        <f aca="false">AND(#REF!,"AAAAACn/vxs=")</f>
        <v>#VALUE!</v>
      </c>
      <c r="AC77" s="22" t="e">
        <f aca="false">AND(#REF!,"AAAAACn/vxw=")</f>
        <v>#VALUE!</v>
      </c>
      <c r="AD77" s="22" t="e">
        <f aca="false">IF(#REF!,"AAAAACn/vx0=",0)</f>
        <v>#REF!</v>
      </c>
      <c r="AE77" s="22" t="e">
        <f aca="false">AND(#REF!,"AAAAACn/vx4=")</f>
        <v>#VALUE!</v>
      </c>
      <c r="AF77" s="22" t="e">
        <f aca="false">AND(#REF!,"AAAAACn/vx8=")</f>
        <v>#VALUE!</v>
      </c>
      <c r="AG77" s="22" t="e">
        <f aca="false">AND(#REF!,"AAAAACn/vyA=")</f>
        <v>#VALUE!</v>
      </c>
      <c r="AH77" s="22" t="e">
        <f aca="false">AND(#REF!,"AAAAACn/vyE=")</f>
        <v>#VALUE!</v>
      </c>
      <c r="AI77" s="22" t="e">
        <f aca="false">AND(#REF!,"AAAAACn/vyI=")</f>
        <v>#VALUE!</v>
      </c>
      <c r="AJ77" s="22" t="e">
        <f aca="false">AND(#REF!,"AAAAACn/vyM=")</f>
        <v>#VALUE!</v>
      </c>
      <c r="AK77" s="22" t="e">
        <f aca="false">AND(#REF!,"AAAAACn/vyQ=")</f>
        <v>#VALUE!</v>
      </c>
      <c r="AL77" s="22" t="e">
        <f aca="false">AND(#REF!,"AAAAACn/vyU=")</f>
        <v>#VALUE!</v>
      </c>
      <c r="AM77" s="22" t="e">
        <f aca="false">IF(#REF!,"AAAAACn/vyY=",0)</f>
        <v>#REF!</v>
      </c>
      <c r="AN77" s="22" t="e">
        <f aca="false">AND(#REF!,"AAAAACn/vyc=")</f>
        <v>#VALUE!</v>
      </c>
      <c r="AO77" s="22" t="e">
        <f aca="false">AND(#REF!,"AAAAACn/vyg=")</f>
        <v>#VALUE!</v>
      </c>
      <c r="AP77" s="22" t="e">
        <f aca="false">AND(#REF!,"AAAAACn/vyk=")</f>
        <v>#VALUE!</v>
      </c>
      <c r="AQ77" s="22" t="e">
        <f aca="false">AND(#REF!,"AAAAACn/vyo=")</f>
        <v>#VALUE!</v>
      </c>
      <c r="AR77" s="22" t="e">
        <f aca="false">AND(#REF!,"AAAAACn/vys=")</f>
        <v>#VALUE!</v>
      </c>
      <c r="AS77" s="22" t="e">
        <f aca="false">AND(#REF!,"AAAAACn/vyw=")</f>
        <v>#VALUE!</v>
      </c>
      <c r="AT77" s="22" t="e">
        <f aca="false">AND(#REF!,"AAAAACn/vy0=")</f>
        <v>#VALUE!</v>
      </c>
      <c r="AU77" s="22" t="e">
        <f aca="false">AND(#REF!,"AAAAACn/vy4=")</f>
        <v>#VALUE!</v>
      </c>
      <c r="AV77" s="22" t="e">
        <f aca="false">IF(#REF!,"AAAAACn/vy8=",0)</f>
        <v>#REF!</v>
      </c>
      <c r="AW77" s="22" t="e">
        <f aca="false">AND(#REF!,"AAAAACn/vzA=")</f>
        <v>#VALUE!</v>
      </c>
      <c r="AX77" s="22" t="e">
        <f aca="false">AND(#REF!,"AAAAACn/vzE=")</f>
        <v>#VALUE!</v>
      </c>
      <c r="AY77" s="22" t="e">
        <f aca="false">AND(#REF!,"AAAAACn/vzI=")</f>
        <v>#VALUE!</v>
      </c>
      <c r="AZ77" s="22" t="e">
        <f aca="false">AND(#REF!,"AAAAACn/vzM=")</f>
        <v>#VALUE!</v>
      </c>
      <c r="BA77" s="22" t="e">
        <f aca="false">AND(#REF!,"AAAAACn/vzQ=")</f>
        <v>#VALUE!</v>
      </c>
      <c r="BB77" s="22" t="e">
        <f aca="false">AND(#REF!,"AAAAACn/vzU=")</f>
        <v>#VALUE!</v>
      </c>
      <c r="BC77" s="22" t="e">
        <f aca="false">AND(#REF!,"AAAAACn/vzY=")</f>
        <v>#VALUE!</v>
      </c>
      <c r="BD77" s="22" t="e">
        <f aca="false">AND(#REF!,"AAAAACn/vzc=")</f>
        <v>#VALUE!</v>
      </c>
      <c r="BE77" s="22" t="e">
        <f aca="false">IF(#REF!,"AAAAACn/vzg=",0)</f>
        <v>#REF!</v>
      </c>
      <c r="BF77" s="22" t="e">
        <f aca="false">AND(#REF!,"AAAAACn/vzk=")</f>
        <v>#VALUE!</v>
      </c>
      <c r="BG77" s="22" t="e">
        <f aca="false">AND(#REF!,"AAAAACn/vzo=")</f>
        <v>#VALUE!</v>
      </c>
      <c r="BH77" s="22" t="e">
        <f aca="false">AND(#REF!,"AAAAACn/vzs=")</f>
        <v>#VALUE!</v>
      </c>
      <c r="BI77" s="22" t="e">
        <f aca="false">AND(#REF!,"AAAAACn/vzw=")</f>
        <v>#VALUE!</v>
      </c>
      <c r="BJ77" s="22" t="e">
        <f aca="false">AND(#REF!,"AAAAACn/vz0=")</f>
        <v>#VALUE!</v>
      </c>
      <c r="BK77" s="22" t="e">
        <f aca="false">AND(#REF!,"AAAAACn/vz4=")</f>
        <v>#VALUE!</v>
      </c>
      <c r="BL77" s="22" t="e">
        <f aca="false">AND(#REF!,"AAAAACn/vz8=")</f>
        <v>#VALUE!</v>
      </c>
      <c r="BM77" s="22" t="e">
        <f aca="false">AND(#REF!,"AAAAACn/v0A=")</f>
        <v>#VALUE!</v>
      </c>
      <c r="BN77" s="22" t="e">
        <f aca="false">IF(#REF!,"AAAAACn/v0E=",0)</f>
        <v>#REF!</v>
      </c>
      <c r="BO77" s="22" t="e">
        <f aca="false">AND(#REF!,"AAAAACn/v0I=")</f>
        <v>#VALUE!</v>
      </c>
      <c r="BP77" s="22" t="e">
        <f aca="false">AND(#REF!,"AAAAACn/v0M=")</f>
        <v>#VALUE!</v>
      </c>
      <c r="BQ77" s="22" t="e">
        <f aca="false">AND(#REF!,"AAAAACn/v0Q=")</f>
        <v>#VALUE!</v>
      </c>
      <c r="BR77" s="22" t="e">
        <f aca="false">AND(#REF!,"AAAAACn/v0U=")</f>
        <v>#VALUE!</v>
      </c>
      <c r="BS77" s="22" t="e">
        <f aca="false">AND(#REF!,"AAAAACn/v0Y=")</f>
        <v>#VALUE!</v>
      </c>
      <c r="BT77" s="22" t="e">
        <f aca="false">AND(#REF!,"AAAAACn/v0c=")</f>
        <v>#VALUE!</v>
      </c>
      <c r="BU77" s="22" t="e">
        <f aca="false">AND(#REF!,"AAAAACn/v0g=")</f>
        <v>#VALUE!</v>
      </c>
      <c r="BV77" s="22" t="e">
        <f aca="false">AND(#REF!,"AAAAACn/v0k=")</f>
        <v>#VALUE!</v>
      </c>
      <c r="BW77" s="22" t="e">
        <f aca="false">IF(#REF!,"AAAAACn/v0o=",0)</f>
        <v>#REF!</v>
      </c>
      <c r="BX77" s="22" t="e">
        <f aca="false">AND(#REF!,"AAAAACn/v0s=")</f>
        <v>#VALUE!</v>
      </c>
      <c r="BY77" s="22" t="e">
        <f aca="false">AND(#REF!,"AAAAACn/v0w=")</f>
        <v>#VALUE!</v>
      </c>
      <c r="BZ77" s="22" t="e">
        <f aca="false">AND(#REF!,"AAAAACn/v00=")</f>
        <v>#VALUE!</v>
      </c>
      <c r="CA77" s="22" t="e">
        <f aca="false">AND(#REF!,"AAAAACn/v04=")</f>
        <v>#VALUE!</v>
      </c>
      <c r="CB77" s="22" t="e">
        <f aca="false">AND(#REF!,"AAAAACn/v08=")</f>
        <v>#VALUE!</v>
      </c>
      <c r="CC77" s="22" t="e">
        <f aca="false">AND(#REF!,"AAAAACn/v1A=")</f>
        <v>#VALUE!</v>
      </c>
      <c r="CD77" s="22" t="e">
        <f aca="false">AND(#REF!,"AAAAACn/v1E=")</f>
        <v>#VALUE!</v>
      </c>
      <c r="CE77" s="22" t="e">
        <f aca="false">AND(#REF!,"AAAAACn/v1I=")</f>
        <v>#VALUE!</v>
      </c>
      <c r="CF77" s="22" t="e">
        <f aca="false">IF(#REF!,"AAAAACn/v1M=",0)</f>
        <v>#REF!</v>
      </c>
      <c r="CG77" s="22" t="e">
        <f aca="false">AND(#REF!,"AAAAACn/v1Q=")</f>
        <v>#VALUE!</v>
      </c>
      <c r="CH77" s="22" t="e">
        <f aca="false">AND(#REF!,"AAAAACn/v1U=")</f>
        <v>#VALUE!</v>
      </c>
      <c r="CI77" s="22" t="e">
        <f aca="false">AND(#REF!,"AAAAACn/v1Y=")</f>
        <v>#VALUE!</v>
      </c>
      <c r="CJ77" s="22" t="e">
        <f aca="false">AND(#REF!,"AAAAACn/v1c=")</f>
        <v>#VALUE!</v>
      </c>
      <c r="CK77" s="22" t="e">
        <f aca="false">AND(#REF!,"AAAAACn/v1g=")</f>
        <v>#VALUE!</v>
      </c>
      <c r="CL77" s="22" t="e">
        <f aca="false">AND(#REF!,"AAAAACn/v1k=")</f>
        <v>#VALUE!</v>
      </c>
      <c r="CM77" s="22" t="e">
        <f aca="false">AND(#REF!,"AAAAACn/v1o=")</f>
        <v>#VALUE!</v>
      </c>
      <c r="CN77" s="22" t="e">
        <f aca="false">AND(#REF!,"AAAAACn/v1s=")</f>
        <v>#VALUE!</v>
      </c>
      <c r="CO77" s="22" t="e">
        <f aca="false">IF(#REF!,"AAAAACn/v1w=",0)</f>
        <v>#REF!</v>
      </c>
      <c r="CP77" s="22" t="e">
        <f aca="false">AND(#REF!,"AAAAACn/v10=")</f>
        <v>#VALUE!</v>
      </c>
      <c r="CQ77" s="22" t="e">
        <f aca="false">AND(#REF!,"AAAAACn/v14=")</f>
        <v>#VALUE!</v>
      </c>
      <c r="CR77" s="22" t="e">
        <f aca="false">AND(#REF!,"AAAAACn/v18=")</f>
        <v>#VALUE!</v>
      </c>
      <c r="CS77" s="22" t="e">
        <f aca="false">AND(#REF!,"AAAAACn/v2A=")</f>
        <v>#VALUE!</v>
      </c>
      <c r="CT77" s="22" t="e">
        <f aca="false">AND(#REF!,"AAAAACn/v2E=")</f>
        <v>#VALUE!</v>
      </c>
      <c r="CU77" s="22" t="e">
        <f aca="false">AND(#REF!,"AAAAACn/v2I=")</f>
        <v>#VALUE!</v>
      </c>
      <c r="CV77" s="22" t="e">
        <f aca="false">AND(#REF!,"AAAAACn/v2M=")</f>
        <v>#VALUE!</v>
      </c>
      <c r="CW77" s="22" t="e">
        <f aca="false">AND(#REF!,"AAAAACn/v2Q=")</f>
        <v>#VALUE!</v>
      </c>
      <c r="CX77" s="22" t="e">
        <f aca="false">IF(#REF!,"AAAAACn/v2U=",0)</f>
        <v>#REF!</v>
      </c>
      <c r="CY77" s="22" t="e">
        <f aca="false">AND(#REF!,"AAAAACn/v2Y=")</f>
        <v>#VALUE!</v>
      </c>
      <c r="CZ77" s="22" t="e">
        <f aca="false">AND(#REF!,"AAAAACn/v2c=")</f>
        <v>#VALUE!</v>
      </c>
      <c r="DA77" s="22" t="e">
        <f aca="false">AND(#REF!,"AAAAACn/v2g=")</f>
        <v>#VALUE!</v>
      </c>
      <c r="DB77" s="22" t="e">
        <f aca="false">AND(#REF!,"AAAAACn/v2k=")</f>
        <v>#VALUE!</v>
      </c>
      <c r="DC77" s="22" t="e">
        <f aca="false">AND(#REF!,"AAAAACn/v2o=")</f>
        <v>#VALUE!</v>
      </c>
      <c r="DD77" s="22" t="e">
        <f aca="false">AND(#REF!,"AAAAACn/v2s=")</f>
        <v>#VALUE!</v>
      </c>
      <c r="DE77" s="22" t="e">
        <f aca="false">AND(#REF!,"AAAAACn/v2w=")</f>
        <v>#VALUE!</v>
      </c>
      <c r="DF77" s="22" t="e">
        <f aca="false">AND(#REF!,"AAAAACn/v20=")</f>
        <v>#VALUE!</v>
      </c>
      <c r="DG77" s="22" t="e">
        <f aca="false">IF(#REF!,"AAAAACn/v24=",0)</f>
        <v>#REF!</v>
      </c>
      <c r="DH77" s="22" t="e">
        <f aca="false">AND(#REF!,"AAAAACn/v28=")</f>
        <v>#VALUE!</v>
      </c>
      <c r="DI77" s="22" t="e">
        <f aca="false">AND(#REF!,"AAAAACn/v3A=")</f>
        <v>#VALUE!</v>
      </c>
      <c r="DJ77" s="22" t="e">
        <f aca="false">AND(#REF!,"AAAAACn/v3E=")</f>
        <v>#VALUE!</v>
      </c>
      <c r="DK77" s="22" t="e">
        <f aca="false">AND(#REF!,"AAAAACn/v3I=")</f>
        <v>#VALUE!</v>
      </c>
      <c r="DL77" s="22" t="e">
        <f aca="false">AND(#REF!,"AAAAACn/v3M=")</f>
        <v>#VALUE!</v>
      </c>
      <c r="DM77" s="22" t="e">
        <f aca="false">AND(#REF!,"AAAAACn/v3Q=")</f>
        <v>#VALUE!</v>
      </c>
      <c r="DN77" s="22" t="e">
        <f aca="false">AND(#REF!,"AAAAACn/v3U=")</f>
        <v>#VALUE!</v>
      </c>
      <c r="DO77" s="22" t="e">
        <f aca="false">AND(#REF!,"AAAAACn/v3Y=")</f>
        <v>#VALUE!</v>
      </c>
      <c r="DP77" s="22" t="e">
        <f aca="false">IF(#REF!,"AAAAACn/v3c=",0)</f>
        <v>#REF!</v>
      </c>
      <c r="DQ77" s="22" t="e">
        <f aca="false">AND(#REF!,"AAAAACn/v3g=")</f>
        <v>#VALUE!</v>
      </c>
      <c r="DR77" s="22" t="e">
        <f aca="false">AND(#REF!,"AAAAACn/v3k=")</f>
        <v>#VALUE!</v>
      </c>
      <c r="DS77" s="22" t="e">
        <f aca="false">AND(#REF!,"AAAAACn/v3o=")</f>
        <v>#VALUE!</v>
      </c>
      <c r="DT77" s="22" t="e">
        <f aca="false">AND(#REF!,"AAAAACn/v3s=")</f>
        <v>#VALUE!</v>
      </c>
      <c r="DU77" s="22" t="e">
        <f aca="false">AND(#REF!,"AAAAACn/v3w=")</f>
        <v>#VALUE!</v>
      </c>
      <c r="DV77" s="22" t="e">
        <f aca="false">AND(#REF!,"AAAAACn/v30=")</f>
        <v>#VALUE!</v>
      </c>
      <c r="DW77" s="22" t="e">
        <f aca="false">AND(#REF!,"AAAAACn/v34=")</f>
        <v>#VALUE!</v>
      </c>
      <c r="DX77" s="22" t="e">
        <f aca="false">AND(#REF!,"AAAAACn/v38=")</f>
        <v>#VALUE!</v>
      </c>
      <c r="DY77" s="22" t="e">
        <f aca="false">IF(#REF!,"AAAAACn/v4A=",0)</f>
        <v>#REF!</v>
      </c>
      <c r="DZ77" s="22" t="e">
        <f aca="false">AND(#REF!,"AAAAACn/v4E=")</f>
        <v>#VALUE!</v>
      </c>
      <c r="EA77" s="22" t="e">
        <f aca="false">AND(#REF!,"AAAAACn/v4I=")</f>
        <v>#VALUE!</v>
      </c>
      <c r="EB77" s="22" t="e">
        <f aca="false">AND(#REF!,"AAAAACn/v4M=")</f>
        <v>#VALUE!</v>
      </c>
      <c r="EC77" s="22" t="e">
        <f aca="false">AND(#REF!,"AAAAACn/v4Q=")</f>
        <v>#VALUE!</v>
      </c>
      <c r="ED77" s="22" t="e">
        <f aca="false">AND(#REF!,"AAAAACn/v4U=")</f>
        <v>#VALUE!</v>
      </c>
      <c r="EE77" s="22" t="e">
        <f aca="false">AND(#REF!,"AAAAACn/v4Y=")</f>
        <v>#VALUE!</v>
      </c>
      <c r="EF77" s="22" t="e">
        <f aca="false">AND(#REF!,"AAAAACn/v4c=")</f>
        <v>#VALUE!</v>
      </c>
      <c r="EG77" s="22" t="e">
        <f aca="false">AND(#REF!,"AAAAACn/v4g=")</f>
        <v>#VALUE!</v>
      </c>
      <c r="EH77" s="22" t="e">
        <f aca="false">IF(#REF!,"AAAAACn/v4k=",0)</f>
        <v>#REF!</v>
      </c>
      <c r="EI77" s="22" t="e">
        <f aca="false">AND(#REF!,"AAAAACn/v4o=")</f>
        <v>#VALUE!</v>
      </c>
      <c r="EJ77" s="22" t="e">
        <f aca="false">AND(#REF!,"AAAAACn/v4s=")</f>
        <v>#VALUE!</v>
      </c>
      <c r="EK77" s="22" t="e">
        <f aca="false">AND(#REF!,"AAAAACn/v4w=")</f>
        <v>#VALUE!</v>
      </c>
      <c r="EL77" s="22" t="e">
        <f aca="false">AND(#REF!,"AAAAACn/v40=")</f>
        <v>#VALUE!</v>
      </c>
      <c r="EM77" s="22" t="e">
        <f aca="false">AND(#REF!,"AAAAACn/v44=")</f>
        <v>#VALUE!</v>
      </c>
      <c r="EN77" s="22" t="e">
        <f aca="false">AND(#REF!,"AAAAACn/v48=")</f>
        <v>#VALUE!</v>
      </c>
      <c r="EO77" s="22" t="e">
        <f aca="false">AND(#REF!,"AAAAACn/v5A=")</f>
        <v>#VALUE!</v>
      </c>
      <c r="EP77" s="22" t="e">
        <f aca="false">AND(#REF!,"AAAAACn/v5E=")</f>
        <v>#VALUE!</v>
      </c>
      <c r="EQ77" s="22" t="e">
        <f aca="false">IF(#REF!,"AAAAACn/v5I=",0)</f>
        <v>#REF!</v>
      </c>
      <c r="ER77" s="22" t="e">
        <f aca="false">AND(#REF!,"AAAAACn/v5M=")</f>
        <v>#VALUE!</v>
      </c>
      <c r="ES77" s="22" t="e">
        <f aca="false">AND(#REF!,"AAAAACn/v5Q=")</f>
        <v>#VALUE!</v>
      </c>
      <c r="ET77" s="22" t="e">
        <f aca="false">AND(#REF!,"AAAAACn/v5U=")</f>
        <v>#VALUE!</v>
      </c>
      <c r="EU77" s="22" t="e">
        <f aca="false">AND(#REF!,"AAAAACn/v5Y=")</f>
        <v>#VALUE!</v>
      </c>
      <c r="EV77" s="22" t="e">
        <f aca="false">AND(#REF!,"AAAAACn/v5c=")</f>
        <v>#VALUE!</v>
      </c>
      <c r="EW77" s="22" t="e">
        <f aca="false">AND(#REF!,"AAAAACn/v5g=")</f>
        <v>#VALUE!</v>
      </c>
      <c r="EX77" s="22" t="e">
        <f aca="false">AND(#REF!,"AAAAACn/v5k=")</f>
        <v>#VALUE!</v>
      </c>
      <c r="EY77" s="22" t="e">
        <f aca="false">AND(#REF!,"AAAAACn/v5o=")</f>
        <v>#VALUE!</v>
      </c>
      <c r="EZ77" s="22" t="e">
        <f aca="false">IF(#REF!,"AAAAACn/v5s=",0)</f>
        <v>#REF!</v>
      </c>
      <c r="FA77" s="22" t="e">
        <f aca="false">AND(#REF!,"AAAAACn/v5w=")</f>
        <v>#VALUE!</v>
      </c>
      <c r="FB77" s="22" t="e">
        <f aca="false">AND(#REF!,"AAAAACn/v50=")</f>
        <v>#VALUE!</v>
      </c>
      <c r="FC77" s="22" t="e">
        <f aca="false">AND(#REF!,"AAAAACn/v54=")</f>
        <v>#VALUE!</v>
      </c>
      <c r="FD77" s="22" t="e">
        <f aca="false">AND(#REF!,"AAAAACn/v58=")</f>
        <v>#VALUE!</v>
      </c>
      <c r="FE77" s="22" t="e">
        <f aca="false">AND(#REF!,"AAAAACn/v6A=")</f>
        <v>#VALUE!</v>
      </c>
      <c r="FF77" s="22" t="e">
        <f aca="false">AND(#REF!,"AAAAACn/v6E=")</f>
        <v>#VALUE!</v>
      </c>
      <c r="FG77" s="22" t="e">
        <f aca="false">AND(#REF!,"AAAAACn/v6I=")</f>
        <v>#VALUE!</v>
      </c>
      <c r="FH77" s="22" t="e">
        <f aca="false">AND(#REF!,"AAAAACn/v6M=")</f>
        <v>#VALUE!</v>
      </c>
      <c r="FI77" s="22" t="e">
        <f aca="false">IF(#REF!,"AAAAACn/v6Q=",0)</f>
        <v>#REF!</v>
      </c>
      <c r="FJ77" s="22" t="e">
        <f aca="false">AND(#REF!,"AAAAACn/v6U=")</f>
        <v>#VALUE!</v>
      </c>
      <c r="FK77" s="22" t="e">
        <f aca="false">AND(#REF!,"AAAAACn/v6Y=")</f>
        <v>#VALUE!</v>
      </c>
      <c r="FL77" s="22" t="e">
        <f aca="false">AND(#REF!,"AAAAACn/v6c=")</f>
        <v>#VALUE!</v>
      </c>
      <c r="FM77" s="22" t="e">
        <f aca="false">AND(#REF!,"AAAAACn/v6g=")</f>
        <v>#VALUE!</v>
      </c>
      <c r="FN77" s="22" t="e">
        <f aca="false">AND(#REF!,"AAAAACn/v6k=")</f>
        <v>#VALUE!</v>
      </c>
      <c r="FO77" s="22" t="e">
        <f aca="false">AND(#REF!,"AAAAACn/v6o=")</f>
        <v>#VALUE!</v>
      </c>
      <c r="FP77" s="22" t="e">
        <f aca="false">AND(#REF!,"AAAAACn/v6s=")</f>
        <v>#VALUE!</v>
      </c>
      <c r="FQ77" s="22" t="e">
        <f aca="false">AND(#REF!,"AAAAACn/v6w=")</f>
        <v>#VALUE!</v>
      </c>
      <c r="FR77" s="22" t="e">
        <f aca="false">IF(#REF!,"AAAAACn/v60=",0)</f>
        <v>#REF!</v>
      </c>
      <c r="FS77" s="22" t="e">
        <f aca="false">AND(#REF!,"AAAAACn/v64=")</f>
        <v>#VALUE!</v>
      </c>
      <c r="FT77" s="22" t="e">
        <f aca="false">AND(#REF!,"AAAAACn/v68=")</f>
        <v>#VALUE!</v>
      </c>
      <c r="FU77" s="22" t="e">
        <f aca="false">AND(#REF!,"AAAAACn/v7A=")</f>
        <v>#VALUE!</v>
      </c>
      <c r="FV77" s="22" t="e">
        <f aca="false">AND(#REF!,"AAAAACn/v7E=")</f>
        <v>#VALUE!</v>
      </c>
      <c r="FW77" s="22" t="e">
        <f aca="false">AND(#REF!,"AAAAACn/v7I=")</f>
        <v>#VALUE!</v>
      </c>
      <c r="FX77" s="22" t="e">
        <f aca="false">AND(#REF!,"AAAAACn/v7M=")</f>
        <v>#VALUE!</v>
      </c>
      <c r="FY77" s="22" t="e">
        <f aca="false">AND(#REF!,"AAAAACn/v7Q=")</f>
        <v>#VALUE!</v>
      </c>
      <c r="FZ77" s="22" t="e">
        <f aca="false">AND(#REF!,"AAAAACn/v7U=")</f>
        <v>#VALUE!</v>
      </c>
      <c r="GA77" s="22" t="e">
        <f aca="false">IF(#REF!,"AAAAACn/v7Y=",0)</f>
        <v>#REF!</v>
      </c>
      <c r="GB77" s="22" t="e">
        <f aca="false">AND(#REF!,"AAAAACn/v7c=")</f>
        <v>#VALUE!</v>
      </c>
      <c r="GC77" s="22" t="e">
        <f aca="false">AND(#REF!,"AAAAACn/v7g=")</f>
        <v>#VALUE!</v>
      </c>
      <c r="GD77" s="22" t="e">
        <f aca="false">AND(#REF!,"AAAAACn/v7k=")</f>
        <v>#VALUE!</v>
      </c>
      <c r="GE77" s="22" t="e">
        <f aca="false">AND(#REF!,"AAAAACn/v7o=")</f>
        <v>#VALUE!</v>
      </c>
      <c r="GF77" s="22" t="e">
        <f aca="false">AND(#REF!,"AAAAACn/v7s=")</f>
        <v>#VALUE!</v>
      </c>
      <c r="GG77" s="22" t="e">
        <f aca="false">AND(#REF!,"AAAAACn/v7w=")</f>
        <v>#VALUE!</v>
      </c>
      <c r="GH77" s="22" t="e">
        <f aca="false">AND(#REF!,"AAAAACn/v70=")</f>
        <v>#VALUE!</v>
      </c>
      <c r="GI77" s="22" t="e">
        <f aca="false">AND(#REF!,"AAAAACn/v74=")</f>
        <v>#VALUE!</v>
      </c>
      <c r="GJ77" s="22" t="e">
        <f aca="false">IF(#REF!,"AAAAACn/v78=",0)</f>
        <v>#REF!</v>
      </c>
      <c r="GK77" s="22" t="e">
        <f aca="false">AND(#REF!,"AAAAACn/v8A=")</f>
        <v>#VALUE!</v>
      </c>
      <c r="GL77" s="22" t="e">
        <f aca="false">AND(#REF!,"AAAAACn/v8E=")</f>
        <v>#VALUE!</v>
      </c>
      <c r="GM77" s="22" t="e">
        <f aca="false">AND(#REF!,"AAAAACn/v8I=")</f>
        <v>#VALUE!</v>
      </c>
      <c r="GN77" s="22" t="e">
        <f aca="false">AND(#REF!,"AAAAACn/v8M=")</f>
        <v>#VALUE!</v>
      </c>
      <c r="GO77" s="22" t="e">
        <f aca="false">AND(#REF!,"AAAAACn/v8Q=")</f>
        <v>#VALUE!</v>
      </c>
      <c r="GP77" s="22" t="e">
        <f aca="false">AND(#REF!,"AAAAACn/v8U=")</f>
        <v>#VALUE!</v>
      </c>
      <c r="GQ77" s="22" t="e">
        <f aca="false">AND(#REF!,"AAAAACn/v8Y=")</f>
        <v>#VALUE!</v>
      </c>
      <c r="GR77" s="22" t="e">
        <f aca="false">AND(#REF!,"AAAAACn/v8c=")</f>
        <v>#VALUE!</v>
      </c>
      <c r="GS77" s="22" t="e">
        <f aca="false">IF(#REF!,"AAAAACn/v8g=",0)</f>
        <v>#REF!</v>
      </c>
      <c r="GT77" s="22" t="e">
        <f aca="false">AND(#REF!,"AAAAACn/v8k=")</f>
        <v>#VALUE!</v>
      </c>
      <c r="GU77" s="22" t="e">
        <f aca="false">AND(#REF!,"AAAAACn/v8o=")</f>
        <v>#VALUE!</v>
      </c>
      <c r="GV77" s="22" t="e">
        <f aca="false">AND(#REF!,"AAAAACn/v8s=")</f>
        <v>#VALUE!</v>
      </c>
      <c r="GW77" s="22" t="e">
        <f aca="false">AND(#REF!,"AAAAACn/v8w=")</f>
        <v>#VALUE!</v>
      </c>
      <c r="GX77" s="22" t="e">
        <f aca="false">AND(#REF!,"AAAAACn/v80=")</f>
        <v>#VALUE!</v>
      </c>
      <c r="GY77" s="22" t="e">
        <f aca="false">AND(#REF!,"AAAAACn/v84=")</f>
        <v>#VALUE!</v>
      </c>
      <c r="GZ77" s="22" t="e">
        <f aca="false">AND(#REF!,"AAAAACn/v88=")</f>
        <v>#VALUE!</v>
      </c>
      <c r="HA77" s="22" t="e">
        <f aca="false">AND(#REF!,"AAAAACn/v9A=")</f>
        <v>#VALUE!</v>
      </c>
      <c r="HB77" s="22" t="e">
        <f aca="false">IF(#REF!,"AAAAACn/v9E=",0)</f>
        <v>#REF!</v>
      </c>
      <c r="HC77" s="22" t="e">
        <f aca="false">AND(#REF!,"AAAAACn/v9I=")</f>
        <v>#VALUE!</v>
      </c>
      <c r="HD77" s="22" t="e">
        <f aca="false">AND(#REF!,"AAAAACn/v9M=")</f>
        <v>#VALUE!</v>
      </c>
      <c r="HE77" s="22" t="e">
        <f aca="false">AND(#REF!,"AAAAACn/v9Q=")</f>
        <v>#VALUE!</v>
      </c>
      <c r="HF77" s="22" t="e">
        <f aca="false">AND(#REF!,"AAAAACn/v9U=")</f>
        <v>#VALUE!</v>
      </c>
      <c r="HG77" s="22" t="e">
        <f aca="false">AND(#REF!,"AAAAACn/v9Y=")</f>
        <v>#VALUE!</v>
      </c>
      <c r="HH77" s="22" t="e">
        <f aca="false">AND(#REF!,"AAAAACn/v9c=")</f>
        <v>#VALUE!</v>
      </c>
      <c r="HI77" s="22" t="e">
        <f aca="false">AND(#REF!,"AAAAACn/v9g=")</f>
        <v>#VALUE!</v>
      </c>
      <c r="HJ77" s="22" t="e">
        <f aca="false">AND(#REF!,"AAAAACn/v9k=")</f>
        <v>#VALUE!</v>
      </c>
      <c r="HK77" s="22" t="e">
        <f aca="false">IF(#REF!,"AAAAACn/v9o=",0)</f>
        <v>#REF!</v>
      </c>
      <c r="HL77" s="22" t="e">
        <f aca="false">AND(#REF!,"AAAAACn/v9s=")</f>
        <v>#VALUE!</v>
      </c>
      <c r="HM77" s="22" t="e">
        <f aca="false">AND(#REF!,"AAAAACn/v9w=")</f>
        <v>#VALUE!</v>
      </c>
      <c r="HN77" s="22" t="e">
        <f aca="false">AND(#REF!,"AAAAACn/v90=")</f>
        <v>#VALUE!</v>
      </c>
      <c r="HO77" s="22" t="e">
        <f aca="false">AND(#REF!,"AAAAACn/v94=")</f>
        <v>#VALUE!</v>
      </c>
      <c r="HP77" s="22" t="e">
        <f aca="false">AND(#REF!,"AAAAACn/v98=")</f>
        <v>#VALUE!</v>
      </c>
      <c r="HQ77" s="22" t="e">
        <f aca="false">AND(#REF!,"AAAAACn/v+A=")</f>
        <v>#VALUE!</v>
      </c>
      <c r="HR77" s="22" t="e">
        <f aca="false">AND(#REF!,"AAAAACn/v+E=")</f>
        <v>#VALUE!</v>
      </c>
      <c r="HS77" s="22" t="e">
        <f aca="false">AND(#REF!,"AAAAACn/v+I=")</f>
        <v>#VALUE!</v>
      </c>
      <c r="HT77" s="22" t="e">
        <f aca="false">IF(#REF!,"AAAAACn/v+M=",0)</f>
        <v>#REF!</v>
      </c>
      <c r="HU77" s="22" t="e">
        <f aca="false">AND(#REF!,"AAAAACn/v+Q=")</f>
        <v>#VALUE!</v>
      </c>
      <c r="HV77" s="22" t="e">
        <f aca="false">AND(#REF!,"AAAAACn/v+U=")</f>
        <v>#VALUE!</v>
      </c>
      <c r="HW77" s="22" t="e">
        <f aca="false">AND(#REF!,"AAAAACn/v+Y=")</f>
        <v>#VALUE!</v>
      </c>
      <c r="HX77" s="22" t="e">
        <f aca="false">AND(#REF!,"AAAAACn/v+c=")</f>
        <v>#VALUE!</v>
      </c>
      <c r="HY77" s="22" t="e">
        <f aca="false">AND(#REF!,"AAAAACn/v+g=")</f>
        <v>#VALUE!</v>
      </c>
      <c r="HZ77" s="22" t="e">
        <f aca="false">AND(#REF!,"AAAAACn/v+k=")</f>
        <v>#VALUE!</v>
      </c>
      <c r="IA77" s="22" t="e">
        <f aca="false">AND(#REF!,"AAAAACn/v+o=")</f>
        <v>#VALUE!</v>
      </c>
      <c r="IB77" s="22" t="e">
        <f aca="false">AND(#REF!,"AAAAACn/v+s=")</f>
        <v>#VALUE!</v>
      </c>
      <c r="IC77" s="22" t="e">
        <f aca="false">IF(#REF!,"AAAAACn/v+w=",0)</f>
        <v>#REF!</v>
      </c>
      <c r="ID77" s="22" t="e">
        <f aca="false">AND(#REF!,"AAAAACn/v+0=")</f>
        <v>#VALUE!</v>
      </c>
      <c r="IE77" s="22" t="e">
        <f aca="false">AND(#REF!,"AAAAACn/v+4=")</f>
        <v>#VALUE!</v>
      </c>
      <c r="IF77" s="22" t="e">
        <f aca="false">AND(#REF!,"AAAAACn/v+8=")</f>
        <v>#VALUE!</v>
      </c>
      <c r="IG77" s="22" t="e">
        <f aca="false">AND(#REF!,"AAAAACn/v/A=")</f>
        <v>#VALUE!</v>
      </c>
      <c r="IH77" s="22" t="e">
        <f aca="false">AND(#REF!,"AAAAACn/v/E=")</f>
        <v>#VALUE!</v>
      </c>
      <c r="II77" s="22" t="e">
        <f aca="false">AND(#REF!,"AAAAACn/v/I=")</f>
        <v>#VALUE!</v>
      </c>
      <c r="IJ77" s="22" t="e">
        <f aca="false">AND(#REF!,"AAAAACn/v/M=")</f>
        <v>#VALUE!</v>
      </c>
      <c r="IK77" s="22" t="e">
        <f aca="false">AND(#REF!,"AAAAACn/v/Q=")</f>
        <v>#VALUE!</v>
      </c>
      <c r="IL77" s="22" t="e">
        <f aca="false">IF(#REF!,"AAAAACn/v/U=",0)</f>
        <v>#REF!</v>
      </c>
      <c r="IM77" s="22" t="e">
        <f aca="false">AND(#REF!,"AAAAACn/v/Y=")</f>
        <v>#VALUE!</v>
      </c>
      <c r="IN77" s="22" t="e">
        <f aca="false">AND(#REF!,"AAAAACn/v/c=")</f>
        <v>#VALUE!</v>
      </c>
      <c r="IO77" s="22" t="e">
        <f aca="false">AND(#REF!,"AAAAACn/v/g=")</f>
        <v>#VALUE!</v>
      </c>
      <c r="IP77" s="22" t="e">
        <f aca="false">AND(#REF!,"AAAAACn/v/k=")</f>
        <v>#VALUE!</v>
      </c>
      <c r="IQ77" s="22" t="e">
        <f aca="false">AND(#REF!,"AAAAACn/v/o=")</f>
        <v>#VALUE!</v>
      </c>
      <c r="IR77" s="22" t="e">
        <f aca="false">AND(#REF!,"AAAAACn/v/s=")</f>
        <v>#VALUE!</v>
      </c>
      <c r="IS77" s="22" t="e">
        <f aca="false">AND(#REF!,"AAAAACn/v/w=")</f>
        <v>#VALUE!</v>
      </c>
      <c r="IT77" s="22" t="e">
        <f aca="false">AND(#REF!,"AAAAACn/v/0=")</f>
        <v>#VALUE!</v>
      </c>
      <c r="IU77" s="22" t="e">
        <f aca="false">IF(#REF!,"AAAAACn/v/4=",0)</f>
        <v>#REF!</v>
      </c>
      <c r="IV77" s="22" t="e">
        <f aca="false">AND(#REF!,"AAAAACn/v/8=")</f>
        <v>#VALUE!</v>
      </c>
    </row>
    <row r="78" customFormat="false" ht="12.75" hidden="false" customHeight="false" outlineLevel="0" collapsed="false">
      <c r="A78" s="22" t="e">
        <f aca="false">AND(#REF!,"AAAAAHZ/VgA=")</f>
        <v>#VALUE!</v>
      </c>
      <c r="B78" s="22" t="e">
        <f aca="false">AND(#REF!,"AAAAAHZ/VgE=")</f>
        <v>#VALUE!</v>
      </c>
      <c r="C78" s="22" t="e">
        <f aca="false">AND(#REF!,"AAAAAHZ/VgI=")</f>
        <v>#VALUE!</v>
      </c>
      <c r="D78" s="22" t="e">
        <f aca="false">AND(#REF!,"AAAAAHZ/VgM=")</f>
        <v>#VALUE!</v>
      </c>
      <c r="E78" s="22" t="e">
        <f aca="false">AND(#REF!,"AAAAAHZ/VgQ=")</f>
        <v>#VALUE!</v>
      </c>
      <c r="F78" s="22" t="e">
        <f aca="false">AND(#REF!,"AAAAAHZ/VgU=")</f>
        <v>#VALUE!</v>
      </c>
      <c r="G78" s="22" t="e">
        <f aca="false">AND(#REF!,"AAAAAHZ/VgY=")</f>
        <v>#VALUE!</v>
      </c>
      <c r="H78" s="22" t="e">
        <f aca="false">IF(#REF!,"AAAAAHZ/Vgc=",0)</f>
        <v>#REF!</v>
      </c>
      <c r="I78" s="22" t="e">
        <f aca="false">AND(#REF!,"AAAAAHZ/Vgg=")</f>
        <v>#VALUE!</v>
      </c>
      <c r="J78" s="22" t="e">
        <f aca="false">AND(#REF!,"AAAAAHZ/Vgk=")</f>
        <v>#VALUE!</v>
      </c>
      <c r="K78" s="22" t="e">
        <f aca="false">AND(#REF!,"AAAAAHZ/Vgo=")</f>
        <v>#VALUE!</v>
      </c>
      <c r="L78" s="22" t="e">
        <f aca="false">AND(#REF!,"AAAAAHZ/Vgs=")</f>
        <v>#VALUE!</v>
      </c>
      <c r="M78" s="22" t="e">
        <f aca="false">AND(#REF!,"AAAAAHZ/Vgw=")</f>
        <v>#VALUE!</v>
      </c>
      <c r="N78" s="22" t="e">
        <f aca="false">AND(#REF!,"AAAAAHZ/Vg0=")</f>
        <v>#VALUE!</v>
      </c>
      <c r="O78" s="22" t="e">
        <f aca="false">AND(#REF!,"AAAAAHZ/Vg4=")</f>
        <v>#VALUE!</v>
      </c>
      <c r="P78" s="22" t="e">
        <f aca="false">AND(#REF!,"AAAAAHZ/Vg8=")</f>
        <v>#VALUE!</v>
      </c>
      <c r="Q78" s="22" t="e">
        <f aca="false">IF(#REF!,"AAAAAHZ/VhA=",0)</f>
        <v>#REF!</v>
      </c>
      <c r="R78" s="22" t="e">
        <f aca="false">AND(#REF!,"AAAAAHZ/VhE=")</f>
        <v>#VALUE!</v>
      </c>
      <c r="S78" s="22" t="e">
        <f aca="false">AND(#REF!,"AAAAAHZ/VhI=")</f>
        <v>#VALUE!</v>
      </c>
      <c r="T78" s="22" t="e">
        <f aca="false">AND(#REF!,"AAAAAHZ/VhM=")</f>
        <v>#VALUE!</v>
      </c>
      <c r="U78" s="22" t="e">
        <f aca="false">AND(#REF!,"AAAAAHZ/VhQ=")</f>
        <v>#VALUE!</v>
      </c>
      <c r="V78" s="22" t="e">
        <f aca="false">AND(#REF!,"AAAAAHZ/VhU=")</f>
        <v>#VALUE!</v>
      </c>
      <c r="W78" s="22" t="e">
        <f aca="false">AND(#REF!,"AAAAAHZ/VhY=")</f>
        <v>#VALUE!</v>
      </c>
      <c r="X78" s="22" t="e">
        <f aca="false">AND(#REF!,"AAAAAHZ/Vhc=")</f>
        <v>#VALUE!</v>
      </c>
      <c r="Y78" s="22" t="e">
        <f aca="false">AND(#REF!,"AAAAAHZ/Vhg=")</f>
        <v>#VALUE!</v>
      </c>
      <c r="Z78" s="22" t="e">
        <f aca="false">IF(#REF!,"AAAAAHZ/Vhk=",0)</f>
        <v>#REF!</v>
      </c>
      <c r="AA78" s="22" t="e">
        <f aca="false">AND(#REF!,"AAAAAHZ/Vho=")</f>
        <v>#VALUE!</v>
      </c>
      <c r="AB78" s="22" t="e">
        <f aca="false">AND(#REF!,"AAAAAHZ/Vhs=")</f>
        <v>#VALUE!</v>
      </c>
      <c r="AC78" s="22" t="e">
        <f aca="false">AND(#REF!,"AAAAAHZ/Vhw=")</f>
        <v>#VALUE!</v>
      </c>
      <c r="AD78" s="22" t="e">
        <f aca="false">AND(#REF!,"AAAAAHZ/Vh0=")</f>
        <v>#VALUE!</v>
      </c>
      <c r="AE78" s="22" t="e">
        <f aca="false">AND(#REF!,"AAAAAHZ/Vh4=")</f>
        <v>#VALUE!</v>
      </c>
      <c r="AF78" s="22" t="e">
        <f aca="false">AND(#REF!,"AAAAAHZ/Vh8=")</f>
        <v>#VALUE!</v>
      </c>
      <c r="AG78" s="22" t="e">
        <f aca="false">AND(#REF!,"AAAAAHZ/ViA=")</f>
        <v>#VALUE!</v>
      </c>
      <c r="AH78" s="22" t="e">
        <f aca="false">AND(#REF!,"AAAAAHZ/ViE=")</f>
        <v>#VALUE!</v>
      </c>
      <c r="AI78" s="22" t="e">
        <f aca="false">IF(#REF!,"AAAAAHZ/ViI=",0)</f>
        <v>#REF!</v>
      </c>
      <c r="AJ78" s="22" t="e">
        <f aca="false">AND(#REF!,"AAAAAHZ/ViM=")</f>
        <v>#VALUE!</v>
      </c>
      <c r="AK78" s="22" t="e">
        <f aca="false">AND(#REF!,"AAAAAHZ/ViQ=")</f>
        <v>#VALUE!</v>
      </c>
      <c r="AL78" s="22" t="e">
        <f aca="false">AND(#REF!,"AAAAAHZ/ViU=")</f>
        <v>#VALUE!</v>
      </c>
      <c r="AM78" s="22" t="e">
        <f aca="false">AND(#REF!,"AAAAAHZ/ViY=")</f>
        <v>#VALUE!</v>
      </c>
      <c r="AN78" s="22" t="e">
        <f aca="false">AND(#REF!,"AAAAAHZ/Vic=")</f>
        <v>#VALUE!</v>
      </c>
      <c r="AO78" s="22" t="e">
        <f aca="false">AND(#REF!,"AAAAAHZ/Vig=")</f>
        <v>#VALUE!</v>
      </c>
      <c r="AP78" s="22" t="e">
        <f aca="false">AND(#REF!,"AAAAAHZ/Vik=")</f>
        <v>#VALUE!</v>
      </c>
      <c r="AQ78" s="22" t="e">
        <f aca="false">AND(#REF!,"AAAAAHZ/Vio=")</f>
        <v>#VALUE!</v>
      </c>
      <c r="AR78" s="22" t="e">
        <f aca="false">IF(#REF!,"AAAAAHZ/Vis=",0)</f>
        <v>#REF!</v>
      </c>
      <c r="AS78" s="22" t="e">
        <f aca="false">AND(#REF!,"AAAAAHZ/Viw=")</f>
        <v>#VALUE!</v>
      </c>
      <c r="AT78" s="22" t="e">
        <f aca="false">AND(#REF!,"AAAAAHZ/Vi0=")</f>
        <v>#VALUE!</v>
      </c>
      <c r="AU78" s="22" t="e">
        <f aca="false">AND(#REF!,"AAAAAHZ/Vi4=")</f>
        <v>#VALUE!</v>
      </c>
      <c r="AV78" s="22" t="e">
        <f aca="false">AND(#REF!,"AAAAAHZ/Vi8=")</f>
        <v>#VALUE!</v>
      </c>
      <c r="AW78" s="22" t="e">
        <f aca="false">AND(#REF!,"AAAAAHZ/VjA=")</f>
        <v>#VALUE!</v>
      </c>
      <c r="AX78" s="22" t="e">
        <f aca="false">AND(#REF!,"AAAAAHZ/VjE=")</f>
        <v>#VALUE!</v>
      </c>
      <c r="AY78" s="22" t="e">
        <f aca="false">AND(#REF!,"AAAAAHZ/VjI=")</f>
        <v>#VALUE!</v>
      </c>
      <c r="AZ78" s="22" t="e">
        <f aca="false">AND(#REF!,"AAAAAHZ/VjM=")</f>
        <v>#VALUE!</v>
      </c>
      <c r="BA78" s="22" t="e">
        <f aca="false">IF(#REF!,"AAAAAHZ/VjQ=",0)</f>
        <v>#REF!</v>
      </c>
      <c r="BB78" s="22" t="e">
        <f aca="false">AND(#REF!,"AAAAAHZ/VjU=")</f>
        <v>#VALUE!</v>
      </c>
      <c r="BC78" s="22" t="e">
        <f aca="false">AND(#REF!,"AAAAAHZ/VjY=")</f>
        <v>#VALUE!</v>
      </c>
      <c r="BD78" s="22" t="e">
        <f aca="false">AND(#REF!,"AAAAAHZ/Vjc=")</f>
        <v>#VALUE!</v>
      </c>
      <c r="BE78" s="22" t="e">
        <f aca="false">AND(#REF!,"AAAAAHZ/Vjg=")</f>
        <v>#VALUE!</v>
      </c>
      <c r="BF78" s="22" t="e">
        <f aca="false">AND(#REF!,"AAAAAHZ/Vjk=")</f>
        <v>#VALUE!</v>
      </c>
      <c r="BG78" s="22" t="e">
        <f aca="false">AND(#REF!,"AAAAAHZ/Vjo=")</f>
        <v>#VALUE!</v>
      </c>
      <c r="BH78" s="22" t="e">
        <f aca="false">AND(#REF!,"AAAAAHZ/Vjs=")</f>
        <v>#VALUE!</v>
      </c>
      <c r="BI78" s="22" t="e">
        <f aca="false">AND(#REF!,"AAAAAHZ/Vjw=")</f>
        <v>#VALUE!</v>
      </c>
      <c r="BJ78" s="22" t="e">
        <f aca="false">IF(#REF!,"AAAAAHZ/Vj0=",0)</f>
        <v>#REF!</v>
      </c>
      <c r="BK78" s="22" t="e">
        <f aca="false">AND(#REF!,"AAAAAHZ/Vj4=")</f>
        <v>#VALUE!</v>
      </c>
      <c r="BL78" s="22" t="e">
        <f aca="false">AND(#REF!,"AAAAAHZ/Vj8=")</f>
        <v>#VALUE!</v>
      </c>
      <c r="BM78" s="22" t="e">
        <f aca="false">AND(#REF!,"AAAAAHZ/VkA=")</f>
        <v>#VALUE!</v>
      </c>
      <c r="BN78" s="22" t="e">
        <f aca="false">AND(#REF!,"AAAAAHZ/VkE=")</f>
        <v>#VALUE!</v>
      </c>
      <c r="BO78" s="22" t="e">
        <f aca="false">AND(#REF!,"AAAAAHZ/VkI=")</f>
        <v>#VALUE!</v>
      </c>
      <c r="BP78" s="22" t="e">
        <f aca="false">AND(#REF!,"AAAAAHZ/VkM=")</f>
        <v>#VALUE!</v>
      </c>
      <c r="BQ78" s="22" t="e">
        <f aca="false">AND(#REF!,"AAAAAHZ/VkQ=")</f>
        <v>#VALUE!</v>
      </c>
      <c r="BR78" s="22" t="e">
        <f aca="false">AND(#REF!,"AAAAAHZ/VkU=")</f>
        <v>#VALUE!</v>
      </c>
      <c r="BS78" s="22" t="e">
        <f aca="false">IF(#REF!,"AAAAAHZ/VkY=",0)</f>
        <v>#REF!</v>
      </c>
      <c r="BT78" s="22" t="e">
        <f aca="false">AND(#REF!,"AAAAAHZ/Vkc=")</f>
        <v>#VALUE!</v>
      </c>
      <c r="BU78" s="22" t="e">
        <f aca="false">AND(#REF!,"AAAAAHZ/Vkg=")</f>
        <v>#VALUE!</v>
      </c>
      <c r="BV78" s="22" t="e">
        <f aca="false">AND(#REF!,"AAAAAHZ/Vkk=")</f>
        <v>#VALUE!</v>
      </c>
      <c r="BW78" s="22" t="e">
        <f aca="false">AND(#REF!,"AAAAAHZ/Vko=")</f>
        <v>#VALUE!</v>
      </c>
      <c r="BX78" s="22" t="e">
        <f aca="false">AND(#REF!,"AAAAAHZ/Vks=")</f>
        <v>#VALUE!</v>
      </c>
      <c r="BY78" s="22" t="e">
        <f aca="false">AND(#REF!,"AAAAAHZ/Vkw=")</f>
        <v>#VALUE!</v>
      </c>
      <c r="BZ78" s="22" t="e">
        <f aca="false">AND(#REF!,"AAAAAHZ/Vk0=")</f>
        <v>#VALUE!</v>
      </c>
      <c r="CA78" s="22" t="e">
        <f aca="false">AND(#REF!,"AAAAAHZ/Vk4=")</f>
        <v>#VALUE!</v>
      </c>
      <c r="CB78" s="22" t="e">
        <f aca="false">IF(#REF!,"AAAAAHZ/Vk8=",0)</f>
        <v>#REF!</v>
      </c>
      <c r="CC78" s="22" t="e">
        <f aca="false">AND(#REF!,"AAAAAHZ/VlA=")</f>
        <v>#VALUE!</v>
      </c>
      <c r="CD78" s="22" t="e">
        <f aca="false">AND(#REF!,"AAAAAHZ/VlE=")</f>
        <v>#VALUE!</v>
      </c>
      <c r="CE78" s="22" t="e">
        <f aca="false">AND(#REF!,"AAAAAHZ/VlI=")</f>
        <v>#VALUE!</v>
      </c>
      <c r="CF78" s="22" t="e">
        <f aca="false">AND(#REF!,"AAAAAHZ/VlM=")</f>
        <v>#VALUE!</v>
      </c>
      <c r="CG78" s="22" t="e">
        <f aca="false">AND(#REF!,"AAAAAHZ/VlQ=")</f>
        <v>#VALUE!</v>
      </c>
      <c r="CH78" s="22" t="e">
        <f aca="false">AND(#REF!,"AAAAAHZ/VlU=")</f>
        <v>#VALUE!</v>
      </c>
      <c r="CI78" s="22" t="e">
        <f aca="false">AND(#REF!,"AAAAAHZ/VlY=")</f>
        <v>#VALUE!</v>
      </c>
      <c r="CJ78" s="22" t="e">
        <f aca="false">AND(#REF!,"AAAAAHZ/Vlc=")</f>
        <v>#VALUE!</v>
      </c>
      <c r="CK78" s="22" t="e">
        <f aca="false">IF(#REF!,"AAAAAHZ/Vlg=",0)</f>
        <v>#REF!</v>
      </c>
      <c r="CL78" s="22" t="e">
        <f aca="false">AND(#REF!,"AAAAAHZ/Vlk=")</f>
        <v>#VALUE!</v>
      </c>
      <c r="CM78" s="22" t="e">
        <f aca="false">AND(#REF!,"AAAAAHZ/Vlo=")</f>
        <v>#VALUE!</v>
      </c>
      <c r="CN78" s="22" t="e">
        <f aca="false">AND(#REF!,"AAAAAHZ/Vls=")</f>
        <v>#VALUE!</v>
      </c>
      <c r="CO78" s="22" t="e">
        <f aca="false">AND(#REF!,"AAAAAHZ/Vlw=")</f>
        <v>#VALUE!</v>
      </c>
      <c r="CP78" s="22" t="e">
        <f aca="false">AND(#REF!,"AAAAAHZ/Vl0=")</f>
        <v>#VALUE!</v>
      </c>
      <c r="CQ78" s="22" t="e">
        <f aca="false">AND(#REF!,"AAAAAHZ/Vl4=")</f>
        <v>#VALUE!</v>
      </c>
      <c r="CR78" s="22" t="e">
        <f aca="false">AND(#REF!,"AAAAAHZ/Vl8=")</f>
        <v>#VALUE!</v>
      </c>
      <c r="CS78" s="22" t="e">
        <f aca="false">AND(#REF!,"AAAAAHZ/VmA=")</f>
        <v>#VALUE!</v>
      </c>
      <c r="CT78" s="22" t="e">
        <f aca="false">IF(#REF!,"AAAAAHZ/VmE=",0)</f>
        <v>#REF!</v>
      </c>
      <c r="CU78" s="22" t="e">
        <f aca="false">AND(#REF!,"AAAAAHZ/VmI=")</f>
        <v>#VALUE!</v>
      </c>
      <c r="CV78" s="22" t="e">
        <f aca="false">AND(#REF!,"AAAAAHZ/VmM=")</f>
        <v>#VALUE!</v>
      </c>
      <c r="CW78" s="22" t="e">
        <f aca="false">AND(#REF!,"AAAAAHZ/VmQ=")</f>
        <v>#VALUE!</v>
      </c>
      <c r="CX78" s="22" t="e">
        <f aca="false">AND(#REF!,"AAAAAHZ/VmU=")</f>
        <v>#VALUE!</v>
      </c>
      <c r="CY78" s="22" t="e">
        <f aca="false">AND(#REF!,"AAAAAHZ/VmY=")</f>
        <v>#VALUE!</v>
      </c>
      <c r="CZ78" s="22" t="e">
        <f aca="false">AND(#REF!,"AAAAAHZ/Vmc=")</f>
        <v>#VALUE!</v>
      </c>
      <c r="DA78" s="22" t="e">
        <f aca="false">AND(#REF!,"AAAAAHZ/Vmg=")</f>
        <v>#VALUE!</v>
      </c>
      <c r="DB78" s="22" t="e">
        <f aca="false">AND(#REF!,"AAAAAHZ/Vmk=")</f>
        <v>#VALUE!</v>
      </c>
      <c r="DC78" s="22" t="e">
        <f aca="false">IF(#REF!,"AAAAAHZ/Vmo=",0)</f>
        <v>#REF!</v>
      </c>
      <c r="DD78" s="22" t="e">
        <f aca="false">AND(#REF!,"AAAAAHZ/Vms=")</f>
        <v>#VALUE!</v>
      </c>
      <c r="DE78" s="22" t="e">
        <f aca="false">AND(#REF!,"AAAAAHZ/Vmw=")</f>
        <v>#VALUE!</v>
      </c>
      <c r="DF78" s="22" t="e">
        <f aca="false">AND(#REF!,"AAAAAHZ/Vm0=")</f>
        <v>#VALUE!</v>
      </c>
      <c r="DG78" s="22" t="e">
        <f aca="false">AND(#REF!,"AAAAAHZ/Vm4=")</f>
        <v>#VALUE!</v>
      </c>
      <c r="DH78" s="22" t="e">
        <f aca="false">AND(#REF!,"AAAAAHZ/Vm8=")</f>
        <v>#VALUE!</v>
      </c>
      <c r="DI78" s="22" t="e">
        <f aca="false">AND(#REF!,"AAAAAHZ/VnA=")</f>
        <v>#VALUE!</v>
      </c>
      <c r="DJ78" s="22" t="e">
        <f aca="false">AND(#REF!,"AAAAAHZ/VnE=")</f>
        <v>#VALUE!</v>
      </c>
      <c r="DK78" s="22" t="e">
        <f aca="false">AND(#REF!,"AAAAAHZ/VnI=")</f>
        <v>#VALUE!</v>
      </c>
      <c r="DL78" s="22" t="e">
        <f aca="false">IF(#REF!,"AAAAAHZ/VnM=",0)</f>
        <v>#REF!</v>
      </c>
      <c r="DM78" s="22" t="e">
        <f aca="false">AND(#REF!,"AAAAAHZ/VnQ=")</f>
        <v>#VALUE!</v>
      </c>
      <c r="DN78" s="22" t="e">
        <f aca="false">AND(#REF!,"AAAAAHZ/VnU=")</f>
        <v>#VALUE!</v>
      </c>
      <c r="DO78" s="22" t="e">
        <f aca="false">AND(#REF!,"AAAAAHZ/VnY=")</f>
        <v>#VALUE!</v>
      </c>
      <c r="DP78" s="22" t="e">
        <f aca="false">AND(#REF!,"AAAAAHZ/Vnc=")</f>
        <v>#VALUE!</v>
      </c>
      <c r="DQ78" s="22" t="e">
        <f aca="false">AND(#REF!,"AAAAAHZ/Vng=")</f>
        <v>#VALUE!</v>
      </c>
      <c r="DR78" s="22" t="e">
        <f aca="false">AND(#REF!,"AAAAAHZ/Vnk=")</f>
        <v>#VALUE!</v>
      </c>
      <c r="DS78" s="22" t="e">
        <f aca="false">AND(#REF!,"AAAAAHZ/Vno=")</f>
        <v>#VALUE!</v>
      </c>
      <c r="DT78" s="22" t="e">
        <f aca="false">AND(#REF!,"AAAAAHZ/Vns=")</f>
        <v>#VALUE!</v>
      </c>
      <c r="DU78" s="22" t="e">
        <f aca="false">IF(#REF!,"AAAAAHZ/Vnw=",0)</f>
        <v>#REF!</v>
      </c>
      <c r="DV78" s="22" t="e">
        <f aca="false">AND(#REF!,"AAAAAHZ/Vn0=")</f>
        <v>#VALUE!</v>
      </c>
      <c r="DW78" s="22" t="e">
        <f aca="false">AND(#REF!,"AAAAAHZ/Vn4=")</f>
        <v>#VALUE!</v>
      </c>
      <c r="DX78" s="22" t="e">
        <f aca="false">AND(#REF!,"AAAAAHZ/Vn8=")</f>
        <v>#VALUE!</v>
      </c>
      <c r="DY78" s="22" t="e">
        <f aca="false">AND(#REF!,"AAAAAHZ/VoA=")</f>
        <v>#VALUE!</v>
      </c>
      <c r="DZ78" s="22" t="e">
        <f aca="false">AND(#REF!,"AAAAAHZ/VoE=")</f>
        <v>#VALUE!</v>
      </c>
      <c r="EA78" s="22" t="e">
        <f aca="false">AND(#REF!,"AAAAAHZ/VoI=")</f>
        <v>#VALUE!</v>
      </c>
      <c r="EB78" s="22" t="e">
        <f aca="false">AND(#REF!,"AAAAAHZ/VoM=")</f>
        <v>#VALUE!</v>
      </c>
      <c r="EC78" s="22" t="e">
        <f aca="false">AND(#REF!,"AAAAAHZ/VoQ=")</f>
        <v>#VALUE!</v>
      </c>
      <c r="ED78" s="22" t="e">
        <f aca="false">IF(#REF!,"AAAAAHZ/VoU=",0)</f>
        <v>#REF!</v>
      </c>
      <c r="EE78" s="22" t="e">
        <f aca="false">AND(#REF!,"AAAAAHZ/VoY=")</f>
        <v>#VALUE!</v>
      </c>
      <c r="EF78" s="22" t="e">
        <f aca="false">AND(#REF!,"AAAAAHZ/Voc=")</f>
        <v>#VALUE!</v>
      </c>
      <c r="EG78" s="22" t="e">
        <f aca="false">AND(#REF!,"AAAAAHZ/Vog=")</f>
        <v>#VALUE!</v>
      </c>
      <c r="EH78" s="22" t="e">
        <f aca="false">AND(#REF!,"AAAAAHZ/Vok=")</f>
        <v>#VALUE!</v>
      </c>
      <c r="EI78" s="22" t="e">
        <f aca="false">AND(#REF!,"AAAAAHZ/Voo=")</f>
        <v>#VALUE!</v>
      </c>
      <c r="EJ78" s="22" t="e">
        <f aca="false">AND(#REF!,"AAAAAHZ/Vos=")</f>
        <v>#VALUE!</v>
      </c>
      <c r="EK78" s="22" t="e">
        <f aca="false">AND(#REF!,"AAAAAHZ/Vow=")</f>
        <v>#VALUE!</v>
      </c>
      <c r="EL78" s="22" t="e">
        <f aca="false">AND(#REF!,"AAAAAHZ/Vo0=")</f>
        <v>#VALUE!</v>
      </c>
      <c r="EM78" s="22" t="e">
        <f aca="false">IF(#REF!,"AAAAAHZ/Vo4=",0)</f>
        <v>#REF!</v>
      </c>
      <c r="EN78" s="22" t="e">
        <f aca="false">AND(#REF!,"AAAAAHZ/Vo8=")</f>
        <v>#VALUE!</v>
      </c>
      <c r="EO78" s="22" t="e">
        <f aca="false">AND(#REF!,"AAAAAHZ/VpA=")</f>
        <v>#VALUE!</v>
      </c>
      <c r="EP78" s="22" t="e">
        <f aca="false">AND(#REF!,"AAAAAHZ/VpE=")</f>
        <v>#VALUE!</v>
      </c>
      <c r="EQ78" s="22" t="e">
        <f aca="false">AND(#REF!,"AAAAAHZ/VpI=")</f>
        <v>#VALUE!</v>
      </c>
      <c r="ER78" s="22" t="e">
        <f aca="false">AND(#REF!,"AAAAAHZ/VpM=")</f>
        <v>#VALUE!</v>
      </c>
      <c r="ES78" s="22" t="e">
        <f aca="false">AND(#REF!,"AAAAAHZ/VpQ=")</f>
        <v>#VALUE!</v>
      </c>
      <c r="ET78" s="22" t="e">
        <f aca="false">AND(#REF!,"AAAAAHZ/VpU=")</f>
        <v>#VALUE!</v>
      </c>
      <c r="EU78" s="22" t="e">
        <f aca="false">AND(#REF!,"AAAAAHZ/VpY=")</f>
        <v>#VALUE!</v>
      </c>
      <c r="EV78" s="22" t="e">
        <f aca="false">IF(#REF!,"AAAAAHZ/Vpc=",0)</f>
        <v>#REF!</v>
      </c>
      <c r="EW78" s="22" t="e">
        <f aca="false">AND(#REF!,"AAAAAHZ/Vpg=")</f>
        <v>#VALUE!</v>
      </c>
      <c r="EX78" s="22" t="e">
        <f aca="false">AND(#REF!,"AAAAAHZ/Vpk=")</f>
        <v>#VALUE!</v>
      </c>
      <c r="EY78" s="22" t="e">
        <f aca="false">AND(#REF!,"AAAAAHZ/Vpo=")</f>
        <v>#VALUE!</v>
      </c>
      <c r="EZ78" s="22" t="e">
        <f aca="false">AND(#REF!,"AAAAAHZ/Vps=")</f>
        <v>#VALUE!</v>
      </c>
      <c r="FA78" s="22" t="e">
        <f aca="false">AND(#REF!,"AAAAAHZ/Vpw=")</f>
        <v>#VALUE!</v>
      </c>
      <c r="FB78" s="22" t="e">
        <f aca="false">AND(#REF!,"AAAAAHZ/Vp0=")</f>
        <v>#VALUE!</v>
      </c>
      <c r="FC78" s="22" t="e">
        <f aca="false">AND(#REF!,"AAAAAHZ/Vp4=")</f>
        <v>#VALUE!</v>
      </c>
      <c r="FD78" s="22" t="e">
        <f aca="false">AND(#REF!,"AAAAAHZ/Vp8=")</f>
        <v>#VALUE!</v>
      </c>
      <c r="FE78" s="22" t="e">
        <f aca="false">IF(#REF!,"AAAAAHZ/VqA=",0)</f>
        <v>#REF!</v>
      </c>
      <c r="FF78" s="22" t="e">
        <f aca="false">AND(#REF!,"AAAAAHZ/VqE=")</f>
        <v>#VALUE!</v>
      </c>
      <c r="FG78" s="22" t="e">
        <f aca="false">AND(#REF!,"AAAAAHZ/VqI=")</f>
        <v>#VALUE!</v>
      </c>
      <c r="FH78" s="22" t="e">
        <f aca="false">AND(#REF!,"AAAAAHZ/VqM=")</f>
        <v>#VALUE!</v>
      </c>
      <c r="FI78" s="22" t="e">
        <f aca="false">AND(#REF!,"AAAAAHZ/VqQ=")</f>
        <v>#VALUE!</v>
      </c>
      <c r="FJ78" s="22" t="e">
        <f aca="false">AND(#REF!,"AAAAAHZ/VqU=")</f>
        <v>#VALUE!</v>
      </c>
      <c r="FK78" s="22" t="e">
        <f aca="false">AND(#REF!,"AAAAAHZ/VqY=")</f>
        <v>#VALUE!</v>
      </c>
      <c r="FL78" s="22" t="e">
        <f aca="false">AND(#REF!,"AAAAAHZ/Vqc=")</f>
        <v>#VALUE!</v>
      </c>
      <c r="FM78" s="22" t="e">
        <f aca="false">AND(#REF!,"AAAAAHZ/Vqg=")</f>
        <v>#VALUE!</v>
      </c>
      <c r="FN78" s="22" t="e">
        <f aca="false">IF(#REF!,"AAAAAHZ/Vqk=",0)</f>
        <v>#REF!</v>
      </c>
      <c r="FO78" s="22" t="e">
        <f aca="false">AND(#REF!,"AAAAAHZ/Vqo=")</f>
        <v>#VALUE!</v>
      </c>
      <c r="FP78" s="22" t="e">
        <f aca="false">AND(#REF!,"AAAAAHZ/Vqs=")</f>
        <v>#VALUE!</v>
      </c>
      <c r="FQ78" s="22" t="e">
        <f aca="false">AND(#REF!,"AAAAAHZ/Vqw=")</f>
        <v>#VALUE!</v>
      </c>
      <c r="FR78" s="22" t="e">
        <f aca="false">AND(#REF!,"AAAAAHZ/Vq0=")</f>
        <v>#VALUE!</v>
      </c>
      <c r="FS78" s="22" t="e">
        <f aca="false">AND(#REF!,"AAAAAHZ/Vq4=")</f>
        <v>#VALUE!</v>
      </c>
      <c r="FT78" s="22" t="e">
        <f aca="false">AND(#REF!,"AAAAAHZ/Vq8=")</f>
        <v>#VALUE!</v>
      </c>
      <c r="FU78" s="22" t="e">
        <f aca="false">AND(#REF!,"AAAAAHZ/VrA=")</f>
        <v>#VALUE!</v>
      </c>
      <c r="FV78" s="22" t="e">
        <f aca="false">AND(#REF!,"AAAAAHZ/VrE=")</f>
        <v>#VALUE!</v>
      </c>
      <c r="FW78" s="22" t="e">
        <f aca="false">IF(#REF!,"AAAAAHZ/VrI=",0)</f>
        <v>#REF!</v>
      </c>
      <c r="FX78" s="22" t="e">
        <f aca="false">AND(#REF!,"AAAAAHZ/VrM=")</f>
        <v>#VALUE!</v>
      </c>
      <c r="FY78" s="22" t="e">
        <f aca="false">AND(#REF!,"AAAAAHZ/VrQ=")</f>
        <v>#VALUE!</v>
      </c>
      <c r="FZ78" s="22" t="e">
        <f aca="false">AND(#REF!,"AAAAAHZ/VrU=")</f>
        <v>#VALUE!</v>
      </c>
      <c r="GA78" s="22" t="e">
        <f aca="false">AND(#REF!,"AAAAAHZ/VrY=")</f>
        <v>#VALUE!</v>
      </c>
      <c r="GB78" s="22" t="e">
        <f aca="false">AND(#REF!,"AAAAAHZ/Vrc=")</f>
        <v>#VALUE!</v>
      </c>
      <c r="GC78" s="22" t="e">
        <f aca="false">AND(#REF!,"AAAAAHZ/Vrg=")</f>
        <v>#VALUE!</v>
      </c>
      <c r="GD78" s="22" t="e">
        <f aca="false">AND(#REF!,"AAAAAHZ/Vrk=")</f>
        <v>#VALUE!</v>
      </c>
      <c r="GE78" s="22" t="e">
        <f aca="false">AND(#REF!,"AAAAAHZ/Vro=")</f>
        <v>#VALUE!</v>
      </c>
      <c r="GF78" s="22" t="e">
        <f aca="false">IF(#REF!,"AAAAAHZ/Vrs=",0)</f>
        <v>#REF!</v>
      </c>
      <c r="GG78" s="22" t="e">
        <f aca="false">AND(#REF!,"AAAAAHZ/Vrw=")</f>
        <v>#VALUE!</v>
      </c>
      <c r="GH78" s="22" t="e">
        <f aca="false">AND(#REF!,"AAAAAHZ/Vr0=")</f>
        <v>#VALUE!</v>
      </c>
      <c r="GI78" s="22" t="e">
        <f aca="false">AND(#REF!,"AAAAAHZ/Vr4=")</f>
        <v>#VALUE!</v>
      </c>
      <c r="GJ78" s="22" t="e">
        <f aca="false">AND(#REF!,"AAAAAHZ/Vr8=")</f>
        <v>#VALUE!</v>
      </c>
      <c r="GK78" s="22" t="e">
        <f aca="false">AND(#REF!,"AAAAAHZ/VsA=")</f>
        <v>#VALUE!</v>
      </c>
      <c r="GL78" s="22" t="e">
        <f aca="false">AND(#REF!,"AAAAAHZ/VsE=")</f>
        <v>#VALUE!</v>
      </c>
      <c r="GM78" s="22" t="e">
        <f aca="false">AND(#REF!,"AAAAAHZ/VsI=")</f>
        <v>#VALUE!</v>
      </c>
      <c r="GN78" s="22" t="e">
        <f aca="false">AND(#REF!,"AAAAAHZ/VsM=")</f>
        <v>#VALUE!</v>
      </c>
      <c r="GO78" s="22" t="e">
        <f aca="false">IF(#REF!,"AAAAAHZ/VsQ=",0)</f>
        <v>#REF!</v>
      </c>
      <c r="GP78" s="22" t="e">
        <f aca="false">AND(#REF!,"AAAAAHZ/VsU=")</f>
        <v>#VALUE!</v>
      </c>
      <c r="GQ78" s="22" t="e">
        <f aca="false">AND(#REF!,"AAAAAHZ/VsY=")</f>
        <v>#VALUE!</v>
      </c>
      <c r="GR78" s="22" t="e">
        <f aca="false">AND(#REF!,"AAAAAHZ/Vsc=")</f>
        <v>#VALUE!</v>
      </c>
      <c r="GS78" s="22" t="e">
        <f aca="false">AND(#REF!,"AAAAAHZ/Vsg=")</f>
        <v>#VALUE!</v>
      </c>
      <c r="GT78" s="22" t="e">
        <f aca="false">AND(#REF!,"AAAAAHZ/Vsk=")</f>
        <v>#VALUE!</v>
      </c>
      <c r="GU78" s="22" t="e">
        <f aca="false">AND(#REF!,"AAAAAHZ/Vso=")</f>
        <v>#VALUE!</v>
      </c>
      <c r="GV78" s="22" t="e">
        <f aca="false">AND(#REF!,"AAAAAHZ/Vss=")</f>
        <v>#VALUE!</v>
      </c>
      <c r="GW78" s="22" t="e">
        <f aca="false">AND(#REF!,"AAAAAHZ/Vsw=")</f>
        <v>#VALUE!</v>
      </c>
      <c r="GX78" s="22" t="e">
        <f aca="false">IF(#REF!,"AAAAAHZ/Vs0=",0)</f>
        <v>#REF!</v>
      </c>
      <c r="GY78" s="22" t="e">
        <f aca="false">AND(#REF!,"AAAAAHZ/Vs4=")</f>
        <v>#VALUE!</v>
      </c>
      <c r="GZ78" s="22" t="e">
        <f aca="false">AND(#REF!,"AAAAAHZ/Vs8=")</f>
        <v>#VALUE!</v>
      </c>
      <c r="HA78" s="22" t="e">
        <f aca="false">AND(#REF!,"AAAAAHZ/VtA=")</f>
        <v>#VALUE!</v>
      </c>
      <c r="HB78" s="22" t="e">
        <f aca="false">AND(#REF!,"AAAAAHZ/VtE=")</f>
        <v>#VALUE!</v>
      </c>
      <c r="HC78" s="22" t="e">
        <f aca="false">AND(#REF!,"AAAAAHZ/VtI=")</f>
        <v>#VALUE!</v>
      </c>
      <c r="HD78" s="22" t="e">
        <f aca="false">AND(#REF!,"AAAAAHZ/VtM=")</f>
        <v>#VALUE!</v>
      </c>
      <c r="HE78" s="22" t="e">
        <f aca="false">AND(#REF!,"AAAAAHZ/VtQ=")</f>
        <v>#VALUE!</v>
      </c>
      <c r="HF78" s="22" t="e">
        <f aca="false">AND(#REF!,"AAAAAHZ/VtU=")</f>
        <v>#VALUE!</v>
      </c>
      <c r="HG78" s="22" t="e">
        <f aca="false">IF(#REF!,"AAAAAHZ/VtY=",0)</f>
        <v>#REF!</v>
      </c>
      <c r="HH78" s="22" t="e">
        <f aca="false">AND(#REF!,"AAAAAHZ/Vtc=")</f>
        <v>#VALUE!</v>
      </c>
      <c r="HI78" s="22" t="e">
        <f aca="false">AND(#REF!,"AAAAAHZ/Vtg=")</f>
        <v>#VALUE!</v>
      </c>
      <c r="HJ78" s="22" t="e">
        <f aca="false">AND(#REF!,"AAAAAHZ/Vtk=")</f>
        <v>#VALUE!</v>
      </c>
      <c r="HK78" s="22" t="e">
        <f aca="false">AND(#REF!,"AAAAAHZ/Vto=")</f>
        <v>#VALUE!</v>
      </c>
      <c r="HL78" s="22" t="e">
        <f aca="false">AND(#REF!,"AAAAAHZ/Vts=")</f>
        <v>#VALUE!</v>
      </c>
      <c r="HM78" s="22" t="e">
        <f aca="false">AND(#REF!,"AAAAAHZ/Vtw=")</f>
        <v>#VALUE!</v>
      </c>
      <c r="HN78" s="22" t="e">
        <f aca="false">AND(#REF!,"AAAAAHZ/Vt0=")</f>
        <v>#VALUE!</v>
      </c>
      <c r="HO78" s="22" t="e">
        <f aca="false">AND(#REF!,"AAAAAHZ/Vt4=")</f>
        <v>#VALUE!</v>
      </c>
      <c r="HP78" s="22" t="e">
        <f aca="false">IF(#REF!,"AAAAAHZ/Vt8=",0)</f>
        <v>#REF!</v>
      </c>
      <c r="HQ78" s="22" t="e">
        <f aca="false">AND(#REF!,"AAAAAHZ/VuA=")</f>
        <v>#VALUE!</v>
      </c>
      <c r="HR78" s="22" t="e">
        <f aca="false">AND(#REF!,"AAAAAHZ/VuE=")</f>
        <v>#VALUE!</v>
      </c>
      <c r="HS78" s="22" t="e">
        <f aca="false">AND(#REF!,"AAAAAHZ/VuI=")</f>
        <v>#VALUE!</v>
      </c>
      <c r="HT78" s="22" t="e">
        <f aca="false">AND(#REF!,"AAAAAHZ/VuM=")</f>
        <v>#VALUE!</v>
      </c>
      <c r="HU78" s="22" t="e">
        <f aca="false">AND(#REF!,"AAAAAHZ/VuQ=")</f>
        <v>#VALUE!</v>
      </c>
      <c r="HV78" s="22" t="e">
        <f aca="false">AND(#REF!,"AAAAAHZ/VuU=")</f>
        <v>#VALUE!</v>
      </c>
      <c r="HW78" s="22" t="e">
        <f aca="false">AND(#REF!,"AAAAAHZ/VuY=")</f>
        <v>#VALUE!</v>
      </c>
      <c r="HX78" s="22" t="e">
        <f aca="false">AND(#REF!,"AAAAAHZ/Vuc=")</f>
        <v>#VALUE!</v>
      </c>
      <c r="HY78" s="22" t="e">
        <f aca="false">IF(#REF!,"AAAAAHZ/Vug=",0)</f>
        <v>#REF!</v>
      </c>
      <c r="HZ78" s="22" t="e">
        <f aca="false">AND(#REF!,"AAAAAHZ/Vuk=")</f>
        <v>#VALUE!</v>
      </c>
      <c r="IA78" s="22" t="e">
        <f aca="false">AND(#REF!,"AAAAAHZ/Vuo=")</f>
        <v>#VALUE!</v>
      </c>
      <c r="IB78" s="22" t="e">
        <f aca="false">AND(#REF!,"AAAAAHZ/Vus=")</f>
        <v>#VALUE!</v>
      </c>
      <c r="IC78" s="22" t="e">
        <f aca="false">AND(#REF!,"AAAAAHZ/Vuw=")</f>
        <v>#VALUE!</v>
      </c>
      <c r="ID78" s="22" t="e">
        <f aca="false">AND(#REF!,"AAAAAHZ/Vu0=")</f>
        <v>#VALUE!</v>
      </c>
      <c r="IE78" s="22" t="e">
        <f aca="false">AND(#REF!,"AAAAAHZ/Vu4=")</f>
        <v>#VALUE!</v>
      </c>
      <c r="IF78" s="22" t="e">
        <f aca="false">AND(#REF!,"AAAAAHZ/Vu8=")</f>
        <v>#VALUE!</v>
      </c>
      <c r="IG78" s="22" t="e">
        <f aca="false">AND(#REF!,"AAAAAHZ/VvA=")</f>
        <v>#VALUE!</v>
      </c>
      <c r="IH78" s="22" t="e">
        <f aca="false">IF(#REF!,"AAAAAHZ/VvE=",0)</f>
        <v>#REF!</v>
      </c>
      <c r="II78" s="22" t="e">
        <f aca="false">AND(#REF!,"AAAAAHZ/VvI=")</f>
        <v>#VALUE!</v>
      </c>
      <c r="IJ78" s="22" t="e">
        <f aca="false">AND(#REF!,"AAAAAHZ/VvM=")</f>
        <v>#VALUE!</v>
      </c>
      <c r="IK78" s="22" t="e">
        <f aca="false">AND(#REF!,"AAAAAHZ/VvQ=")</f>
        <v>#VALUE!</v>
      </c>
      <c r="IL78" s="22" t="e">
        <f aca="false">AND(#REF!,"AAAAAHZ/VvU=")</f>
        <v>#VALUE!</v>
      </c>
      <c r="IM78" s="22" t="e">
        <f aca="false">AND(#REF!,"AAAAAHZ/VvY=")</f>
        <v>#VALUE!</v>
      </c>
      <c r="IN78" s="22" t="e">
        <f aca="false">AND(#REF!,"AAAAAHZ/Vvc=")</f>
        <v>#VALUE!</v>
      </c>
      <c r="IO78" s="22" t="e">
        <f aca="false">AND(#REF!,"AAAAAHZ/Vvg=")</f>
        <v>#VALUE!</v>
      </c>
      <c r="IP78" s="22" t="e">
        <f aca="false">AND(#REF!,"AAAAAHZ/Vvk=")</f>
        <v>#VALUE!</v>
      </c>
      <c r="IQ78" s="22" t="e">
        <f aca="false">IF(#REF!,"AAAAAHZ/Vvo=",0)</f>
        <v>#REF!</v>
      </c>
      <c r="IR78" s="22" t="e">
        <f aca="false">AND(#REF!,"AAAAAHZ/Vvs=")</f>
        <v>#VALUE!</v>
      </c>
      <c r="IS78" s="22" t="e">
        <f aca="false">AND(#REF!,"AAAAAHZ/Vvw=")</f>
        <v>#VALUE!</v>
      </c>
      <c r="IT78" s="22" t="e">
        <f aca="false">AND(#REF!,"AAAAAHZ/Vv0=")</f>
        <v>#VALUE!</v>
      </c>
      <c r="IU78" s="22" t="e">
        <f aca="false">AND(#REF!,"AAAAAHZ/Vv4=")</f>
        <v>#VALUE!</v>
      </c>
      <c r="IV78" s="22" t="e">
        <f aca="false">AND(#REF!,"AAAAAHZ/Vv8=")</f>
        <v>#VALUE!</v>
      </c>
    </row>
    <row r="79" customFormat="false" ht="12.75" hidden="false" customHeight="false" outlineLevel="0" collapsed="false">
      <c r="A79" s="22" t="e">
        <f aca="false">AND(#REF!,"AAAAAEj/uwA=")</f>
        <v>#VALUE!</v>
      </c>
      <c r="B79" s="22" t="e">
        <f aca="false">AND(#REF!,"AAAAAEj/uwE=")</f>
        <v>#VALUE!</v>
      </c>
      <c r="C79" s="22" t="e">
        <f aca="false">AND(#REF!,"AAAAAEj/uwI=")</f>
        <v>#VALUE!</v>
      </c>
      <c r="D79" s="22" t="e">
        <f aca="false">IF(#REF!,"AAAAAEj/uwM=",0)</f>
        <v>#REF!</v>
      </c>
      <c r="E79" s="22" t="e">
        <f aca="false">AND(#REF!,"AAAAAEj/uwQ=")</f>
        <v>#VALUE!</v>
      </c>
      <c r="F79" s="22" t="e">
        <f aca="false">AND(#REF!,"AAAAAEj/uwU=")</f>
        <v>#VALUE!</v>
      </c>
      <c r="G79" s="22" t="e">
        <f aca="false">AND(#REF!,"AAAAAEj/uwY=")</f>
        <v>#VALUE!</v>
      </c>
      <c r="H79" s="22" t="e">
        <f aca="false">AND(#REF!,"AAAAAEj/uwc=")</f>
        <v>#VALUE!</v>
      </c>
      <c r="I79" s="22" t="e">
        <f aca="false">AND(#REF!,"AAAAAEj/uwg=")</f>
        <v>#VALUE!</v>
      </c>
      <c r="J79" s="22" t="e">
        <f aca="false">AND(#REF!,"AAAAAEj/uwk=")</f>
        <v>#VALUE!</v>
      </c>
      <c r="K79" s="22" t="e">
        <f aca="false">AND(#REF!,"AAAAAEj/uwo=")</f>
        <v>#VALUE!</v>
      </c>
      <c r="L79" s="22" t="e">
        <f aca="false">AND(#REF!,"AAAAAEj/uws=")</f>
        <v>#VALUE!</v>
      </c>
      <c r="M79" s="22" t="e">
        <f aca="false">IF(#REF!,"AAAAAEj/uww=",0)</f>
        <v>#REF!</v>
      </c>
      <c r="N79" s="22" t="e">
        <f aca="false">AND(#REF!,"AAAAAEj/uw0=")</f>
        <v>#VALUE!</v>
      </c>
      <c r="O79" s="22" t="e">
        <f aca="false">AND(#REF!,"AAAAAEj/uw4=")</f>
        <v>#VALUE!</v>
      </c>
      <c r="P79" s="22" t="e">
        <f aca="false">AND(#REF!,"AAAAAEj/uw8=")</f>
        <v>#VALUE!</v>
      </c>
      <c r="Q79" s="22" t="e">
        <f aca="false">AND(#REF!,"AAAAAEj/uxA=")</f>
        <v>#VALUE!</v>
      </c>
      <c r="R79" s="22" t="e">
        <f aca="false">AND(#REF!,"AAAAAEj/uxE=")</f>
        <v>#VALUE!</v>
      </c>
      <c r="S79" s="22" t="e">
        <f aca="false">AND(#REF!,"AAAAAEj/uxI=")</f>
        <v>#VALUE!</v>
      </c>
      <c r="T79" s="22" t="e">
        <f aca="false">AND(#REF!,"AAAAAEj/uxM=")</f>
        <v>#VALUE!</v>
      </c>
      <c r="U79" s="22" t="e">
        <f aca="false">AND(#REF!,"AAAAAEj/uxQ=")</f>
        <v>#VALUE!</v>
      </c>
      <c r="V79" s="22" t="e">
        <f aca="false">IF(#REF!,"AAAAAEj/uxU=",0)</f>
        <v>#REF!</v>
      </c>
      <c r="W79" s="22" t="e">
        <f aca="false">AND(#REF!,"AAAAAEj/uxY=")</f>
        <v>#VALUE!</v>
      </c>
      <c r="X79" s="22" t="e">
        <f aca="false">AND(#REF!,"AAAAAEj/uxc=")</f>
        <v>#VALUE!</v>
      </c>
      <c r="Y79" s="22" t="e">
        <f aca="false">AND(#REF!,"AAAAAEj/uxg=")</f>
        <v>#VALUE!</v>
      </c>
      <c r="Z79" s="22" t="e">
        <f aca="false">AND(#REF!,"AAAAAEj/uxk=")</f>
        <v>#VALUE!</v>
      </c>
      <c r="AA79" s="22" t="e">
        <f aca="false">AND(#REF!,"AAAAAEj/uxo=")</f>
        <v>#VALUE!</v>
      </c>
      <c r="AB79" s="22" t="e">
        <f aca="false">AND(#REF!,"AAAAAEj/uxs=")</f>
        <v>#VALUE!</v>
      </c>
      <c r="AC79" s="22" t="e">
        <f aca="false">AND(#REF!,"AAAAAEj/uxw=")</f>
        <v>#VALUE!</v>
      </c>
      <c r="AD79" s="22" t="e">
        <f aca="false">AND(#REF!,"AAAAAEj/ux0=")</f>
        <v>#VALUE!</v>
      </c>
      <c r="AE79" s="22" t="e">
        <f aca="false">IF(#REF!,"AAAAAEj/ux4=",0)</f>
        <v>#REF!</v>
      </c>
      <c r="AF79" s="22" t="e">
        <f aca="false">AND(#REF!,"AAAAAEj/ux8=")</f>
        <v>#VALUE!</v>
      </c>
      <c r="AG79" s="22" t="e">
        <f aca="false">AND(#REF!,"AAAAAEj/uyA=")</f>
        <v>#VALUE!</v>
      </c>
      <c r="AH79" s="22" t="e">
        <f aca="false">AND(#REF!,"AAAAAEj/uyE=")</f>
        <v>#VALUE!</v>
      </c>
      <c r="AI79" s="22" t="e">
        <f aca="false">AND(#REF!,"AAAAAEj/uyI=")</f>
        <v>#VALUE!</v>
      </c>
      <c r="AJ79" s="22" t="e">
        <f aca="false">AND(#REF!,"AAAAAEj/uyM=")</f>
        <v>#VALUE!</v>
      </c>
      <c r="AK79" s="22" t="e">
        <f aca="false">AND(#REF!,"AAAAAEj/uyQ=")</f>
        <v>#VALUE!</v>
      </c>
      <c r="AL79" s="22" t="e">
        <f aca="false">AND(#REF!,"AAAAAEj/uyU=")</f>
        <v>#VALUE!</v>
      </c>
      <c r="AM79" s="22" t="e">
        <f aca="false">AND(#REF!,"AAAAAEj/uyY=")</f>
        <v>#VALUE!</v>
      </c>
      <c r="AN79" s="22" t="e">
        <f aca="false">IF(#REF!,"AAAAAEj/uyc=",0)</f>
        <v>#REF!</v>
      </c>
      <c r="AO79" s="22" t="e">
        <f aca="false">AND(#REF!,"AAAAAEj/uyg=")</f>
        <v>#VALUE!</v>
      </c>
      <c r="AP79" s="22" t="e">
        <f aca="false">AND(#REF!,"AAAAAEj/uyk=")</f>
        <v>#VALUE!</v>
      </c>
      <c r="AQ79" s="22" t="e">
        <f aca="false">AND(#REF!,"AAAAAEj/uyo=")</f>
        <v>#VALUE!</v>
      </c>
      <c r="AR79" s="22" t="e">
        <f aca="false">AND(#REF!,"AAAAAEj/uys=")</f>
        <v>#VALUE!</v>
      </c>
      <c r="AS79" s="22" t="e">
        <f aca="false">AND(#REF!,"AAAAAEj/uyw=")</f>
        <v>#VALUE!</v>
      </c>
      <c r="AT79" s="22" t="e">
        <f aca="false">AND(#REF!,"AAAAAEj/uy0=")</f>
        <v>#VALUE!</v>
      </c>
      <c r="AU79" s="22" t="e">
        <f aca="false">AND(#REF!,"AAAAAEj/uy4=")</f>
        <v>#VALUE!</v>
      </c>
      <c r="AV79" s="22" t="e">
        <f aca="false">AND(#REF!,"AAAAAEj/uy8=")</f>
        <v>#VALUE!</v>
      </c>
      <c r="AW79" s="22" t="e">
        <f aca="false">IF(#REF!,"AAAAAEj/uzA=",0)</f>
        <v>#REF!</v>
      </c>
      <c r="AX79" s="22" t="e">
        <f aca="false">AND(#REF!,"AAAAAEj/uzE=")</f>
        <v>#VALUE!</v>
      </c>
      <c r="AY79" s="22" t="e">
        <f aca="false">AND(#REF!,"AAAAAEj/uzI=")</f>
        <v>#VALUE!</v>
      </c>
      <c r="AZ79" s="22" t="e">
        <f aca="false">AND(#REF!,"AAAAAEj/uzM=")</f>
        <v>#VALUE!</v>
      </c>
      <c r="BA79" s="22" t="e">
        <f aca="false">AND(#REF!,"AAAAAEj/uzQ=")</f>
        <v>#VALUE!</v>
      </c>
      <c r="BB79" s="22" t="e">
        <f aca="false">AND(#REF!,"AAAAAEj/uzU=")</f>
        <v>#VALUE!</v>
      </c>
      <c r="BC79" s="22" t="e">
        <f aca="false">AND(#REF!,"AAAAAEj/uzY=")</f>
        <v>#VALUE!</v>
      </c>
      <c r="BD79" s="22" t="e">
        <f aca="false">AND(#REF!,"AAAAAEj/uzc=")</f>
        <v>#VALUE!</v>
      </c>
      <c r="BE79" s="22" t="e">
        <f aca="false">AND(#REF!,"AAAAAEj/uzg=")</f>
        <v>#VALUE!</v>
      </c>
      <c r="BF79" s="22" t="e">
        <f aca="false">IF(#REF!,"AAAAAEj/uzk=",0)</f>
        <v>#REF!</v>
      </c>
      <c r="BG79" s="22" t="e">
        <f aca="false">AND(#REF!,"AAAAAEj/uzo=")</f>
        <v>#VALUE!</v>
      </c>
      <c r="BH79" s="22" t="e">
        <f aca="false">AND(#REF!,"AAAAAEj/uzs=")</f>
        <v>#VALUE!</v>
      </c>
      <c r="BI79" s="22" t="e">
        <f aca="false">AND(#REF!,"AAAAAEj/uzw=")</f>
        <v>#VALUE!</v>
      </c>
      <c r="BJ79" s="22" t="e">
        <f aca="false">AND(#REF!,"AAAAAEj/uz0=")</f>
        <v>#VALUE!</v>
      </c>
      <c r="BK79" s="22" t="e">
        <f aca="false">AND(#REF!,"AAAAAEj/uz4=")</f>
        <v>#VALUE!</v>
      </c>
      <c r="BL79" s="22" t="e">
        <f aca="false">AND(#REF!,"AAAAAEj/uz8=")</f>
        <v>#VALUE!</v>
      </c>
      <c r="BM79" s="22" t="e">
        <f aca="false">AND(#REF!,"AAAAAEj/u0A=")</f>
        <v>#VALUE!</v>
      </c>
      <c r="BN79" s="22" t="e">
        <f aca="false">AND(#REF!,"AAAAAEj/u0E=")</f>
        <v>#VALUE!</v>
      </c>
      <c r="BO79" s="22" t="e">
        <f aca="false">IF(#REF!,"AAAAAEj/u0I=",0)</f>
        <v>#REF!</v>
      </c>
      <c r="BP79" s="22" t="e">
        <f aca="false">AND(#REF!,"AAAAAEj/u0M=")</f>
        <v>#VALUE!</v>
      </c>
      <c r="BQ79" s="22" t="e">
        <f aca="false">AND(#REF!,"AAAAAEj/u0Q=")</f>
        <v>#VALUE!</v>
      </c>
      <c r="BR79" s="22" t="e">
        <f aca="false">AND(#REF!,"AAAAAEj/u0U=")</f>
        <v>#VALUE!</v>
      </c>
      <c r="BS79" s="22" t="e">
        <f aca="false">AND(#REF!,"AAAAAEj/u0Y=")</f>
        <v>#VALUE!</v>
      </c>
      <c r="BT79" s="22" t="e">
        <f aca="false">AND(#REF!,"AAAAAEj/u0c=")</f>
        <v>#VALUE!</v>
      </c>
      <c r="BU79" s="22" t="e">
        <f aca="false">AND(#REF!,"AAAAAEj/u0g=")</f>
        <v>#VALUE!</v>
      </c>
      <c r="BV79" s="22" t="e">
        <f aca="false">AND(#REF!,"AAAAAEj/u0k=")</f>
        <v>#VALUE!</v>
      </c>
      <c r="BW79" s="22" t="e">
        <f aca="false">AND(#REF!,"AAAAAEj/u0o=")</f>
        <v>#VALUE!</v>
      </c>
      <c r="BX79" s="22" t="e">
        <f aca="false">IF(#REF!,"AAAAAEj/u0s=",0)</f>
        <v>#REF!</v>
      </c>
      <c r="BY79" s="22" t="e">
        <f aca="false">AND(#REF!,"AAAAAEj/u0w=")</f>
        <v>#VALUE!</v>
      </c>
      <c r="BZ79" s="22" t="e">
        <f aca="false">AND(#REF!,"AAAAAEj/u00=")</f>
        <v>#VALUE!</v>
      </c>
      <c r="CA79" s="22" t="e">
        <f aca="false">AND(#REF!,"AAAAAEj/u04=")</f>
        <v>#VALUE!</v>
      </c>
      <c r="CB79" s="22" t="e">
        <f aca="false">AND(#REF!,"AAAAAEj/u08=")</f>
        <v>#VALUE!</v>
      </c>
      <c r="CC79" s="22" t="e">
        <f aca="false">AND(#REF!,"AAAAAEj/u1A=")</f>
        <v>#VALUE!</v>
      </c>
      <c r="CD79" s="22" t="e">
        <f aca="false">AND(#REF!,"AAAAAEj/u1E=")</f>
        <v>#VALUE!</v>
      </c>
      <c r="CE79" s="22" t="e">
        <f aca="false">AND(#REF!,"AAAAAEj/u1I=")</f>
        <v>#VALUE!</v>
      </c>
      <c r="CF79" s="22" t="e">
        <f aca="false">AND(#REF!,"AAAAAEj/u1M=")</f>
        <v>#VALUE!</v>
      </c>
      <c r="CG79" s="22" t="e">
        <f aca="false">IF(#REF!,"AAAAAEj/u1Q=",0)</f>
        <v>#REF!</v>
      </c>
      <c r="CH79" s="22" t="e">
        <f aca="false">AND(#REF!,"AAAAAEj/u1U=")</f>
        <v>#VALUE!</v>
      </c>
      <c r="CI79" s="22" t="e">
        <f aca="false">AND(#REF!,"AAAAAEj/u1Y=")</f>
        <v>#VALUE!</v>
      </c>
      <c r="CJ79" s="22" t="e">
        <f aca="false">AND(#REF!,"AAAAAEj/u1c=")</f>
        <v>#VALUE!</v>
      </c>
      <c r="CK79" s="22" t="e">
        <f aca="false">AND(#REF!,"AAAAAEj/u1g=")</f>
        <v>#VALUE!</v>
      </c>
      <c r="CL79" s="22" t="e">
        <f aca="false">AND(#REF!,"AAAAAEj/u1k=")</f>
        <v>#VALUE!</v>
      </c>
      <c r="CM79" s="22" t="e">
        <f aca="false">AND(#REF!,"AAAAAEj/u1o=")</f>
        <v>#VALUE!</v>
      </c>
      <c r="CN79" s="22" t="e">
        <f aca="false">AND(#REF!,"AAAAAEj/u1s=")</f>
        <v>#VALUE!</v>
      </c>
      <c r="CO79" s="22" t="e">
        <f aca="false">AND(#REF!,"AAAAAEj/u1w=")</f>
        <v>#VALUE!</v>
      </c>
      <c r="CP79" s="22" t="e">
        <f aca="false">IF(#REF!,"AAAAAEj/u10=",0)</f>
        <v>#REF!</v>
      </c>
      <c r="CQ79" s="22" t="e">
        <f aca="false">AND(#REF!,"AAAAAEj/u14=")</f>
        <v>#VALUE!</v>
      </c>
      <c r="CR79" s="22" t="e">
        <f aca="false">AND(#REF!,"AAAAAEj/u18=")</f>
        <v>#VALUE!</v>
      </c>
      <c r="CS79" s="22" t="e">
        <f aca="false">AND(#REF!,"AAAAAEj/u2A=")</f>
        <v>#VALUE!</v>
      </c>
      <c r="CT79" s="22" t="e">
        <f aca="false">AND(#REF!,"AAAAAEj/u2E=")</f>
        <v>#VALUE!</v>
      </c>
      <c r="CU79" s="22" t="e">
        <f aca="false">AND(#REF!,"AAAAAEj/u2I=")</f>
        <v>#VALUE!</v>
      </c>
      <c r="CV79" s="22" t="e">
        <f aca="false">AND(#REF!,"AAAAAEj/u2M=")</f>
        <v>#VALUE!</v>
      </c>
      <c r="CW79" s="22" t="e">
        <f aca="false">AND(#REF!,"AAAAAEj/u2Q=")</f>
        <v>#VALUE!</v>
      </c>
      <c r="CX79" s="22" t="e">
        <f aca="false">AND(#REF!,"AAAAAEj/u2U=")</f>
        <v>#VALUE!</v>
      </c>
      <c r="CY79" s="22" t="e">
        <f aca="false">IF(#REF!,"AAAAAEj/u2Y=",0)</f>
        <v>#REF!</v>
      </c>
      <c r="CZ79" s="22" t="e">
        <f aca="false">AND(#REF!,"AAAAAEj/u2c=")</f>
        <v>#VALUE!</v>
      </c>
      <c r="DA79" s="22" t="e">
        <f aca="false">AND(#REF!,"AAAAAEj/u2g=")</f>
        <v>#VALUE!</v>
      </c>
      <c r="DB79" s="22" t="e">
        <f aca="false">AND(#REF!,"AAAAAEj/u2k=")</f>
        <v>#VALUE!</v>
      </c>
      <c r="DC79" s="22" t="e">
        <f aca="false">AND(#REF!,"AAAAAEj/u2o=")</f>
        <v>#VALUE!</v>
      </c>
      <c r="DD79" s="22" t="e">
        <f aca="false">AND(#REF!,"AAAAAEj/u2s=")</f>
        <v>#VALUE!</v>
      </c>
      <c r="DE79" s="22" t="e">
        <f aca="false">AND(#REF!,"AAAAAEj/u2w=")</f>
        <v>#VALUE!</v>
      </c>
      <c r="DF79" s="22" t="e">
        <f aca="false">AND(#REF!,"AAAAAEj/u20=")</f>
        <v>#VALUE!</v>
      </c>
      <c r="DG79" s="22" t="e">
        <f aca="false">AND(#REF!,"AAAAAEj/u24=")</f>
        <v>#VALUE!</v>
      </c>
      <c r="DH79" s="22" t="e">
        <f aca="false">IF(#REF!,"AAAAAEj/u28=",0)</f>
        <v>#REF!</v>
      </c>
      <c r="DI79" s="22" t="e">
        <f aca="false">AND(#REF!,"AAAAAEj/u3A=")</f>
        <v>#VALUE!</v>
      </c>
      <c r="DJ79" s="22" t="e">
        <f aca="false">AND(#REF!,"AAAAAEj/u3E=")</f>
        <v>#VALUE!</v>
      </c>
      <c r="DK79" s="22" t="e">
        <f aca="false">AND(#REF!,"AAAAAEj/u3I=")</f>
        <v>#VALUE!</v>
      </c>
      <c r="DL79" s="22" t="e">
        <f aca="false">AND(#REF!,"AAAAAEj/u3M=")</f>
        <v>#VALUE!</v>
      </c>
      <c r="DM79" s="22" t="e">
        <f aca="false">AND(#REF!,"AAAAAEj/u3Q=")</f>
        <v>#VALUE!</v>
      </c>
      <c r="DN79" s="22" t="e">
        <f aca="false">AND(#REF!,"AAAAAEj/u3U=")</f>
        <v>#VALUE!</v>
      </c>
      <c r="DO79" s="22" t="e">
        <f aca="false">AND(#REF!,"AAAAAEj/u3Y=")</f>
        <v>#VALUE!</v>
      </c>
      <c r="DP79" s="22" t="e">
        <f aca="false">AND(#REF!,"AAAAAEj/u3c=")</f>
        <v>#VALUE!</v>
      </c>
      <c r="DQ79" s="22" t="e">
        <f aca="false">IF(#REF!,"AAAAAEj/u3g=",0)</f>
        <v>#REF!</v>
      </c>
      <c r="DR79" s="22" t="e">
        <f aca="false">AND(#REF!,"AAAAAEj/u3k=")</f>
        <v>#VALUE!</v>
      </c>
      <c r="DS79" s="22" t="e">
        <f aca="false">AND(#REF!,"AAAAAEj/u3o=")</f>
        <v>#VALUE!</v>
      </c>
      <c r="DT79" s="22" t="e">
        <f aca="false">AND(#REF!,"AAAAAEj/u3s=")</f>
        <v>#VALUE!</v>
      </c>
      <c r="DU79" s="22" t="e">
        <f aca="false">AND(#REF!,"AAAAAEj/u3w=")</f>
        <v>#VALUE!</v>
      </c>
      <c r="DV79" s="22" t="e">
        <f aca="false">AND(#REF!,"AAAAAEj/u30=")</f>
        <v>#VALUE!</v>
      </c>
      <c r="DW79" s="22" t="e">
        <f aca="false">AND(#REF!,"AAAAAEj/u34=")</f>
        <v>#VALUE!</v>
      </c>
      <c r="DX79" s="22" t="e">
        <f aca="false">AND(#REF!,"AAAAAEj/u38=")</f>
        <v>#VALUE!</v>
      </c>
      <c r="DY79" s="22" t="e">
        <f aca="false">AND(#REF!,"AAAAAEj/u4A=")</f>
        <v>#VALUE!</v>
      </c>
      <c r="DZ79" s="22" t="e">
        <f aca="false">IF(#REF!,"AAAAAEj/u4E=",0)</f>
        <v>#REF!</v>
      </c>
      <c r="EA79" s="22" t="e">
        <f aca="false">AND(#REF!,"AAAAAEj/u4I=")</f>
        <v>#VALUE!</v>
      </c>
      <c r="EB79" s="22" t="e">
        <f aca="false">AND(#REF!,"AAAAAEj/u4M=")</f>
        <v>#VALUE!</v>
      </c>
      <c r="EC79" s="22" t="e">
        <f aca="false">AND(#REF!,"AAAAAEj/u4Q=")</f>
        <v>#VALUE!</v>
      </c>
      <c r="ED79" s="22" t="e">
        <f aca="false">AND(#REF!,"AAAAAEj/u4U=")</f>
        <v>#VALUE!</v>
      </c>
      <c r="EE79" s="22" t="e">
        <f aca="false">AND(#REF!,"AAAAAEj/u4Y=")</f>
        <v>#VALUE!</v>
      </c>
      <c r="EF79" s="22" t="e">
        <f aca="false">AND(#REF!,"AAAAAEj/u4c=")</f>
        <v>#VALUE!</v>
      </c>
      <c r="EG79" s="22" t="e">
        <f aca="false">AND(#REF!,"AAAAAEj/u4g=")</f>
        <v>#VALUE!</v>
      </c>
      <c r="EH79" s="22" t="e">
        <f aca="false">AND(#REF!,"AAAAAEj/u4k=")</f>
        <v>#VALUE!</v>
      </c>
      <c r="EI79" s="22" t="e">
        <f aca="false">IF(#REF!,"AAAAAEj/u4o=",0)</f>
        <v>#REF!</v>
      </c>
      <c r="EJ79" s="22" t="e">
        <f aca="false">AND(#REF!,"AAAAAEj/u4s=")</f>
        <v>#VALUE!</v>
      </c>
      <c r="EK79" s="22" t="e">
        <f aca="false">AND(#REF!,"AAAAAEj/u4w=")</f>
        <v>#VALUE!</v>
      </c>
      <c r="EL79" s="22" t="e">
        <f aca="false">AND(#REF!,"AAAAAEj/u40=")</f>
        <v>#VALUE!</v>
      </c>
      <c r="EM79" s="22" t="e">
        <f aca="false">AND(#REF!,"AAAAAEj/u44=")</f>
        <v>#VALUE!</v>
      </c>
      <c r="EN79" s="22" t="e">
        <f aca="false">AND(#REF!,"AAAAAEj/u48=")</f>
        <v>#VALUE!</v>
      </c>
      <c r="EO79" s="22" t="e">
        <f aca="false">AND(#REF!,"AAAAAEj/u5A=")</f>
        <v>#VALUE!</v>
      </c>
      <c r="EP79" s="22" t="e">
        <f aca="false">AND(#REF!,"AAAAAEj/u5E=")</f>
        <v>#VALUE!</v>
      </c>
      <c r="EQ79" s="22" t="e">
        <f aca="false">AND(#REF!,"AAAAAEj/u5I=")</f>
        <v>#VALUE!</v>
      </c>
      <c r="ER79" s="22" t="e">
        <f aca="false">IF(#REF!,"AAAAAEj/u5M=",0)</f>
        <v>#REF!</v>
      </c>
      <c r="ES79" s="22" t="e">
        <f aca="false">AND(#REF!,"AAAAAEj/u5Q=")</f>
        <v>#VALUE!</v>
      </c>
      <c r="ET79" s="22" t="e">
        <f aca="false">AND(#REF!,"AAAAAEj/u5U=")</f>
        <v>#VALUE!</v>
      </c>
      <c r="EU79" s="22" t="e">
        <f aca="false">AND(#REF!,"AAAAAEj/u5Y=")</f>
        <v>#VALUE!</v>
      </c>
      <c r="EV79" s="22" t="e">
        <f aca="false">AND(#REF!,"AAAAAEj/u5c=")</f>
        <v>#VALUE!</v>
      </c>
      <c r="EW79" s="22" t="e">
        <f aca="false">AND(#REF!,"AAAAAEj/u5g=")</f>
        <v>#VALUE!</v>
      </c>
      <c r="EX79" s="22" t="e">
        <f aca="false">AND(#REF!,"AAAAAEj/u5k=")</f>
        <v>#VALUE!</v>
      </c>
      <c r="EY79" s="22" t="e">
        <f aca="false">AND(#REF!,"AAAAAEj/u5o=")</f>
        <v>#VALUE!</v>
      </c>
      <c r="EZ79" s="22" t="e">
        <f aca="false">AND(#REF!,"AAAAAEj/u5s=")</f>
        <v>#VALUE!</v>
      </c>
      <c r="FA79" s="22" t="e">
        <f aca="false">IF(#REF!,"AAAAAEj/u5w=",0)</f>
        <v>#REF!</v>
      </c>
      <c r="FB79" s="22" t="e">
        <f aca="false">AND(#REF!,"AAAAAEj/u50=")</f>
        <v>#VALUE!</v>
      </c>
      <c r="FC79" s="22" t="e">
        <f aca="false">AND(#REF!,"AAAAAEj/u54=")</f>
        <v>#VALUE!</v>
      </c>
      <c r="FD79" s="22" t="e">
        <f aca="false">AND(#REF!,"AAAAAEj/u58=")</f>
        <v>#VALUE!</v>
      </c>
      <c r="FE79" s="22" t="e">
        <f aca="false">AND(#REF!,"AAAAAEj/u6A=")</f>
        <v>#VALUE!</v>
      </c>
      <c r="FF79" s="22" t="e">
        <f aca="false">AND(#REF!,"AAAAAEj/u6E=")</f>
        <v>#VALUE!</v>
      </c>
      <c r="FG79" s="22" t="e">
        <f aca="false">AND(#REF!,"AAAAAEj/u6I=")</f>
        <v>#VALUE!</v>
      </c>
      <c r="FH79" s="22" t="e">
        <f aca="false">AND(#REF!,"AAAAAEj/u6M=")</f>
        <v>#VALUE!</v>
      </c>
      <c r="FI79" s="22" t="e">
        <f aca="false">AND(#REF!,"AAAAAEj/u6Q=")</f>
        <v>#VALUE!</v>
      </c>
      <c r="FJ79" s="22" t="e">
        <f aca="false">IF(#REF!,"AAAAAEj/u6U=",0)</f>
        <v>#REF!</v>
      </c>
      <c r="FK79" s="22" t="e">
        <f aca="false">AND(#REF!,"AAAAAEj/u6Y=")</f>
        <v>#VALUE!</v>
      </c>
      <c r="FL79" s="22" t="e">
        <f aca="false">AND(#REF!,"AAAAAEj/u6c=")</f>
        <v>#VALUE!</v>
      </c>
      <c r="FM79" s="22" t="e">
        <f aca="false">AND(#REF!,"AAAAAEj/u6g=")</f>
        <v>#VALUE!</v>
      </c>
      <c r="FN79" s="22" t="e">
        <f aca="false">AND(#REF!,"AAAAAEj/u6k=")</f>
        <v>#VALUE!</v>
      </c>
      <c r="FO79" s="22" t="e">
        <f aca="false">AND(#REF!,"AAAAAEj/u6o=")</f>
        <v>#VALUE!</v>
      </c>
      <c r="FP79" s="22" t="e">
        <f aca="false">AND(#REF!,"AAAAAEj/u6s=")</f>
        <v>#VALUE!</v>
      </c>
      <c r="FQ79" s="22" t="e">
        <f aca="false">AND(#REF!,"AAAAAEj/u6w=")</f>
        <v>#VALUE!</v>
      </c>
      <c r="FR79" s="22" t="e">
        <f aca="false">AND(#REF!,"AAAAAEj/u60=")</f>
        <v>#VALUE!</v>
      </c>
      <c r="FS79" s="22" t="e">
        <f aca="false">IF(#REF!,"AAAAAEj/u64=",0)</f>
        <v>#REF!</v>
      </c>
      <c r="FT79" s="22" t="e">
        <f aca="false">AND(#REF!,"AAAAAEj/u68=")</f>
        <v>#VALUE!</v>
      </c>
      <c r="FU79" s="22" t="e">
        <f aca="false">AND(#REF!,"AAAAAEj/u7A=")</f>
        <v>#VALUE!</v>
      </c>
      <c r="FV79" s="22" t="e">
        <f aca="false">AND(#REF!,"AAAAAEj/u7E=")</f>
        <v>#VALUE!</v>
      </c>
      <c r="FW79" s="22" t="e">
        <f aca="false">AND(#REF!,"AAAAAEj/u7I=")</f>
        <v>#VALUE!</v>
      </c>
      <c r="FX79" s="22" t="e">
        <f aca="false">AND(#REF!,"AAAAAEj/u7M=")</f>
        <v>#VALUE!</v>
      </c>
      <c r="FY79" s="22" t="e">
        <f aca="false">AND(#REF!,"AAAAAEj/u7Q=")</f>
        <v>#VALUE!</v>
      </c>
      <c r="FZ79" s="22" t="e">
        <f aca="false">AND(#REF!,"AAAAAEj/u7U=")</f>
        <v>#VALUE!</v>
      </c>
      <c r="GA79" s="22" t="e">
        <f aca="false">AND(#REF!,"AAAAAEj/u7Y=")</f>
        <v>#VALUE!</v>
      </c>
      <c r="GB79" s="22" t="e">
        <f aca="false">IF(#REF!,"AAAAAEj/u7c=",0)</f>
        <v>#REF!</v>
      </c>
      <c r="GC79" s="22" t="e">
        <f aca="false">AND(#REF!,"AAAAAEj/u7g=")</f>
        <v>#VALUE!</v>
      </c>
      <c r="GD79" s="22" t="e">
        <f aca="false">AND(#REF!,"AAAAAEj/u7k=")</f>
        <v>#VALUE!</v>
      </c>
      <c r="GE79" s="22" t="e">
        <f aca="false">AND(#REF!,"AAAAAEj/u7o=")</f>
        <v>#VALUE!</v>
      </c>
      <c r="GF79" s="22" t="e">
        <f aca="false">AND(#REF!,"AAAAAEj/u7s=")</f>
        <v>#VALUE!</v>
      </c>
      <c r="GG79" s="22" t="e">
        <f aca="false">AND(#REF!,"AAAAAEj/u7w=")</f>
        <v>#VALUE!</v>
      </c>
      <c r="GH79" s="22" t="e">
        <f aca="false">AND(#REF!,"AAAAAEj/u70=")</f>
        <v>#VALUE!</v>
      </c>
      <c r="GI79" s="22" t="e">
        <f aca="false">AND(#REF!,"AAAAAEj/u74=")</f>
        <v>#VALUE!</v>
      </c>
      <c r="GJ79" s="22" t="e">
        <f aca="false">AND(#REF!,"AAAAAEj/u78=")</f>
        <v>#VALUE!</v>
      </c>
      <c r="GK79" s="22" t="e">
        <f aca="false">IF(#REF!,"AAAAAEj/u8A=",0)</f>
        <v>#REF!</v>
      </c>
      <c r="GL79" s="22" t="e">
        <f aca="false">AND(#REF!,"AAAAAEj/u8E=")</f>
        <v>#VALUE!</v>
      </c>
      <c r="GM79" s="22" t="e">
        <f aca="false">AND(#REF!,"AAAAAEj/u8I=")</f>
        <v>#VALUE!</v>
      </c>
      <c r="GN79" s="22" t="e">
        <f aca="false">AND(#REF!,"AAAAAEj/u8M=")</f>
        <v>#VALUE!</v>
      </c>
      <c r="GO79" s="22" t="e">
        <f aca="false">AND(#REF!,"AAAAAEj/u8Q=")</f>
        <v>#VALUE!</v>
      </c>
      <c r="GP79" s="22" t="e">
        <f aca="false">AND(#REF!,"AAAAAEj/u8U=")</f>
        <v>#VALUE!</v>
      </c>
      <c r="GQ79" s="22" t="e">
        <f aca="false">AND(#REF!,"AAAAAEj/u8Y=")</f>
        <v>#VALUE!</v>
      </c>
      <c r="GR79" s="22" t="e">
        <f aca="false">AND(#REF!,"AAAAAEj/u8c=")</f>
        <v>#VALUE!</v>
      </c>
      <c r="GS79" s="22" t="e">
        <f aca="false">AND(#REF!,"AAAAAEj/u8g=")</f>
        <v>#VALUE!</v>
      </c>
      <c r="GT79" s="22" t="e">
        <f aca="false">IF(#REF!,"AAAAAEj/u8k=",0)</f>
        <v>#REF!</v>
      </c>
      <c r="GU79" s="22" t="e">
        <f aca="false">AND(#REF!,"AAAAAEj/u8o=")</f>
        <v>#VALUE!</v>
      </c>
      <c r="GV79" s="22" t="e">
        <f aca="false">AND(#REF!,"AAAAAEj/u8s=")</f>
        <v>#VALUE!</v>
      </c>
      <c r="GW79" s="22" t="e">
        <f aca="false">AND(#REF!,"AAAAAEj/u8w=")</f>
        <v>#VALUE!</v>
      </c>
      <c r="GX79" s="22" t="e">
        <f aca="false">AND(#REF!,"AAAAAEj/u80=")</f>
        <v>#VALUE!</v>
      </c>
      <c r="GY79" s="22" t="e">
        <f aca="false">AND(#REF!,"AAAAAEj/u84=")</f>
        <v>#VALUE!</v>
      </c>
      <c r="GZ79" s="22" t="e">
        <f aca="false">AND(#REF!,"AAAAAEj/u88=")</f>
        <v>#VALUE!</v>
      </c>
      <c r="HA79" s="22" t="e">
        <f aca="false">AND(#REF!,"AAAAAEj/u9A=")</f>
        <v>#VALUE!</v>
      </c>
      <c r="HB79" s="22" t="e">
        <f aca="false">AND(#REF!,"AAAAAEj/u9E=")</f>
        <v>#VALUE!</v>
      </c>
      <c r="HC79" s="22" t="e">
        <f aca="false">IF(#REF!,"AAAAAEj/u9I=",0)</f>
        <v>#REF!</v>
      </c>
      <c r="HD79" s="22" t="e">
        <f aca="false">AND(#REF!,"AAAAAEj/u9M=")</f>
        <v>#VALUE!</v>
      </c>
      <c r="HE79" s="22" t="e">
        <f aca="false">AND(#REF!,"AAAAAEj/u9Q=")</f>
        <v>#VALUE!</v>
      </c>
      <c r="HF79" s="22" t="e">
        <f aca="false">AND(#REF!,"AAAAAEj/u9U=")</f>
        <v>#VALUE!</v>
      </c>
      <c r="HG79" s="22" t="e">
        <f aca="false">AND(#REF!,"AAAAAEj/u9Y=")</f>
        <v>#VALUE!</v>
      </c>
      <c r="HH79" s="22" t="e">
        <f aca="false">AND(#REF!,"AAAAAEj/u9c=")</f>
        <v>#VALUE!</v>
      </c>
      <c r="HI79" s="22" t="e">
        <f aca="false">AND(#REF!,"AAAAAEj/u9g=")</f>
        <v>#VALUE!</v>
      </c>
      <c r="HJ79" s="22" t="e">
        <f aca="false">AND(#REF!,"AAAAAEj/u9k=")</f>
        <v>#VALUE!</v>
      </c>
      <c r="HK79" s="22" t="e">
        <f aca="false">AND(#REF!,"AAAAAEj/u9o=")</f>
        <v>#VALUE!</v>
      </c>
      <c r="HL79" s="22" t="e">
        <f aca="false">IF(#REF!,"AAAAAEj/u9s=",0)</f>
        <v>#REF!</v>
      </c>
      <c r="HM79" s="22" t="e">
        <f aca="false">AND(#REF!,"AAAAAEj/u9w=")</f>
        <v>#VALUE!</v>
      </c>
      <c r="HN79" s="22" t="e">
        <f aca="false">AND(#REF!,"AAAAAEj/u90=")</f>
        <v>#VALUE!</v>
      </c>
      <c r="HO79" s="22" t="e">
        <f aca="false">AND(#REF!,"AAAAAEj/u94=")</f>
        <v>#VALUE!</v>
      </c>
      <c r="HP79" s="22" t="e">
        <f aca="false">AND(#REF!,"AAAAAEj/u98=")</f>
        <v>#VALUE!</v>
      </c>
      <c r="HQ79" s="22" t="e">
        <f aca="false">AND(#REF!,"AAAAAEj/u+A=")</f>
        <v>#VALUE!</v>
      </c>
      <c r="HR79" s="22" t="e">
        <f aca="false">AND(#REF!,"AAAAAEj/u+E=")</f>
        <v>#VALUE!</v>
      </c>
      <c r="HS79" s="22" t="e">
        <f aca="false">AND(#REF!,"AAAAAEj/u+I=")</f>
        <v>#VALUE!</v>
      </c>
      <c r="HT79" s="22" t="e">
        <f aca="false">AND(#REF!,"AAAAAEj/u+M=")</f>
        <v>#VALUE!</v>
      </c>
      <c r="HU79" s="22" t="e">
        <f aca="false">IF(#REF!,"AAAAAEj/u+Q=",0)</f>
        <v>#REF!</v>
      </c>
      <c r="HV79" s="22" t="e">
        <f aca="false">AND(#REF!,"AAAAAEj/u+U=")</f>
        <v>#VALUE!</v>
      </c>
      <c r="HW79" s="22" t="e">
        <f aca="false">AND(#REF!,"AAAAAEj/u+Y=")</f>
        <v>#VALUE!</v>
      </c>
      <c r="HX79" s="22" t="e">
        <f aca="false">AND(#REF!,"AAAAAEj/u+c=")</f>
        <v>#VALUE!</v>
      </c>
      <c r="HY79" s="22" t="e">
        <f aca="false">AND(#REF!,"AAAAAEj/u+g=")</f>
        <v>#VALUE!</v>
      </c>
      <c r="HZ79" s="22" t="e">
        <f aca="false">AND(#REF!,"AAAAAEj/u+k=")</f>
        <v>#VALUE!</v>
      </c>
      <c r="IA79" s="22" t="e">
        <f aca="false">AND(#REF!,"AAAAAEj/u+o=")</f>
        <v>#VALUE!</v>
      </c>
      <c r="IB79" s="22" t="e">
        <f aca="false">AND(#REF!,"AAAAAEj/u+s=")</f>
        <v>#VALUE!</v>
      </c>
      <c r="IC79" s="22" t="e">
        <f aca="false">AND(#REF!,"AAAAAEj/u+w=")</f>
        <v>#VALUE!</v>
      </c>
      <c r="ID79" s="22" t="e">
        <f aca="false">IF(#REF!,"AAAAAEj/u+0=",0)</f>
        <v>#REF!</v>
      </c>
      <c r="IE79" s="22" t="e">
        <f aca="false">AND(#REF!,"AAAAAEj/u+4=")</f>
        <v>#VALUE!</v>
      </c>
      <c r="IF79" s="22" t="e">
        <f aca="false">AND(#REF!,"AAAAAEj/u+8=")</f>
        <v>#VALUE!</v>
      </c>
      <c r="IG79" s="22" t="e">
        <f aca="false">AND(#REF!,"AAAAAEj/u/A=")</f>
        <v>#VALUE!</v>
      </c>
      <c r="IH79" s="22" t="e">
        <f aca="false">AND(#REF!,"AAAAAEj/u/E=")</f>
        <v>#VALUE!</v>
      </c>
      <c r="II79" s="22" t="e">
        <f aca="false">AND(#REF!,"AAAAAEj/u/I=")</f>
        <v>#VALUE!</v>
      </c>
      <c r="IJ79" s="22" t="e">
        <f aca="false">AND(#REF!,"AAAAAEj/u/M=")</f>
        <v>#VALUE!</v>
      </c>
      <c r="IK79" s="22" t="e">
        <f aca="false">AND(#REF!,"AAAAAEj/u/Q=")</f>
        <v>#VALUE!</v>
      </c>
      <c r="IL79" s="22" t="e">
        <f aca="false">AND(#REF!,"AAAAAEj/u/U=")</f>
        <v>#VALUE!</v>
      </c>
      <c r="IM79" s="22" t="e">
        <f aca="false">IF(#REF!,"AAAAAEj/u/Y=",0)</f>
        <v>#REF!</v>
      </c>
      <c r="IN79" s="22" t="e">
        <f aca="false">AND(#REF!,"AAAAAEj/u/c=")</f>
        <v>#VALUE!</v>
      </c>
      <c r="IO79" s="22" t="e">
        <f aca="false">AND(#REF!,"AAAAAEj/u/g=")</f>
        <v>#VALUE!</v>
      </c>
      <c r="IP79" s="22" t="e">
        <f aca="false">AND(#REF!,"AAAAAEj/u/k=")</f>
        <v>#VALUE!</v>
      </c>
      <c r="IQ79" s="22" t="e">
        <f aca="false">AND(#REF!,"AAAAAEj/u/o=")</f>
        <v>#VALUE!</v>
      </c>
      <c r="IR79" s="22" t="e">
        <f aca="false">AND(#REF!,"AAAAAEj/u/s=")</f>
        <v>#VALUE!</v>
      </c>
      <c r="IS79" s="22" t="e">
        <f aca="false">AND(#REF!,"AAAAAEj/u/w=")</f>
        <v>#VALUE!</v>
      </c>
      <c r="IT79" s="22" t="e">
        <f aca="false">AND(#REF!,"AAAAAEj/u/0=")</f>
        <v>#VALUE!</v>
      </c>
      <c r="IU79" s="22" t="e">
        <f aca="false">AND(#REF!,"AAAAAEj/u/4=")</f>
        <v>#VALUE!</v>
      </c>
      <c r="IV79" s="22" t="e">
        <f aca="false">IF(#REF!,"AAAAAEj/u/8=",0)</f>
        <v>#REF!</v>
      </c>
    </row>
    <row r="80" customFormat="false" ht="12.75" hidden="false" customHeight="false" outlineLevel="0" collapsed="false">
      <c r="A80" s="22" t="e">
        <f aca="false">AND(#REF!,"AAAAAHPdwgA=")</f>
        <v>#VALUE!</v>
      </c>
      <c r="B80" s="22" t="e">
        <f aca="false">AND(#REF!,"AAAAAHPdwgE=")</f>
        <v>#VALUE!</v>
      </c>
      <c r="C80" s="22" t="e">
        <f aca="false">AND(#REF!,"AAAAAHPdwgI=")</f>
        <v>#VALUE!</v>
      </c>
      <c r="D80" s="22" t="e">
        <f aca="false">AND(#REF!,"AAAAAHPdwgM=")</f>
        <v>#VALUE!</v>
      </c>
      <c r="E80" s="22" t="e">
        <f aca="false">AND(#REF!,"AAAAAHPdwgQ=")</f>
        <v>#VALUE!</v>
      </c>
      <c r="F80" s="22" t="e">
        <f aca="false">AND(#REF!,"AAAAAHPdwgU=")</f>
        <v>#VALUE!</v>
      </c>
      <c r="G80" s="22" t="e">
        <f aca="false">AND(#REF!,"AAAAAHPdwgY=")</f>
        <v>#VALUE!</v>
      </c>
      <c r="H80" s="22" t="e">
        <f aca="false">AND(#REF!,"AAAAAHPdwgc=")</f>
        <v>#VALUE!</v>
      </c>
      <c r="I80" s="22" t="e">
        <f aca="false">IF(#REF!,"AAAAAHPdwgg=",0)</f>
        <v>#REF!</v>
      </c>
      <c r="J80" s="22" t="e">
        <f aca="false">AND(#REF!,"AAAAAHPdwgk=")</f>
        <v>#VALUE!</v>
      </c>
      <c r="K80" s="22" t="e">
        <f aca="false">AND(#REF!,"AAAAAHPdwgo=")</f>
        <v>#VALUE!</v>
      </c>
      <c r="L80" s="22" t="e">
        <f aca="false">AND(#REF!,"AAAAAHPdwgs=")</f>
        <v>#VALUE!</v>
      </c>
      <c r="M80" s="22" t="e">
        <f aca="false">AND(#REF!,"AAAAAHPdwgw=")</f>
        <v>#VALUE!</v>
      </c>
      <c r="N80" s="22" t="e">
        <f aca="false">AND(#REF!,"AAAAAHPdwg0=")</f>
        <v>#VALUE!</v>
      </c>
      <c r="O80" s="22" t="e">
        <f aca="false">AND(#REF!,"AAAAAHPdwg4=")</f>
        <v>#VALUE!</v>
      </c>
      <c r="P80" s="22" t="e">
        <f aca="false">AND(#REF!,"AAAAAHPdwg8=")</f>
        <v>#VALUE!</v>
      </c>
      <c r="Q80" s="22" t="e">
        <f aca="false">AND(#REF!,"AAAAAHPdwhA=")</f>
        <v>#VALUE!</v>
      </c>
      <c r="R80" s="22" t="e">
        <f aca="false">IF(#REF!,"AAAAAHPdwhE=",0)</f>
        <v>#REF!</v>
      </c>
      <c r="S80" s="22" t="e">
        <f aca="false">AND(#REF!,"AAAAAHPdwhI=")</f>
        <v>#VALUE!</v>
      </c>
      <c r="T80" s="22" t="e">
        <f aca="false">AND(#REF!,"AAAAAHPdwhM=")</f>
        <v>#VALUE!</v>
      </c>
      <c r="U80" s="22" t="e">
        <f aca="false">AND(#REF!,"AAAAAHPdwhQ=")</f>
        <v>#VALUE!</v>
      </c>
      <c r="V80" s="22" t="e">
        <f aca="false">AND(#REF!,"AAAAAHPdwhU=")</f>
        <v>#VALUE!</v>
      </c>
      <c r="W80" s="22" t="e">
        <f aca="false">AND(#REF!,"AAAAAHPdwhY=")</f>
        <v>#VALUE!</v>
      </c>
      <c r="X80" s="22" t="e">
        <f aca="false">AND(#REF!,"AAAAAHPdwhc=")</f>
        <v>#VALUE!</v>
      </c>
      <c r="Y80" s="22" t="e">
        <f aca="false">AND(#REF!,"AAAAAHPdwhg=")</f>
        <v>#VALUE!</v>
      </c>
      <c r="Z80" s="22" t="e">
        <f aca="false">AND(#REF!,"AAAAAHPdwhk=")</f>
        <v>#VALUE!</v>
      </c>
      <c r="AA80" s="22" t="e">
        <f aca="false">IF(#REF!,"AAAAAHPdwho=",0)</f>
        <v>#REF!</v>
      </c>
      <c r="AB80" s="22" t="e">
        <f aca="false">AND(#REF!,"AAAAAHPdwhs=")</f>
        <v>#VALUE!</v>
      </c>
      <c r="AC80" s="22" t="e">
        <f aca="false">AND(#REF!,"AAAAAHPdwhw=")</f>
        <v>#VALUE!</v>
      </c>
      <c r="AD80" s="22" t="e">
        <f aca="false">AND(#REF!,"AAAAAHPdwh0=")</f>
        <v>#VALUE!</v>
      </c>
      <c r="AE80" s="22" t="e">
        <f aca="false">AND(#REF!,"AAAAAHPdwh4=")</f>
        <v>#VALUE!</v>
      </c>
      <c r="AF80" s="22" t="e">
        <f aca="false">AND(#REF!,"AAAAAHPdwh8=")</f>
        <v>#VALUE!</v>
      </c>
      <c r="AG80" s="22" t="e">
        <f aca="false">AND(#REF!,"AAAAAHPdwiA=")</f>
        <v>#VALUE!</v>
      </c>
      <c r="AH80" s="22" t="e">
        <f aca="false">AND(#REF!,"AAAAAHPdwiE=")</f>
        <v>#VALUE!</v>
      </c>
      <c r="AI80" s="22" t="e">
        <f aca="false">AND(#REF!,"AAAAAHPdwiI=")</f>
        <v>#VALUE!</v>
      </c>
      <c r="AJ80" s="22" t="e">
        <f aca="false">IF(#REF!,"AAAAAHPdwiM=",0)</f>
        <v>#REF!</v>
      </c>
      <c r="AK80" s="22" t="e">
        <f aca="false">AND(#REF!,"AAAAAHPdwiQ=")</f>
        <v>#VALUE!</v>
      </c>
      <c r="AL80" s="22" t="e">
        <f aca="false">AND(#REF!,"AAAAAHPdwiU=")</f>
        <v>#VALUE!</v>
      </c>
      <c r="AM80" s="22" t="e">
        <f aca="false">AND(#REF!,"AAAAAHPdwiY=")</f>
        <v>#VALUE!</v>
      </c>
      <c r="AN80" s="22" t="e">
        <f aca="false">AND(#REF!,"AAAAAHPdwic=")</f>
        <v>#VALUE!</v>
      </c>
      <c r="AO80" s="22" t="e">
        <f aca="false">AND(#REF!,"AAAAAHPdwig=")</f>
        <v>#VALUE!</v>
      </c>
      <c r="AP80" s="22" t="e">
        <f aca="false">AND(#REF!,"AAAAAHPdwik=")</f>
        <v>#VALUE!</v>
      </c>
      <c r="AQ80" s="22" t="e">
        <f aca="false">AND(#REF!,"AAAAAHPdwio=")</f>
        <v>#VALUE!</v>
      </c>
      <c r="AR80" s="22" t="e">
        <f aca="false">AND(#REF!,"AAAAAHPdwis=")</f>
        <v>#VALUE!</v>
      </c>
      <c r="AS80" s="22" t="e">
        <f aca="false">IF(#REF!,"AAAAAHPdwiw=",0)</f>
        <v>#REF!</v>
      </c>
      <c r="AT80" s="22" t="e">
        <f aca="false">AND(#REF!,"AAAAAHPdwi0=")</f>
        <v>#VALUE!</v>
      </c>
      <c r="AU80" s="22" t="e">
        <f aca="false">AND(#REF!,"AAAAAHPdwi4=")</f>
        <v>#VALUE!</v>
      </c>
      <c r="AV80" s="22" t="e">
        <f aca="false">AND(#REF!,"AAAAAHPdwi8=")</f>
        <v>#VALUE!</v>
      </c>
      <c r="AW80" s="22" t="e">
        <f aca="false">AND(#REF!,"AAAAAHPdwjA=")</f>
        <v>#VALUE!</v>
      </c>
      <c r="AX80" s="22" t="e">
        <f aca="false">AND(#REF!,"AAAAAHPdwjE=")</f>
        <v>#VALUE!</v>
      </c>
      <c r="AY80" s="22" t="e">
        <f aca="false">AND(#REF!,"AAAAAHPdwjI=")</f>
        <v>#VALUE!</v>
      </c>
      <c r="AZ80" s="22" t="e">
        <f aca="false">AND(#REF!,"AAAAAHPdwjM=")</f>
        <v>#VALUE!</v>
      </c>
      <c r="BA80" s="22" t="e">
        <f aca="false">AND(#REF!,"AAAAAHPdwjQ=")</f>
        <v>#VALUE!</v>
      </c>
      <c r="BB80" s="22" t="e">
        <f aca="false">IF(#REF!,"AAAAAHPdwjU=",0)</f>
        <v>#REF!</v>
      </c>
      <c r="BC80" s="22" t="e">
        <f aca="false">AND(#REF!,"AAAAAHPdwjY=")</f>
        <v>#VALUE!</v>
      </c>
      <c r="BD80" s="22" t="e">
        <f aca="false">AND(#REF!,"AAAAAHPdwjc=")</f>
        <v>#VALUE!</v>
      </c>
      <c r="BE80" s="22" t="e">
        <f aca="false">AND(#REF!,"AAAAAHPdwjg=")</f>
        <v>#VALUE!</v>
      </c>
      <c r="BF80" s="22" t="e">
        <f aca="false">AND(#REF!,"AAAAAHPdwjk=")</f>
        <v>#VALUE!</v>
      </c>
      <c r="BG80" s="22" t="e">
        <f aca="false">AND(#REF!,"AAAAAHPdwjo=")</f>
        <v>#VALUE!</v>
      </c>
      <c r="BH80" s="22" t="e">
        <f aca="false">AND(#REF!,"AAAAAHPdwjs=")</f>
        <v>#VALUE!</v>
      </c>
      <c r="BI80" s="22" t="e">
        <f aca="false">AND(#REF!,"AAAAAHPdwjw=")</f>
        <v>#VALUE!</v>
      </c>
      <c r="BJ80" s="22" t="e">
        <f aca="false">AND(#REF!,"AAAAAHPdwj0=")</f>
        <v>#VALUE!</v>
      </c>
      <c r="BK80" s="22" t="e">
        <f aca="false">IF(#REF!,"AAAAAHPdwj4=",0)</f>
        <v>#REF!</v>
      </c>
      <c r="BL80" s="22" t="e">
        <f aca="false">AND(#REF!,"AAAAAHPdwj8=")</f>
        <v>#VALUE!</v>
      </c>
      <c r="BM80" s="22" t="e">
        <f aca="false">AND(#REF!,"AAAAAHPdwkA=")</f>
        <v>#VALUE!</v>
      </c>
      <c r="BN80" s="22" t="e">
        <f aca="false">AND(#REF!,"AAAAAHPdwkE=")</f>
        <v>#VALUE!</v>
      </c>
      <c r="BO80" s="22" t="e">
        <f aca="false">AND(#REF!,"AAAAAHPdwkI=")</f>
        <v>#VALUE!</v>
      </c>
      <c r="BP80" s="22" t="e">
        <f aca="false">AND(#REF!,"AAAAAHPdwkM=")</f>
        <v>#VALUE!</v>
      </c>
      <c r="BQ80" s="22" t="e">
        <f aca="false">AND(#REF!,"AAAAAHPdwkQ=")</f>
        <v>#VALUE!</v>
      </c>
      <c r="BR80" s="22" t="e">
        <f aca="false">AND(#REF!,"AAAAAHPdwkU=")</f>
        <v>#VALUE!</v>
      </c>
      <c r="BS80" s="22" t="e">
        <f aca="false">AND(#REF!,"AAAAAHPdwkY=")</f>
        <v>#VALUE!</v>
      </c>
      <c r="BT80" s="22" t="e">
        <f aca="false">IF(#REF!,"AAAAAHPdwkc=",0)</f>
        <v>#REF!</v>
      </c>
      <c r="BU80" s="22" t="e">
        <f aca="false">AND(#REF!,"AAAAAHPdwkg=")</f>
        <v>#VALUE!</v>
      </c>
      <c r="BV80" s="22" t="e">
        <f aca="false">AND(#REF!,"AAAAAHPdwkk=")</f>
        <v>#VALUE!</v>
      </c>
      <c r="BW80" s="22" t="e">
        <f aca="false">AND(#REF!,"AAAAAHPdwko=")</f>
        <v>#VALUE!</v>
      </c>
      <c r="BX80" s="22" t="e">
        <f aca="false">AND(#REF!,"AAAAAHPdwks=")</f>
        <v>#VALUE!</v>
      </c>
      <c r="BY80" s="22" t="e">
        <f aca="false">AND(#REF!,"AAAAAHPdwkw=")</f>
        <v>#VALUE!</v>
      </c>
      <c r="BZ80" s="22" t="e">
        <f aca="false">AND(#REF!,"AAAAAHPdwk0=")</f>
        <v>#VALUE!</v>
      </c>
      <c r="CA80" s="22" t="e">
        <f aca="false">AND(#REF!,"AAAAAHPdwk4=")</f>
        <v>#VALUE!</v>
      </c>
      <c r="CB80" s="22" t="e">
        <f aca="false">AND(#REF!,"AAAAAHPdwk8=")</f>
        <v>#VALUE!</v>
      </c>
      <c r="CC80" s="22" t="e">
        <f aca="false">IF(#REF!,"AAAAAHPdwlA=",0)</f>
        <v>#REF!</v>
      </c>
      <c r="CD80" s="22" t="e">
        <f aca="false">AND(#REF!,"AAAAAHPdwlE=")</f>
        <v>#VALUE!</v>
      </c>
      <c r="CE80" s="22" t="e">
        <f aca="false">AND(#REF!,"AAAAAHPdwlI=")</f>
        <v>#VALUE!</v>
      </c>
      <c r="CF80" s="22" t="e">
        <f aca="false">AND(#REF!,"AAAAAHPdwlM=")</f>
        <v>#VALUE!</v>
      </c>
      <c r="CG80" s="22" t="e">
        <f aca="false">AND(#REF!,"AAAAAHPdwlQ=")</f>
        <v>#VALUE!</v>
      </c>
      <c r="CH80" s="22" t="e">
        <f aca="false">AND(#REF!,"AAAAAHPdwlU=")</f>
        <v>#VALUE!</v>
      </c>
      <c r="CI80" s="22" t="e">
        <f aca="false">AND(#REF!,"AAAAAHPdwlY=")</f>
        <v>#VALUE!</v>
      </c>
      <c r="CJ80" s="22" t="e">
        <f aca="false">AND(#REF!,"AAAAAHPdwlc=")</f>
        <v>#VALUE!</v>
      </c>
      <c r="CK80" s="22" t="e">
        <f aca="false">AND(#REF!,"AAAAAHPdwlg=")</f>
        <v>#VALUE!</v>
      </c>
      <c r="CL80" s="22" t="e">
        <f aca="false">IF(#REF!,"AAAAAHPdwlk=",0)</f>
        <v>#REF!</v>
      </c>
      <c r="CM80" s="22" t="e">
        <f aca="false">AND(#REF!,"AAAAAHPdwlo=")</f>
        <v>#VALUE!</v>
      </c>
      <c r="CN80" s="22" t="e">
        <f aca="false">AND(#REF!,"AAAAAHPdwls=")</f>
        <v>#VALUE!</v>
      </c>
      <c r="CO80" s="22" t="e">
        <f aca="false">AND(#REF!,"AAAAAHPdwlw=")</f>
        <v>#VALUE!</v>
      </c>
      <c r="CP80" s="22" t="e">
        <f aca="false">AND(#REF!,"AAAAAHPdwl0=")</f>
        <v>#VALUE!</v>
      </c>
      <c r="CQ80" s="22" t="e">
        <f aca="false">AND(#REF!,"AAAAAHPdwl4=")</f>
        <v>#VALUE!</v>
      </c>
      <c r="CR80" s="22" t="e">
        <f aca="false">AND(#REF!,"AAAAAHPdwl8=")</f>
        <v>#VALUE!</v>
      </c>
      <c r="CS80" s="22" t="e">
        <f aca="false">AND(#REF!,"AAAAAHPdwmA=")</f>
        <v>#VALUE!</v>
      </c>
      <c r="CT80" s="22" t="e">
        <f aca="false">AND(#REF!,"AAAAAHPdwmE=")</f>
        <v>#VALUE!</v>
      </c>
      <c r="CU80" s="22" t="e">
        <f aca="false">IF(#REF!,"AAAAAHPdwmI=",0)</f>
        <v>#REF!</v>
      </c>
      <c r="CV80" s="22" t="e">
        <f aca="false">AND(#REF!,"AAAAAHPdwmM=")</f>
        <v>#VALUE!</v>
      </c>
      <c r="CW80" s="22" t="e">
        <f aca="false">AND(#REF!,"AAAAAHPdwmQ=")</f>
        <v>#VALUE!</v>
      </c>
      <c r="CX80" s="22" t="e">
        <f aca="false">AND(#REF!,"AAAAAHPdwmU=")</f>
        <v>#VALUE!</v>
      </c>
      <c r="CY80" s="22" t="e">
        <f aca="false">AND(#REF!,"AAAAAHPdwmY=")</f>
        <v>#VALUE!</v>
      </c>
      <c r="CZ80" s="22" t="e">
        <f aca="false">AND(#REF!,"AAAAAHPdwmc=")</f>
        <v>#VALUE!</v>
      </c>
      <c r="DA80" s="22" t="e">
        <f aca="false">AND(#REF!,"AAAAAHPdwmg=")</f>
        <v>#VALUE!</v>
      </c>
      <c r="DB80" s="22" t="e">
        <f aca="false">AND(#REF!,"AAAAAHPdwmk=")</f>
        <v>#VALUE!</v>
      </c>
      <c r="DC80" s="22" t="e">
        <f aca="false">AND(#REF!,"AAAAAHPdwmo=")</f>
        <v>#VALUE!</v>
      </c>
      <c r="DD80" s="22" t="e">
        <f aca="false">IF(#REF!,"AAAAAHPdwms=",0)</f>
        <v>#REF!</v>
      </c>
      <c r="DE80" s="22" t="e">
        <f aca="false">AND(#REF!,"AAAAAHPdwmw=")</f>
        <v>#VALUE!</v>
      </c>
      <c r="DF80" s="22" t="e">
        <f aca="false">AND(#REF!,"AAAAAHPdwm0=")</f>
        <v>#VALUE!</v>
      </c>
      <c r="DG80" s="22" t="e">
        <f aca="false">AND(#REF!,"AAAAAHPdwm4=")</f>
        <v>#VALUE!</v>
      </c>
      <c r="DH80" s="22" t="e">
        <f aca="false">AND(#REF!,"AAAAAHPdwm8=")</f>
        <v>#VALUE!</v>
      </c>
      <c r="DI80" s="22" t="e">
        <f aca="false">AND(#REF!,"AAAAAHPdwnA=")</f>
        <v>#VALUE!</v>
      </c>
      <c r="DJ80" s="22" t="e">
        <f aca="false">AND(#REF!,"AAAAAHPdwnE=")</f>
        <v>#VALUE!</v>
      </c>
      <c r="DK80" s="22" t="e">
        <f aca="false">AND(#REF!,"AAAAAHPdwnI=")</f>
        <v>#VALUE!</v>
      </c>
      <c r="DL80" s="22" t="e">
        <f aca="false">AND(#REF!,"AAAAAHPdwnM=")</f>
        <v>#VALUE!</v>
      </c>
      <c r="DM80" s="22" t="e">
        <f aca="false">IF(#REF!,"AAAAAHPdwnQ=",0)</f>
        <v>#REF!</v>
      </c>
      <c r="DN80" s="22" t="e">
        <f aca="false">AND(#REF!,"AAAAAHPdwnU=")</f>
        <v>#VALUE!</v>
      </c>
      <c r="DO80" s="22" t="e">
        <f aca="false">AND(#REF!,"AAAAAHPdwnY=")</f>
        <v>#VALUE!</v>
      </c>
      <c r="DP80" s="22" t="e">
        <f aca="false">AND(#REF!,"AAAAAHPdwnc=")</f>
        <v>#VALUE!</v>
      </c>
      <c r="DQ80" s="22" t="e">
        <f aca="false">AND(#REF!,"AAAAAHPdwng=")</f>
        <v>#VALUE!</v>
      </c>
      <c r="DR80" s="22" t="e">
        <f aca="false">AND(#REF!,"AAAAAHPdwnk=")</f>
        <v>#VALUE!</v>
      </c>
      <c r="DS80" s="22" t="e">
        <f aca="false">AND(#REF!,"AAAAAHPdwno=")</f>
        <v>#VALUE!</v>
      </c>
      <c r="DT80" s="22" t="e">
        <f aca="false">AND(#REF!,"AAAAAHPdwns=")</f>
        <v>#VALUE!</v>
      </c>
      <c r="DU80" s="22" t="e">
        <f aca="false">AND(#REF!,"AAAAAHPdwnw=")</f>
        <v>#VALUE!</v>
      </c>
      <c r="DV80" s="22" t="e">
        <f aca="false">IF(#REF!,"AAAAAHPdwn0=",0)</f>
        <v>#REF!</v>
      </c>
      <c r="DW80" s="22" t="e">
        <f aca="false">AND(#REF!,"AAAAAHPdwn4=")</f>
        <v>#VALUE!</v>
      </c>
      <c r="DX80" s="22" t="e">
        <f aca="false">AND(#REF!,"AAAAAHPdwn8=")</f>
        <v>#VALUE!</v>
      </c>
      <c r="DY80" s="22" t="e">
        <f aca="false">AND(#REF!,"AAAAAHPdwoA=")</f>
        <v>#VALUE!</v>
      </c>
      <c r="DZ80" s="22" t="e">
        <f aca="false">AND(#REF!,"AAAAAHPdwoE=")</f>
        <v>#VALUE!</v>
      </c>
      <c r="EA80" s="22" t="e">
        <f aca="false">AND(#REF!,"AAAAAHPdwoI=")</f>
        <v>#VALUE!</v>
      </c>
      <c r="EB80" s="22" t="e">
        <f aca="false">AND(#REF!,"AAAAAHPdwoM=")</f>
        <v>#VALUE!</v>
      </c>
      <c r="EC80" s="22" t="e">
        <f aca="false">AND(#REF!,"AAAAAHPdwoQ=")</f>
        <v>#VALUE!</v>
      </c>
      <c r="ED80" s="22" t="e">
        <f aca="false">AND(#REF!,"AAAAAHPdwoU=")</f>
        <v>#VALUE!</v>
      </c>
      <c r="EE80" s="22" t="e">
        <f aca="false">IF(#REF!,"AAAAAHPdwoY=",0)</f>
        <v>#REF!</v>
      </c>
      <c r="EF80" s="22" t="e">
        <f aca="false">AND(#REF!,"AAAAAHPdwoc=")</f>
        <v>#VALUE!</v>
      </c>
      <c r="EG80" s="22" t="e">
        <f aca="false">AND(#REF!,"AAAAAHPdwog=")</f>
        <v>#VALUE!</v>
      </c>
      <c r="EH80" s="22" t="e">
        <f aca="false">AND(#REF!,"AAAAAHPdwok=")</f>
        <v>#VALUE!</v>
      </c>
      <c r="EI80" s="22" t="e">
        <f aca="false">AND(#REF!,"AAAAAHPdwoo=")</f>
        <v>#VALUE!</v>
      </c>
      <c r="EJ80" s="22" t="e">
        <f aca="false">AND(#REF!,"AAAAAHPdwos=")</f>
        <v>#VALUE!</v>
      </c>
      <c r="EK80" s="22" t="e">
        <f aca="false">AND(#REF!,"AAAAAHPdwow=")</f>
        <v>#VALUE!</v>
      </c>
      <c r="EL80" s="22" t="e">
        <f aca="false">AND(#REF!,"AAAAAHPdwo0=")</f>
        <v>#VALUE!</v>
      </c>
      <c r="EM80" s="22" t="e">
        <f aca="false">AND(#REF!,"AAAAAHPdwo4=")</f>
        <v>#VALUE!</v>
      </c>
      <c r="EN80" s="22" t="e">
        <f aca="false">IF(#REF!,"AAAAAHPdwo8=",0)</f>
        <v>#REF!</v>
      </c>
      <c r="EO80" s="22" t="e">
        <f aca="false">AND(#REF!,"AAAAAHPdwpA=")</f>
        <v>#VALUE!</v>
      </c>
      <c r="EP80" s="22" t="e">
        <f aca="false">AND(#REF!,"AAAAAHPdwpE=")</f>
        <v>#VALUE!</v>
      </c>
      <c r="EQ80" s="22" t="e">
        <f aca="false">AND(#REF!,"AAAAAHPdwpI=")</f>
        <v>#VALUE!</v>
      </c>
      <c r="ER80" s="22" t="e">
        <f aca="false">AND(#REF!,"AAAAAHPdwpM=")</f>
        <v>#VALUE!</v>
      </c>
      <c r="ES80" s="22" t="e">
        <f aca="false">AND(#REF!,"AAAAAHPdwpQ=")</f>
        <v>#VALUE!</v>
      </c>
      <c r="ET80" s="22" t="e">
        <f aca="false">AND(#REF!,"AAAAAHPdwpU=")</f>
        <v>#VALUE!</v>
      </c>
      <c r="EU80" s="22" t="e">
        <f aca="false">AND(#REF!,"AAAAAHPdwpY=")</f>
        <v>#VALUE!</v>
      </c>
      <c r="EV80" s="22" t="e">
        <f aca="false">AND(#REF!,"AAAAAHPdwpc=")</f>
        <v>#VALUE!</v>
      </c>
      <c r="EW80" s="22" t="e">
        <f aca="false">IF(#REF!,"AAAAAHPdwpg=",0)</f>
        <v>#REF!</v>
      </c>
      <c r="EX80" s="22" t="e">
        <f aca="false">AND(#REF!,"AAAAAHPdwpk=")</f>
        <v>#VALUE!</v>
      </c>
      <c r="EY80" s="22" t="e">
        <f aca="false">AND(#REF!,"AAAAAHPdwpo=")</f>
        <v>#VALUE!</v>
      </c>
      <c r="EZ80" s="22" t="e">
        <f aca="false">AND(#REF!,"AAAAAHPdwps=")</f>
        <v>#VALUE!</v>
      </c>
      <c r="FA80" s="22" t="e">
        <f aca="false">AND(#REF!,"AAAAAHPdwpw=")</f>
        <v>#VALUE!</v>
      </c>
      <c r="FB80" s="22" t="e">
        <f aca="false">AND(#REF!,"AAAAAHPdwp0=")</f>
        <v>#VALUE!</v>
      </c>
      <c r="FC80" s="22" t="e">
        <f aca="false">AND(#REF!,"AAAAAHPdwp4=")</f>
        <v>#VALUE!</v>
      </c>
      <c r="FD80" s="22" t="e">
        <f aca="false">AND(#REF!,"AAAAAHPdwp8=")</f>
        <v>#VALUE!</v>
      </c>
      <c r="FE80" s="22" t="e">
        <f aca="false">AND(#REF!,"AAAAAHPdwqA=")</f>
        <v>#VALUE!</v>
      </c>
      <c r="FF80" s="22" t="e">
        <f aca="false">IF(#REF!,"AAAAAHPdwqE=",0)</f>
        <v>#REF!</v>
      </c>
      <c r="FG80" s="22" t="e">
        <f aca="false">AND(#REF!,"AAAAAHPdwqI=")</f>
        <v>#VALUE!</v>
      </c>
      <c r="FH80" s="22" t="e">
        <f aca="false">AND(#REF!,"AAAAAHPdwqM=")</f>
        <v>#VALUE!</v>
      </c>
      <c r="FI80" s="22" t="e">
        <f aca="false">AND(#REF!,"AAAAAHPdwqQ=")</f>
        <v>#VALUE!</v>
      </c>
      <c r="FJ80" s="22" t="e">
        <f aca="false">AND(#REF!,"AAAAAHPdwqU=")</f>
        <v>#VALUE!</v>
      </c>
      <c r="FK80" s="22" t="e">
        <f aca="false">AND(#REF!,"AAAAAHPdwqY=")</f>
        <v>#VALUE!</v>
      </c>
      <c r="FL80" s="22" t="e">
        <f aca="false">AND(#REF!,"AAAAAHPdwqc=")</f>
        <v>#VALUE!</v>
      </c>
      <c r="FM80" s="22" t="e">
        <f aca="false">AND(#REF!,"AAAAAHPdwqg=")</f>
        <v>#VALUE!</v>
      </c>
      <c r="FN80" s="22" t="e">
        <f aca="false">AND(#REF!,"AAAAAHPdwqk=")</f>
        <v>#VALUE!</v>
      </c>
      <c r="FO80" s="22" t="e">
        <f aca="false">IF(#REF!,"AAAAAHPdwqo=",0)</f>
        <v>#REF!</v>
      </c>
      <c r="FP80" s="22" t="e">
        <f aca="false">AND(#REF!,"AAAAAHPdwqs=")</f>
        <v>#VALUE!</v>
      </c>
      <c r="FQ80" s="22" t="e">
        <f aca="false">AND(#REF!,"AAAAAHPdwqw=")</f>
        <v>#VALUE!</v>
      </c>
      <c r="FR80" s="22" t="e">
        <f aca="false">AND(#REF!,"AAAAAHPdwq0=")</f>
        <v>#VALUE!</v>
      </c>
      <c r="FS80" s="22" t="e">
        <f aca="false">AND(#REF!,"AAAAAHPdwq4=")</f>
        <v>#VALUE!</v>
      </c>
      <c r="FT80" s="22" t="e">
        <f aca="false">AND(#REF!,"AAAAAHPdwq8=")</f>
        <v>#VALUE!</v>
      </c>
      <c r="FU80" s="22" t="e">
        <f aca="false">AND(#REF!,"AAAAAHPdwrA=")</f>
        <v>#VALUE!</v>
      </c>
      <c r="FV80" s="22" t="e">
        <f aca="false">AND(#REF!,"AAAAAHPdwrE=")</f>
        <v>#VALUE!</v>
      </c>
      <c r="FW80" s="22" t="e">
        <f aca="false">AND(#REF!,"AAAAAHPdwrI=")</f>
        <v>#VALUE!</v>
      </c>
      <c r="FX80" s="22" t="e">
        <f aca="false">IF(#REF!,"AAAAAHPdwrM=",0)</f>
        <v>#REF!</v>
      </c>
      <c r="FY80" s="22" t="e">
        <f aca="false">AND(#REF!,"AAAAAHPdwrQ=")</f>
        <v>#VALUE!</v>
      </c>
      <c r="FZ80" s="22" t="e">
        <f aca="false">AND(#REF!,"AAAAAHPdwrU=")</f>
        <v>#VALUE!</v>
      </c>
      <c r="GA80" s="22" t="e">
        <f aca="false">AND(#REF!,"AAAAAHPdwrY=")</f>
        <v>#VALUE!</v>
      </c>
      <c r="GB80" s="22" t="e">
        <f aca="false">AND(#REF!,"AAAAAHPdwrc=")</f>
        <v>#VALUE!</v>
      </c>
      <c r="GC80" s="22" t="e">
        <f aca="false">AND(#REF!,"AAAAAHPdwrg=")</f>
        <v>#VALUE!</v>
      </c>
      <c r="GD80" s="22" t="e">
        <f aca="false">AND(#REF!,"AAAAAHPdwrk=")</f>
        <v>#VALUE!</v>
      </c>
      <c r="GE80" s="22" t="e">
        <f aca="false">AND(#REF!,"AAAAAHPdwro=")</f>
        <v>#VALUE!</v>
      </c>
      <c r="GF80" s="22" t="e">
        <f aca="false">AND(#REF!,"AAAAAHPdwrs=")</f>
        <v>#VALUE!</v>
      </c>
      <c r="GG80" s="22" t="e">
        <f aca="false">IF(#REF!,"AAAAAHPdwrw=",0)</f>
        <v>#REF!</v>
      </c>
      <c r="GH80" s="22" t="e">
        <f aca="false">AND(#REF!,"AAAAAHPdwr0=")</f>
        <v>#VALUE!</v>
      </c>
      <c r="GI80" s="22" t="e">
        <f aca="false">AND(#REF!,"AAAAAHPdwr4=")</f>
        <v>#VALUE!</v>
      </c>
      <c r="GJ80" s="22" t="e">
        <f aca="false">AND(#REF!,"AAAAAHPdwr8=")</f>
        <v>#VALUE!</v>
      </c>
      <c r="GK80" s="22" t="e">
        <f aca="false">AND(#REF!,"AAAAAHPdwsA=")</f>
        <v>#VALUE!</v>
      </c>
      <c r="GL80" s="22" t="e">
        <f aca="false">AND(#REF!,"AAAAAHPdwsE=")</f>
        <v>#VALUE!</v>
      </c>
      <c r="GM80" s="22" t="e">
        <f aca="false">AND(#REF!,"AAAAAHPdwsI=")</f>
        <v>#VALUE!</v>
      </c>
      <c r="GN80" s="22" t="e">
        <f aca="false">AND(#REF!,"AAAAAHPdwsM=")</f>
        <v>#VALUE!</v>
      </c>
      <c r="GO80" s="22" t="e">
        <f aca="false">AND(#REF!,"AAAAAHPdwsQ=")</f>
        <v>#VALUE!</v>
      </c>
      <c r="GP80" s="22" t="e">
        <f aca="false">IF(#REF!,"AAAAAHPdwsU=",0)</f>
        <v>#REF!</v>
      </c>
      <c r="GQ80" s="22" t="e">
        <f aca="false">AND(#REF!,"AAAAAHPdwsY=")</f>
        <v>#VALUE!</v>
      </c>
      <c r="GR80" s="22" t="e">
        <f aca="false">AND(#REF!,"AAAAAHPdwsc=")</f>
        <v>#VALUE!</v>
      </c>
      <c r="GS80" s="22" t="e">
        <f aca="false">AND(#REF!,"AAAAAHPdwsg=")</f>
        <v>#VALUE!</v>
      </c>
      <c r="GT80" s="22" t="e">
        <f aca="false">AND(#REF!,"AAAAAHPdwsk=")</f>
        <v>#VALUE!</v>
      </c>
      <c r="GU80" s="22" t="e">
        <f aca="false">AND(#REF!,"AAAAAHPdwso=")</f>
        <v>#VALUE!</v>
      </c>
      <c r="GV80" s="22" t="e">
        <f aca="false">AND(#REF!,"AAAAAHPdwss=")</f>
        <v>#VALUE!</v>
      </c>
      <c r="GW80" s="22" t="e">
        <f aca="false">AND(#REF!,"AAAAAHPdwsw=")</f>
        <v>#VALUE!</v>
      </c>
      <c r="GX80" s="22" t="e">
        <f aca="false">AND(#REF!,"AAAAAHPdws0=")</f>
        <v>#VALUE!</v>
      </c>
      <c r="GY80" s="22" t="e">
        <f aca="false">IF(#REF!,"AAAAAHPdws4=",0)</f>
        <v>#REF!</v>
      </c>
      <c r="GZ80" s="22" t="e">
        <f aca="false">AND(#REF!,"AAAAAHPdws8=")</f>
        <v>#VALUE!</v>
      </c>
      <c r="HA80" s="22" t="e">
        <f aca="false">AND(#REF!,"AAAAAHPdwtA=")</f>
        <v>#VALUE!</v>
      </c>
      <c r="HB80" s="22" t="e">
        <f aca="false">AND(#REF!,"AAAAAHPdwtE=")</f>
        <v>#VALUE!</v>
      </c>
      <c r="HC80" s="22" t="e">
        <f aca="false">AND(#REF!,"AAAAAHPdwtI=")</f>
        <v>#VALUE!</v>
      </c>
      <c r="HD80" s="22" t="e">
        <f aca="false">AND(#REF!,"AAAAAHPdwtM=")</f>
        <v>#VALUE!</v>
      </c>
      <c r="HE80" s="22" t="e">
        <f aca="false">AND(#REF!,"AAAAAHPdwtQ=")</f>
        <v>#VALUE!</v>
      </c>
      <c r="HF80" s="22" t="e">
        <f aca="false">AND(#REF!,"AAAAAHPdwtU=")</f>
        <v>#VALUE!</v>
      </c>
      <c r="HG80" s="22" t="e">
        <f aca="false">AND(#REF!,"AAAAAHPdwtY=")</f>
        <v>#VALUE!</v>
      </c>
      <c r="HH80" s="22" t="e">
        <f aca="false">IF(#REF!,"AAAAAHPdwtc=",0)</f>
        <v>#REF!</v>
      </c>
      <c r="HI80" s="22" t="e">
        <f aca="false">AND(#REF!,"AAAAAHPdwtg=")</f>
        <v>#VALUE!</v>
      </c>
      <c r="HJ80" s="22" t="e">
        <f aca="false">AND(#REF!,"AAAAAHPdwtk=")</f>
        <v>#VALUE!</v>
      </c>
      <c r="HK80" s="22" t="e">
        <f aca="false">AND(#REF!,"AAAAAHPdwto=")</f>
        <v>#VALUE!</v>
      </c>
      <c r="HL80" s="22" t="e">
        <f aca="false">AND(#REF!,"AAAAAHPdwts=")</f>
        <v>#VALUE!</v>
      </c>
      <c r="HM80" s="22" t="e">
        <f aca="false">AND(#REF!,"AAAAAHPdwtw=")</f>
        <v>#VALUE!</v>
      </c>
      <c r="HN80" s="22" t="e">
        <f aca="false">AND(#REF!,"AAAAAHPdwt0=")</f>
        <v>#VALUE!</v>
      </c>
      <c r="HO80" s="22" t="e">
        <f aca="false">AND(#REF!,"AAAAAHPdwt4=")</f>
        <v>#VALUE!</v>
      </c>
      <c r="HP80" s="22" t="e">
        <f aca="false">AND(#REF!,"AAAAAHPdwt8=")</f>
        <v>#VALUE!</v>
      </c>
      <c r="HQ80" s="22" t="e">
        <f aca="false">IF(#REF!,"AAAAAHPdwuA=",0)</f>
        <v>#REF!</v>
      </c>
      <c r="HR80" s="22" t="e">
        <f aca="false">AND(#REF!,"AAAAAHPdwuE=")</f>
        <v>#VALUE!</v>
      </c>
      <c r="HS80" s="22" t="e">
        <f aca="false">AND(#REF!,"AAAAAHPdwuI=")</f>
        <v>#VALUE!</v>
      </c>
      <c r="HT80" s="22" t="e">
        <f aca="false">AND(#REF!,"AAAAAHPdwuM=")</f>
        <v>#VALUE!</v>
      </c>
      <c r="HU80" s="22" t="e">
        <f aca="false">AND(#REF!,"AAAAAHPdwuQ=")</f>
        <v>#VALUE!</v>
      </c>
      <c r="HV80" s="22" t="e">
        <f aca="false">AND(#REF!,"AAAAAHPdwuU=")</f>
        <v>#VALUE!</v>
      </c>
      <c r="HW80" s="22" t="e">
        <f aca="false">AND(#REF!,"AAAAAHPdwuY=")</f>
        <v>#VALUE!</v>
      </c>
      <c r="HX80" s="22" t="e">
        <f aca="false">AND(#REF!,"AAAAAHPdwuc=")</f>
        <v>#VALUE!</v>
      </c>
      <c r="HY80" s="22" t="e">
        <f aca="false">AND(#REF!,"AAAAAHPdwug=")</f>
        <v>#VALUE!</v>
      </c>
      <c r="HZ80" s="22" t="e">
        <f aca="false">IF(#REF!,"AAAAAHPdwuk=",0)</f>
        <v>#REF!</v>
      </c>
      <c r="IA80" s="22" t="e">
        <f aca="false">AND(#REF!,"AAAAAHPdwuo=")</f>
        <v>#VALUE!</v>
      </c>
      <c r="IB80" s="22" t="e">
        <f aca="false">AND(#REF!,"AAAAAHPdwus=")</f>
        <v>#VALUE!</v>
      </c>
      <c r="IC80" s="22" t="e">
        <f aca="false">AND(#REF!,"AAAAAHPdwuw=")</f>
        <v>#VALUE!</v>
      </c>
      <c r="ID80" s="22" t="e">
        <f aca="false">AND(#REF!,"AAAAAHPdwu0=")</f>
        <v>#VALUE!</v>
      </c>
      <c r="IE80" s="22" t="e">
        <f aca="false">AND(#REF!,"AAAAAHPdwu4=")</f>
        <v>#VALUE!</v>
      </c>
      <c r="IF80" s="22" t="e">
        <f aca="false">AND(#REF!,"AAAAAHPdwu8=")</f>
        <v>#VALUE!</v>
      </c>
      <c r="IG80" s="22" t="e">
        <f aca="false">AND(#REF!,"AAAAAHPdwvA=")</f>
        <v>#VALUE!</v>
      </c>
      <c r="IH80" s="22" t="e">
        <f aca="false">AND(#REF!,"AAAAAHPdwvE=")</f>
        <v>#VALUE!</v>
      </c>
      <c r="II80" s="22" t="e">
        <f aca="false">IF(#REF!,"AAAAAHPdwvI=",0)</f>
        <v>#REF!</v>
      </c>
      <c r="IJ80" s="22" t="e">
        <f aca="false">AND(#REF!,"AAAAAHPdwvM=")</f>
        <v>#VALUE!</v>
      </c>
      <c r="IK80" s="22" t="e">
        <f aca="false">AND(#REF!,"AAAAAHPdwvQ=")</f>
        <v>#VALUE!</v>
      </c>
      <c r="IL80" s="22" t="e">
        <f aca="false">AND(#REF!,"AAAAAHPdwvU=")</f>
        <v>#VALUE!</v>
      </c>
      <c r="IM80" s="22" t="e">
        <f aca="false">AND(#REF!,"AAAAAHPdwvY=")</f>
        <v>#VALUE!</v>
      </c>
      <c r="IN80" s="22" t="e">
        <f aca="false">AND(#REF!,"AAAAAHPdwvc=")</f>
        <v>#VALUE!</v>
      </c>
      <c r="IO80" s="22" t="e">
        <f aca="false">AND(#REF!,"AAAAAHPdwvg=")</f>
        <v>#VALUE!</v>
      </c>
      <c r="IP80" s="22" t="e">
        <f aca="false">AND(#REF!,"AAAAAHPdwvk=")</f>
        <v>#VALUE!</v>
      </c>
      <c r="IQ80" s="22" t="e">
        <f aca="false">AND(#REF!,"AAAAAHPdwvo=")</f>
        <v>#VALUE!</v>
      </c>
      <c r="IR80" s="22" t="e">
        <f aca="false">IF(#REF!,"AAAAAHPdwvs=",0)</f>
        <v>#REF!</v>
      </c>
      <c r="IS80" s="22" t="e">
        <f aca="false">AND(#REF!,"AAAAAHPdwvw=")</f>
        <v>#VALUE!</v>
      </c>
      <c r="IT80" s="22" t="e">
        <f aca="false">AND(#REF!,"AAAAAHPdwv0=")</f>
        <v>#VALUE!</v>
      </c>
      <c r="IU80" s="22" t="e">
        <f aca="false">AND(#REF!,"AAAAAHPdwv4=")</f>
        <v>#VALUE!</v>
      </c>
      <c r="IV80" s="22" t="e">
        <f aca="false">AND(#REF!,"AAAAAHPdwv8=")</f>
        <v>#VALUE!</v>
      </c>
    </row>
    <row r="81" customFormat="false" ht="12.75" hidden="false" customHeight="false" outlineLevel="0" collapsed="false">
      <c r="A81" s="22" t="e">
        <f aca="false">AND(#REF!,"AAAAAHf/dwA=")</f>
        <v>#VALUE!</v>
      </c>
      <c r="B81" s="22" t="e">
        <f aca="false">AND(#REF!,"AAAAAHf/dwE=")</f>
        <v>#VALUE!</v>
      </c>
      <c r="C81" s="22" t="e">
        <f aca="false">AND(#REF!,"AAAAAHf/dwI=")</f>
        <v>#VALUE!</v>
      </c>
      <c r="D81" s="22" t="e">
        <f aca="false">AND(#REF!,"AAAAAHf/dwM=")</f>
        <v>#VALUE!</v>
      </c>
      <c r="E81" s="22" t="e">
        <f aca="false">IF(#REF!,"AAAAAHf/dwQ=",0)</f>
        <v>#REF!</v>
      </c>
      <c r="F81" s="22" t="e">
        <f aca="false">AND(#REF!,"AAAAAHf/dwU=")</f>
        <v>#VALUE!</v>
      </c>
      <c r="G81" s="22" t="e">
        <f aca="false">AND(#REF!,"AAAAAHf/dwY=")</f>
        <v>#VALUE!</v>
      </c>
      <c r="H81" s="22" t="e">
        <f aca="false">AND(#REF!,"AAAAAHf/dwc=")</f>
        <v>#VALUE!</v>
      </c>
      <c r="I81" s="22" t="e">
        <f aca="false">AND(#REF!,"AAAAAHf/dwg=")</f>
        <v>#VALUE!</v>
      </c>
      <c r="J81" s="22" t="e">
        <f aca="false">AND(#REF!,"AAAAAHf/dwk=")</f>
        <v>#VALUE!</v>
      </c>
      <c r="K81" s="22" t="e">
        <f aca="false">AND(#REF!,"AAAAAHf/dwo=")</f>
        <v>#VALUE!</v>
      </c>
      <c r="L81" s="22" t="e">
        <f aca="false">AND(#REF!,"AAAAAHf/dws=")</f>
        <v>#VALUE!</v>
      </c>
      <c r="M81" s="22" t="e">
        <f aca="false">AND(#REF!,"AAAAAHf/dww=")</f>
        <v>#VALUE!</v>
      </c>
      <c r="N81" s="22" t="e">
        <f aca="false">IF(#REF!,"AAAAAHf/dw0=",0)</f>
        <v>#REF!</v>
      </c>
      <c r="O81" s="22" t="e">
        <f aca="false">AND(#REF!,"AAAAAHf/dw4=")</f>
        <v>#VALUE!</v>
      </c>
      <c r="P81" s="22" t="e">
        <f aca="false">AND(#REF!,"AAAAAHf/dw8=")</f>
        <v>#VALUE!</v>
      </c>
      <c r="Q81" s="22" t="e">
        <f aca="false">AND(#REF!,"AAAAAHf/dxA=")</f>
        <v>#VALUE!</v>
      </c>
      <c r="R81" s="22" t="e">
        <f aca="false">AND(#REF!,"AAAAAHf/dxE=")</f>
        <v>#VALUE!</v>
      </c>
      <c r="S81" s="22" t="e">
        <f aca="false">AND(#REF!,"AAAAAHf/dxI=")</f>
        <v>#VALUE!</v>
      </c>
      <c r="T81" s="22" t="e">
        <f aca="false">AND(#REF!,"AAAAAHf/dxM=")</f>
        <v>#VALUE!</v>
      </c>
      <c r="U81" s="22" t="e">
        <f aca="false">AND(#REF!,"AAAAAHf/dxQ=")</f>
        <v>#VALUE!</v>
      </c>
      <c r="V81" s="22" t="e">
        <f aca="false">AND(#REF!,"AAAAAHf/dxU=")</f>
        <v>#VALUE!</v>
      </c>
      <c r="W81" s="22" t="e">
        <f aca="false">IF(#REF!,"AAAAAHf/dxY=",0)</f>
        <v>#REF!</v>
      </c>
      <c r="X81" s="22" t="e">
        <f aca="false">AND(#REF!,"AAAAAHf/dxc=")</f>
        <v>#VALUE!</v>
      </c>
      <c r="Y81" s="22" t="e">
        <f aca="false">AND(#REF!,"AAAAAHf/dxg=")</f>
        <v>#VALUE!</v>
      </c>
      <c r="Z81" s="22" t="e">
        <f aca="false">AND(#REF!,"AAAAAHf/dxk=")</f>
        <v>#VALUE!</v>
      </c>
      <c r="AA81" s="22" t="e">
        <f aca="false">AND(#REF!,"AAAAAHf/dxo=")</f>
        <v>#VALUE!</v>
      </c>
      <c r="AB81" s="22" t="e">
        <f aca="false">AND(#REF!,"AAAAAHf/dxs=")</f>
        <v>#VALUE!</v>
      </c>
      <c r="AC81" s="22" t="e">
        <f aca="false">AND(#REF!,"AAAAAHf/dxw=")</f>
        <v>#VALUE!</v>
      </c>
      <c r="AD81" s="22" t="e">
        <f aca="false">AND(#REF!,"AAAAAHf/dx0=")</f>
        <v>#VALUE!</v>
      </c>
      <c r="AE81" s="22" t="e">
        <f aca="false">AND(#REF!,"AAAAAHf/dx4=")</f>
        <v>#VALUE!</v>
      </c>
      <c r="AF81" s="22" t="e">
        <f aca="false">IF(#REF!,"AAAAAHf/dx8=",0)</f>
        <v>#REF!</v>
      </c>
      <c r="AG81" s="22" t="e">
        <f aca="false">AND(#REF!,"AAAAAHf/dyA=")</f>
        <v>#VALUE!</v>
      </c>
      <c r="AH81" s="22" t="e">
        <f aca="false">AND(#REF!,"AAAAAHf/dyE=")</f>
        <v>#VALUE!</v>
      </c>
      <c r="AI81" s="22" t="e">
        <f aca="false">AND(#REF!,"AAAAAHf/dyI=")</f>
        <v>#VALUE!</v>
      </c>
      <c r="AJ81" s="22" t="e">
        <f aca="false">AND(#REF!,"AAAAAHf/dyM=")</f>
        <v>#VALUE!</v>
      </c>
      <c r="AK81" s="22" t="e">
        <f aca="false">AND(#REF!,"AAAAAHf/dyQ=")</f>
        <v>#VALUE!</v>
      </c>
      <c r="AL81" s="22" t="e">
        <f aca="false">AND(#REF!,"AAAAAHf/dyU=")</f>
        <v>#VALUE!</v>
      </c>
      <c r="AM81" s="22" t="e">
        <f aca="false">AND(#REF!,"AAAAAHf/dyY=")</f>
        <v>#VALUE!</v>
      </c>
      <c r="AN81" s="22" t="e">
        <f aca="false">AND(#REF!,"AAAAAHf/dyc=")</f>
        <v>#VALUE!</v>
      </c>
      <c r="AO81" s="22" t="e">
        <f aca="false">IF(#REF!,"AAAAAHf/dyg=",0)</f>
        <v>#REF!</v>
      </c>
      <c r="AP81" s="22" t="e">
        <f aca="false">AND(#REF!,"AAAAAHf/dyk=")</f>
        <v>#VALUE!</v>
      </c>
      <c r="AQ81" s="22" t="e">
        <f aca="false">AND(#REF!,"AAAAAHf/dyo=")</f>
        <v>#VALUE!</v>
      </c>
      <c r="AR81" s="22" t="e">
        <f aca="false">AND(#REF!,"AAAAAHf/dys=")</f>
        <v>#VALUE!</v>
      </c>
      <c r="AS81" s="22" t="e">
        <f aca="false">AND(#REF!,"AAAAAHf/dyw=")</f>
        <v>#VALUE!</v>
      </c>
      <c r="AT81" s="22" t="e">
        <f aca="false">AND(#REF!,"AAAAAHf/dy0=")</f>
        <v>#VALUE!</v>
      </c>
      <c r="AU81" s="22" t="e">
        <f aca="false">AND(#REF!,"AAAAAHf/dy4=")</f>
        <v>#VALUE!</v>
      </c>
      <c r="AV81" s="22" t="e">
        <f aca="false">AND(#REF!,"AAAAAHf/dy8=")</f>
        <v>#VALUE!</v>
      </c>
      <c r="AW81" s="22" t="e">
        <f aca="false">AND(#REF!,"AAAAAHf/dzA=")</f>
        <v>#VALUE!</v>
      </c>
      <c r="AX81" s="22" t="e">
        <f aca="false">IF(#REF!,"AAAAAHf/dzE=",0)</f>
        <v>#REF!</v>
      </c>
      <c r="AY81" s="22" t="e">
        <f aca="false">AND(#REF!,"AAAAAHf/dzI=")</f>
        <v>#VALUE!</v>
      </c>
      <c r="AZ81" s="22" t="e">
        <f aca="false">AND(#REF!,"AAAAAHf/dzM=")</f>
        <v>#VALUE!</v>
      </c>
      <c r="BA81" s="22" t="e">
        <f aca="false">AND(#REF!,"AAAAAHf/dzQ=")</f>
        <v>#VALUE!</v>
      </c>
      <c r="BB81" s="22" t="e">
        <f aca="false">AND(#REF!,"AAAAAHf/dzU=")</f>
        <v>#VALUE!</v>
      </c>
      <c r="BC81" s="22" t="e">
        <f aca="false">AND(#REF!,"AAAAAHf/dzY=")</f>
        <v>#VALUE!</v>
      </c>
      <c r="BD81" s="22" t="e">
        <f aca="false">AND(#REF!,"AAAAAHf/dzc=")</f>
        <v>#VALUE!</v>
      </c>
      <c r="BE81" s="22" t="e">
        <f aca="false">AND(#REF!,"AAAAAHf/dzg=")</f>
        <v>#VALUE!</v>
      </c>
      <c r="BF81" s="22" t="e">
        <f aca="false">AND(#REF!,"AAAAAHf/dzk=")</f>
        <v>#VALUE!</v>
      </c>
      <c r="BG81" s="22" t="e">
        <f aca="false">IF(#REF!,"AAAAAHf/dzo=",0)</f>
        <v>#REF!</v>
      </c>
      <c r="BH81" s="22" t="e">
        <f aca="false">AND(#REF!,"AAAAAHf/dzs=")</f>
        <v>#VALUE!</v>
      </c>
      <c r="BI81" s="22" t="e">
        <f aca="false">AND(#REF!,"AAAAAHf/dzw=")</f>
        <v>#VALUE!</v>
      </c>
      <c r="BJ81" s="22" t="e">
        <f aca="false">AND(#REF!,"AAAAAHf/dz0=")</f>
        <v>#VALUE!</v>
      </c>
      <c r="BK81" s="22" t="e">
        <f aca="false">AND(#REF!,"AAAAAHf/dz4=")</f>
        <v>#VALUE!</v>
      </c>
      <c r="BL81" s="22" t="e">
        <f aca="false">AND(#REF!,"AAAAAHf/dz8=")</f>
        <v>#VALUE!</v>
      </c>
      <c r="BM81" s="22" t="e">
        <f aca="false">AND(#REF!,"AAAAAHf/d0A=")</f>
        <v>#VALUE!</v>
      </c>
      <c r="BN81" s="22" t="e">
        <f aca="false">AND(#REF!,"AAAAAHf/d0E=")</f>
        <v>#VALUE!</v>
      </c>
      <c r="BO81" s="22" t="e">
        <f aca="false">AND(#REF!,"AAAAAHf/d0I=")</f>
        <v>#VALUE!</v>
      </c>
      <c r="BP81" s="22" t="e">
        <f aca="false">IF(#REF!,"AAAAAHf/d0M=",0)</f>
        <v>#REF!</v>
      </c>
      <c r="BQ81" s="22" t="e">
        <f aca="false">AND(#REF!,"AAAAAHf/d0Q=")</f>
        <v>#VALUE!</v>
      </c>
      <c r="BR81" s="22" t="e">
        <f aca="false">AND(#REF!,"AAAAAHf/d0U=")</f>
        <v>#VALUE!</v>
      </c>
      <c r="BS81" s="22" t="e">
        <f aca="false">AND(#REF!,"AAAAAHf/d0Y=")</f>
        <v>#VALUE!</v>
      </c>
      <c r="BT81" s="22" t="e">
        <f aca="false">AND(#REF!,"AAAAAHf/d0c=")</f>
        <v>#VALUE!</v>
      </c>
      <c r="BU81" s="22" t="e">
        <f aca="false">AND(#REF!,"AAAAAHf/d0g=")</f>
        <v>#VALUE!</v>
      </c>
      <c r="BV81" s="22" t="e">
        <f aca="false">AND(#REF!,"AAAAAHf/d0k=")</f>
        <v>#VALUE!</v>
      </c>
      <c r="BW81" s="22" t="e">
        <f aca="false">AND(#REF!,"AAAAAHf/d0o=")</f>
        <v>#VALUE!</v>
      </c>
      <c r="BX81" s="22" t="e">
        <f aca="false">AND(#REF!,"AAAAAHf/d0s=")</f>
        <v>#VALUE!</v>
      </c>
      <c r="BY81" s="22" t="e">
        <f aca="false">IF(#REF!,"AAAAAHf/d0w=",0)</f>
        <v>#REF!</v>
      </c>
      <c r="BZ81" s="22" t="e">
        <f aca="false">AND(#REF!,"AAAAAHf/d00=")</f>
        <v>#VALUE!</v>
      </c>
      <c r="CA81" s="22" t="e">
        <f aca="false">AND(#REF!,"AAAAAHf/d04=")</f>
        <v>#VALUE!</v>
      </c>
      <c r="CB81" s="22" t="e">
        <f aca="false">AND(#REF!,"AAAAAHf/d08=")</f>
        <v>#VALUE!</v>
      </c>
      <c r="CC81" s="22" t="e">
        <f aca="false">AND(#REF!,"AAAAAHf/d1A=")</f>
        <v>#VALUE!</v>
      </c>
      <c r="CD81" s="22" t="e">
        <f aca="false">AND(#REF!,"AAAAAHf/d1E=")</f>
        <v>#VALUE!</v>
      </c>
      <c r="CE81" s="22" t="e">
        <f aca="false">AND(#REF!,"AAAAAHf/d1I=")</f>
        <v>#VALUE!</v>
      </c>
      <c r="CF81" s="22" t="e">
        <f aca="false">AND(#REF!,"AAAAAHf/d1M=")</f>
        <v>#VALUE!</v>
      </c>
      <c r="CG81" s="22" t="e">
        <f aca="false">AND(#REF!,"AAAAAHf/d1Q=")</f>
        <v>#VALUE!</v>
      </c>
      <c r="CH81" s="22" t="e">
        <f aca="false">IF(#REF!,"AAAAAHf/d1U=",0)</f>
        <v>#REF!</v>
      </c>
      <c r="CI81" s="22" t="e">
        <f aca="false">AND(#REF!,"AAAAAHf/d1Y=")</f>
        <v>#VALUE!</v>
      </c>
      <c r="CJ81" s="22" t="e">
        <f aca="false">AND(#REF!,"AAAAAHf/d1c=")</f>
        <v>#VALUE!</v>
      </c>
      <c r="CK81" s="22" t="e">
        <f aca="false">AND(#REF!,"AAAAAHf/d1g=")</f>
        <v>#VALUE!</v>
      </c>
      <c r="CL81" s="22" t="e">
        <f aca="false">AND(#REF!,"AAAAAHf/d1k=")</f>
        <v>#VALUE!</v>
      </c>
      <c r="CM81" s="22" t="e">
        <f aca="false">AND(#REF!,"AAAAAHf/d1o=")</f>
        <v>#VALUE!</v>
      </c>
      <c r="CN81" s="22" t="e">
        <f aca="false">AND(#REF!,"AAAAAHf/d1s=")</f>
        <v>#VALUE!</v>
      </c>
      <c r="CO81" s="22" t="e">
        <f aca="false">AND(#REF!,"AAAAAHf/d1w=")</f>
        <v>#VALUE!</v>
      </c>
      <c r="CP81" s="22" t="e">
        <f aca="false">AND(#REF!,"AAAAAHf/d10=")</f>
        <v>#VALUE!</v>
      </c>
      <c r="CQ81" s="22" t="e">
        <f aca="false">IF(#REF!,"AAAAAHf/d14=",0)</f>
        <v>#REF!</v>
      </c>
      <c r="CR81" s="22" t="e">
        <f aca="false">AND(#REF!,"AAAAAHf/d18=")</f>
        <v>#VALUE!</v>
      </c>
      <c r="CS81" s="22" t="e">
        <f aca="false">AND(#REF!,"AAAAAHf/d2A=")</f>
        <v>#VALUE!</v>
      </c>
      <c r="CT81" s="22" t="e">
        <f aca="false">AND(#REF!,"AAAAAHf/d2E=")</f>
        <v>#VALUE!</v>
      </c>
      <c r="CU81" s="22" t="e">
        <f aca="false">AND(#REF!,"AAAAAHf/d2I=")</f>
        <v>#VALUE!</v>
      </c>
      <c r="CV81" s="22" t="e">
        <f aca="false">AND(#REF!,"AAAAAHf/d2M=")</f>
        <v>#VALUE!</v>
      </c>
      <c r="CW81" s="22" t="e">
        <f aca="false">AND(#REF!,"AAAAAHf/d2Q=")</f>
        <v>#VALUE!</v>
      </c>
      <c r="CX81" s="22" t="e">
        <f aca="false">AND(#REF!,"AAAAAHf/d2U=")</f>
        <v>#VALUE!</v>
      </c>
      <c r="CY81" s="22" t="e">
        <f aca="false">AND(#REF!,"AAAAAHf/d2Y=")</f>
        <v>#VALUE!</v>
      </c>
      <c r="CZ81" s="22" t="e">
        <f aca="false">IF(#REF!,"AAAAAHf/d2c=",0)</f>
        <v>#REF!</v>
      </c>
      <c r="DA81" s="22" t="e">
        <f aca="false">AND(#REF!,"AAAAAHf/d2g=")</f>
        <v>#VALUE!</v>
      </c>
      <c r="DB81" s="22" t="e">
        <f aca="false">AND(#REF!,"AAAAAHf/d2k=")</f>
        <v>#VALUE!</v>
      </c>
      <c r="DC81" s="22" t="e">
        <f aca="false">AND(#REF!,"AAAAAHf/d2o=")</f>
        <v>#VALUE!</v>
      </c>
      <c r="DD81" s="22" t="e">
        <f aca="false">AND(#REF!,"AAAAAHf/d2s=")</f>
        <v>#VALUE!</v>
      </c>
      <c r="DE81" s="22" t="e">
        <f aca="false">AND(#REF!,"AAAAAHf/d2w=")</f>
        <v>#VALUE!</v>
      </c>
      <c r="DF81" s="22" t="e">
        <f aca="false">AND(#REF!,"AAAAAHf/d20=")</f>
        <v>#VALUE!</v>
      </c>
      <c r="DG81" s="22" t="e">
        <f aca="false">AND(#REF!,"AAAAAHf/d24=")</f>
        <v>#VALUE!</v>
      </c>
      <c r="DH81" s="22" t="e">
        <f aca="false">AND(#REF!,"AAAAAHf/d28=")</f>
        <v>#VALUE!</v>
      </c>
      <c r="DI81" s="22" t="e">
        <f aca="false">IF(#REF!,"AAAAAHf/d3A=",0)</f>
        <v>#REF!</v>
      </c>
      <c r="DJ81" s="22" t="e">
        <f aca="false">AND(#REF!,"AAAAAHf/d3E=")</f>
        <v>#VALUE!</v>
      </c>
      <c r="DK81" s="22" t="e">
        <f aca="false">AND(#REF!,"AAAAAHf/d3I=")</f>
        <v>#VALUE!</v>
      </c>
      <c r="DL81" s="22" t="e">
        <f aca="false">AND(#REF!,"AAAAAHf/d3M=")</f>
        <v>#VALUE!</v>
      </c>
      <c r="DM81" s="22" t="e">
        <f aca="false">AND(#REF!,"AAAAAHf/d3Q=")</f>
        <v>#VALUE!</v>
      </c>
      <c r="DN81" s="22" t="e">
        <f aca="false">AND(#REF!,"AAAAAHf/d3U=")</f>
        <v>#VALUE!</v>
      </c>
      <c r="DO81" s="22" t="e">
        <f aca="false">AND(#REF!,"AAAAAHf/d3Y=")</f>
        <v>#VALUE!</v>
      </c>
      <c r="DP81" s="22" t="e">
        <f aca="false">AND(#REF!,"AAAAAHf/d3c=")</f>
        <v>#VALUE!</v>
      </c>
      <c r="DQ81" s="22" t="e">
        <f aca="false">AND(#REF!,"AAAAAHf/d3g=")</f>
        <v>#VALUE!</v>
      </c>
      <c r="DR81" s="22" t="e">
        <f aca="false">IF(#REF!,"AAAAAHf/d3k=",0)</f>
        <v>#REF!</v>
      </c>
      <c r="DS81" s="22" t="e">
        <f aca="false">AND(#REF!,"AAAAAHf/d3o=")</f>
        <v>#VALUE!</v>
      </c>
      <c r="DT81" s="22" t="e">
        <f aca="false">AND(#REF!,"AAAAAHf/d3s=")</f>
        <v>#VALUE!</v>
      </c>
      <c r="DU81" s="22" t="e">
        <f aca="false">AND(#REF!,"AAAAAHf/d3w=")</f>
        <v>#VALUE!</v>
      </c>
      <c r="DV81" s="22" t="e">
        <f aca="false">AND(#REF!,"AAAAAHf/d30=")</f>
        <v>#VALUE!</v>
      </c>
      <c r="DW81" s="22" t="e">
        <f aca="false">AND(#REF!,"AAAAAHf/d34=")</f>
        <v>#VALUE!</v>
      </c>
      <c r="DX81" s="22" t="e">
        <f aca="false">AND(#REF!,"AAAAAHf/d38=")</f>
        <v>#VALUE!</v>
      </c>
      <c r="DY81" s="22" t="e">
        <f aca="false">AND(#REF!,"AAAAAHf/d4A=")</f>
        <v>#VALUE!</v>
      </c>
      <c r="DZ81" s="22" t="e">
        <f aca="false">AND(#REF!,"AAAAAHf/d4E=")</f>
        <v>#VALUE!</v>
      </c>
      <c r="EA81" s="22" t="e">
        <f aca="false">IF(#REF!,"AAAAAHf/d4I=",0)</f>
        <v>#REF!</v>
      </c>
      <c r="EB81" s="22" t="e">
        <f aca="false">AND(#REF!,"AAAAAHf/d4M=")</f>
        <v>#VALUE!</v>
      </c>
      <c r="EC81" s="22" t="e">
        <f aca="false">AND(#REF!,"AAAAAHf/d4Q=")</f>
        <v>#VALUE!</v>
      </c>
      <c r="ED81" s="22" t="e">
        <f aca="false">AND(#REF!,"AAAAAHf/d4U=")</f>
        <v>#VALUE!</v>
      </c>
      <c r="EE81" s="22" t="e">
        <f aca="false">AND(#REF!,"AAAAAHf/d4Y=")</f>
        <v>#VALUE!</v>
      </c>
      <c r="EF81" s="22" t="e">
        <f aca="false">AND(#REF!,"AAAAAHf/d4c=")</f>
        <v>#VALUE!</v>
      </c>
      <c r="EG81" s="22" t="e">
        <f aca="false">AND(#REF!,"AAAAAHf/d4g=")</f>
        <v>#VALUE!</v>
      </c>
      <c r="EH81" s="22" t="e">
        <f aca="false">AND(#REF!,"AAAAAHf/d4k=")</f>
        <v>#VALUE!</v>
      </c>
      <c r="EI81" s="22" t="e">
        <f aca="false">AND(#REF!,"AAAAAHf/d4o=")</f>
        <v>#VALUE!</v>
      </c>
      <c r="EJ81" s="22" t="e">
        <f aca="false">IF(#REF!,"AAAAAHf/d4s=",0)</f>
        <v>#REF!</v>
      </c>
      <c r="EK81" s="22" t="e">
        <f aca="false">AND(#REF!,"AAAAAHf/d4w=")</f>
        <v>#VALUE!</v>
      </c>
      <c r="EL81" s="22" t="e">
        <f aca="false">AND(#REF!,"AAAAAHf/d40=")</f>
        <v>#VALUE!</v>
      </c>
      <c r="EM81" s="22" t="e">
        <f aca="false">AND(#REF!,"AAAAAHf/d44=")</f>
        <v>#VALUE!</v>
      </c>
      <c r="EN81" s="22" t="e">
        <f aca="false">AND(#REF!,"AAAAAHf/d48=")</f>
        <v>#VALUE!</v>
      </c>
      <c r="EO81" s="22" t="e">
        <f aca="false">AND(#REF!,"AAAAAHf/d5A=")</f>
        <v>#VALUE!</v>
      </c>
      <c r="EP81" s="22" t="e">
        <f aca="false">AND(#REF!,"AAAAAHf/d5E=")</f>
        <v>#VALUE!</v>
      </c>
      <c r="EQ81" s="22" t="e">
        <f aca="false">AND(#REF!,"AAAAAHf/d5I=")</f>
        <v>#VALUE!</v>
      </c>
      <c r="ER81" s="22" t="e">
        <f aca="false">AND(#REF!,"AAAAAHf/d5M=")</f>
        <v>#VALUE!</v>
      </c>
      <c r="ES81" s="22" t="e">
        <f aca="false">IF(#REF!,"AAAAAHf/d5Q=",0)</f>
        <v>#REF!</v>
      </c>
      <c r="ET81" s="22" t="e">
        <f aca="false">AND(#REF!,"AAAAAHf/d5U=")</f>
        <v>#VALUE!</v>
      </c>
      <c r="EU81" s="22" t="e">
        <f aca="false">AND(#REF!,"AAAAAHf/d5Y=")</f>
        <v>#VALUE!</v>
      </c>
      <c r="EV81" s="22" t="e">
        <f aca="false">AND(#REF!,"AAAAAHf/d5c=")</f>
        <v>#VALUE!</v>
      </c>
      <c r="EW81" s="22" t="e">
        <f aca="false">AND(#REF!,"AAAAAHf/d5g=")</f>
        <v>#VALUE!</v>
      </c>
      <c r="EX81" s="22" t="e">
        <f aca="false">AND(#REF!,"AAAAAHf/d5k=")</f>
        <v>#VALUE!</v>
      </c>
      <c r="EY81" s="22" t="e">
        <f aca="false">AND(#REF!,"AAAAAHf/d5o=")</f>
        <v>#VALUE!</v>
      </c>
      <c r="EZ81" s="22" t="e">
        <f aca="false">AND(#REF!,"AAAAAHf/d5s=")</f>
        <v>#VALUE!</v>
      </c>
      <c r="FA81" s="22" t="e">
        <f aca="false">AND(#REF!,"AAAAAHf/d5w=")</f>
        <v>#VALUE!</v>
      </c>
      <c r="FB81" s="22" t="e">
        <f aca="false">IF(#REF!,"AAAAAHf/d50=",0)</f>
        <v>#REF!</v>
      </c>
      <c r="FC81" s="22" t="e">
        <f aca="false">AND(#REF!,"AAAAAHf/d54=")</f>
        <v>#VALUE!</v>
      </c>
      <c r="FD81" s="22" t="e">
        <f aca="false">AND(#REF!,"AAAAAHf/d58=")</f>
        <v>#VALUE!</v>
      </c>
      <c r="FE81" s="22" t="e">
        <f aca="false">AND(#REF!,"AAAAAHf/d6A=")</f>
        <v>#VALUE!</v>
      </c>
      <c r="FF81" s="22" t="e">
        <f aca="false">AND(#REF!,"AAAAAHf/d6E=")</f>
        <v>#VALUE!</v>
      </c>
      <c r="FG81" s="22" t="e">
        <f aca="false">AND(#REF!,"AAAAAHf/d6I=")</f>
        <v>#VALUE!</v>
      </c>
      <c r="FH81" s="22" t="e">
        <f aca="false">AND(#REF!,"AAAAAHf/d6M=")</f>
        <v>#VALUE!</v>
      </c>
      <c r="FI81" s="22" t="e">
        <f aca="false">AND(#REF!,"AAAAAHf/d6Q=")</f>
        <v>#VALUE!</v>
      </c>
      <c r="FJ81" s="22" t="e">
        <f aca="false">AND(#REF!,"AAAAAHf/d6U=")</f>
        <v>#VALUE!</v>
      </c>
      <c r="FK81" s="22" t="e">
        <f aca="false">IF(#REF!,"AAAAAHf/d6Y=",0)</f>
        <v>#REF!</v>
      </c>
      <c r="FL81" s="22" t="e">
        <f aca="false">AND(#REF!,"AAAAAHf/d6c=")</f>
        <v>#VALUE!</v>
      </c>
      <c r="FM81" s="22" t="e">
        <f aca="false">AND(#REF!,"AAAAAHf/d6g=")</f>
        <v>#VALUE!</v>
      </c>
      <c r="FN81" s="22" t="e">
        <f aca="false">AND(#REF!,"AAAAAHf/d6k=")</f>
        <v>#VALUE!</v>
      </c>
      <c r="FO81" s="22" t="e">
        <f aca="false">AND(#REF!,"AAAAAHf/d6o=")</f>
        <v>#VALUE!</v>
      </c>
      <c r="FP81" s="22" t="e">
        <f aca="false">AND(#REF!,"AAAAAHf/d6s=")</f>
        <v>#VALUE!</v>
      </c>
      <c r="FQ81" s="22" t="e">
        <f aca="false">AND(#REF!,"AAAAAHf/d6w=")</f>
        <v>#VALUE!</v>
      </c>
      <c r="FR81" s="22" t="e">
        <f aca="false">AND(#REF!,"AAAAAHf/d60=")</f>
        <v>#VALUE!</v>
      </c>
      <c r="FS81" s="22" t="e">
        <f aca="false">AND(#REF!,"AAAAAHf/d64=")</f>
        <v>#VALUE!</v>
      </c>
      <c r="FT81" s="22" t="e">
        <f aca="false">IF(#REF!,"AAAAAHf/d68=",0)</f>
        <v>#REF!</v>
      </c>
      <c r="FU81" s="22" t="e">
        <f aca="false">AND(#REF!,"AAAAAHf/d7A=")</f>
        <v>#VALUE!</v>
      </c>
      <c r="FV81" s="22" t="e">
        <f aca="false">AND(#REF!,"AAAAAHf/d7E=")</f>
        <v>#VALUE!</v>
      </c>
      <c r="FW81" s="22" t="e">
        <f aca="false">AND(#REF!,"AAAAAHf/d7I=")</f>
        <v>#VALUE!</v>
      </c>
      <c r="FX81" s="22" t="e">
        <f aca="false">AND(#REF!,"AAAAAHf/d7M=")</f>
        <v>#VALUE!</v>
      </c>
      <c r="FY81" s="22" t="e">
        <f aca="false">AND(#REF!,"AAAAAHf/d7Q=")</f>
        <v>#VALUE!</v>
      </c>
      <c r="FZ81" s="22" t="e">
        <f aca="false">AND(#REF!,"AAAAAHf/d7U=")</f>
        <v>#VALUE!</v>
      </c>
      <c r="GA81" s="22" t="e">
        <f aca="false">AND(#REF!,"AAAAAHf/d7Y=")</f>
        <v>#VALUE!</v>
      </c>
      <c r="GB81" s="22" t="e">
        <f aca="false">AND(#REF!,"AAAAAHf/d7c=")</f>
        <v>#VALUE!</v>
      </c>
      <c r="GC81" s="22" t="e">
        <f aca="false">IF(#REF!,"AAAAAHf/d7g=",0)</f>
        <v>#REF!</v>
      </c>
      <c r="GD81" s="22" t="e">
        <f aca="false">AND(#REF!,"AAAAAHf/d7k=")</f>
        <v>#VALUE!</v>
      </c>
      <c r="GE81" s="22" t="e">
        <f aca="false">AND(#REF!,"AAAAAHf/d7o=")</f>
        <v>#VALUE!</v>
      </c>
      <c r="GF81" s="22" t="e">
        <f aca="false">AND(#REF!,"AAAAAHf/d7s=")</f>
        <v>#VALUE!</v>
      </c>
      <c r="GG81" s="22" t="e">
        <f aca="false">AND(#REF!,"AAAAAHf/d7w=")</f>
        <v>#VALUE!</v>
      </c>
      <c r="GH81" s="22" t="e">
        <f aca="false">AND(#REF!,"AAAAAHf/d70=")</f>
        <v>#VALUE!</v>
      </c>
      <c r="GI81" s="22" t="e">
        <f aca="false">AND(#REF!,"AAAAAHf/d74=")</f>
        <v>#VALUE!</v>
      </c>
      <c r="GJ81" s="22" t="e">
        <f aca="false">AND(#REF!,"AAAAAHf/d78=")</f>
        <v>#VALUE!</v>
      </c>
      <c r="GK81" s="22" t="e">
        <f aca="false">AND(#REF!,"AAAAAHf/d8A=")</f>
        <v>#VALUE!</v>
      </c>
      <c r="GL81" s="22" t="e">
        <f aca="false">IF(#REF!,"AAAAAHf/d8E=",0)</f>
        <v>#REF!</v>
      </c>
      <c r="GM81" s="22" t="e">
        <f aca="false">AND(#REF!,"AAAAAHf/d8I=")</f>
        <v>#VALUE!</v>
      </c>
      <c r="GN81" s="22" t="e">
        <f aca="false">AND(#REF!,"AAAAAHf/d8M=")</f>
        <v>#VALUE!</v>
      </c>
      <c r="GO81" s="22" t="e">
        <f aca="false">AND(#REF!,"AAAAAHf/d8Q=")</f>
        <v>#VALUE!</v>
      </c>
      <c r="GP81" s="22" t="e">
        <f aca="false">AND(#REF!,"AAAAAHf/d8U=")</f>
        <v>#VALUE!</v>
      </c>
      <c r="GQ81" s="22" t="e">
        <f aca="false">AND(#REF!,"AAAAAHf/d8Y=")</f>
        <v>#VALUE!</v>
      </c>
      <c r="GR81" s="22" t="e">
        <f aca="false">AND(#REF!,"AAAAAHf/d8c=")</f>
        <v>#VALUE!</v>
      </c>
      <c r="GS81" s="22" t="e">
        <f aca="false">AND(#REF!,"AAAAAHf/d8g=")</f>
        <v>#VALUE!</v>
      </c>
      <c r="GT81" s="22" t="e">
        <f aca="false">AND(#REF!,"AAAAAHf/d8k=")</f>
        <v>#VALUE!</v>
      </c>
      <c r="GU81" s="22" t="e">
        <f aca="false">IF(#REF!,"AAAAAHf/d8o=",0)</f>
        <v>#REF!</v>
      </c>
      <c r="GV81" s="22" t="e">
        <f aca="false">AND(#REF!,"AAAAAHf/d8s=")</f>
        <v>#VALUE!</v>
      </c>
      <c r="GW81" s="22" t="e">
        <f aca="false">AND(#REF!,"AAAAAHf/d8w=")</f>
        <v>#VALUE!</v>
      </c>
      <c r="GX81" s="22" t="e">
        <f aca="false">AND(#REF!,"AAAAAHf/d80=")</f>
        <v>#VALUE!</v>
      </c>
      <c r="GY81" s="22" t="e">
        <f aca="false">AND(#REF!,"AAAAAHf/d84=")</f>
        <v>#VALUE!</v>
      </c>
      <c r="GZ81" s="22" t="e">
        <f aca="false">AND(#REF!,"AAAAAHf/d88=")</f>
        <v>#VALUE!</v>
      </c>
      <c r="HA81" s="22" t="e">
        <f aca="false">AND(#REF!,"AAAAAHf/d9A=")</f>
        <v>#VALUE!</v>
      </c>
      <c r="HB81" s="22" t="e">
        <f aca="false">AND(#REF!,"AAAAAHf/d9E=")</f>
        <v>#VALUE!</v>
      </c>
      <c r="HC81" s="22" t="e">
        <f aca="false">AND(#REF!,"AAAAAHf/d9I=")</f>
        <v>#VALUE!</v>
      </c>
      <c r="HD81" s="22" t="e">
        <f aca="false">IF(#REF!,"AAAAAHf/d9M=",0)</f>
        <v>#REF!</v>
      </c>
      <c r="HE81" s="22" t="e">
        <f aca="false">AND(#REF!,"AAAAAHf/d9Q=")</f>
        <v>#VALUE!</v>
      </c>
      <c r="HF81" s="22" t="e">
        <f aca="false">AND(#REF!,"AAAAAHf/d9U=")</f>
        <v>#VALUE!</v>
      </c>
      <c r="HG81" s="22" t="e">
        <f aca="false">AND(#REF!,"AAAAAHf/d9Y=")</f>
        <v>#VALUE!</v>
      </c>
      <c r="HH81" s="22" t="e">
        <f aca="false">AND(#REF!,"AAAAAHf/d9c=")</f>
        <v>#VALUE!</v>
      </c>
      <c r="HI81" s="22" t="e">
        <f aca="false">AND(#REF!,"AAAAAHf/d9g=")</f>
        <v>#VALUE!</v>
      </c>
      <c r="HJ81" s="22" t="e">
        <f aca="false">AND(#REF!,"AAAAAHf/d9k=")</f>
        <v>#VALUE!</v>
      </c>
      <c r="HK81" s="22" t="e">
        <f aca="false">AND(#REF!,"AAAAAHf/d9o=")</f>
        <v>#VALUE!</v>
      </c>
      <c r="HL81" s="22" t="e">
        <f aca="false">AND(#REF!,"AAAAAHf/d9s=")</f>
        <v>#VALUE!</v>
      </c>
      <c r="HM81" s="22" t="e">
        <f aca="false">IF(#REF!,"AAAAAHf/d9w=",0)</f>
        <v>#REF!</v>
      </c>
      <c r="HN81" s="22" t="e">
        <f aca="false">AND(#REF!,"AAAAAHf/d90=")</f>
        <v>#VALUE!</v>
      </c>
      <c r="HO81" s="22" t="e">
        <f aca="false">AND(#REF!,"AAAAAHf/d94=")</f>
        <v>#VALUE!</v>
      </c>
      <c r="HP81" s="22" t="e">
        <f aca="false">AND(#REF!,"AAAAAHf/d98=")</f>
        <v>#VALUE!</v>
      </c>
      <c r="HQ81" s="22" t="e">
        <f aca="false">AND(#REF!,"AAAAAHf/d+A=")</f>
        <v>#VALUE!</v>
      </c>
      <c r="HR81" s="22" t="e">
        <f aca="false">AND(#REF!,"AAAAAHf/d+E=")</f>
        <v>#VALUE!</v>
      </c>
      <c r="HS81" s="22" t="e">
        <f aca="false">AND(#REF!,"AAAAAHf/d+I=")</f>
        <v>#VALUE!</v>
      </c>
      <c r="HT81" s="22" t="e">
        <f aca="false">AND(#REF!,"AAAAAHf/d+M=")</f>
        <v>#VALUE!</v>
      </c>
      <c r="HU81" s="22" t="e">
        <f aca="false">AND(#REF!,"AAAAAHf/d+Q=")</f>
        <v>#VALUE!</v>
      </c>
      <c r="HV81" s="22" t="e">
        <f aca="false">IF(#REF!,"AAAAAHf/d+U=",0)</f>
        <v>#REF!</v>
      </c>
      <c r="HW81" s="22" t="e">
        <f aca="false">AND(#REF!,"AAAAAHf/d+Y=")</f>
        <v>#VALUE!</v>
      </c>
      <c r="HX81" s="22" t="e">
        <f aca="false">AND(#REF!,"AAAAAHf/d+c=")</f>
        <v>#VALUE!</v>
      </c>
      <c r="HY81" s="22" t="e">
        <f aca="false">AND(#REF!,"AAAAAHf/d+g=")</f>
        <v>#VALUE!</v>
      </c>
      <c r="HZ81" s="22" t="e">
        <f aca="false">AND(#REF!,"AAAAAHf/d+k=")</f>
        <v>#VALUE!</v>
      </c>
      <c r="IA81" s="22" t="e">
        <f aca="false">AND(#REF!,"AAAAAHf/d+o=")</f>
        <v>#VALUE!</v>
      </c>
      <c r="IB81" s="22" t="e">
        <f aca="false">AND(#REF!,"AAAAAHf/d+s=")</f>
        <v>#VALUE!</v>
      </c>
      <c r="IC81" s="22" t="e">
        <f aca="false">AND(#REF!,"AAAAAHf/d+w=")</f>
        <v>#VALUE!</v>
      </c>
      <c r="ID81" s="22" t="e">
        <f aca="false">AND(#REF!,"AAAAAHf/d+0=")</f>
        <v>#VALUE!</v>
      </c>
      <c r="IE81" s="22" t="e">
        <f aca="false">IF(#REF!,"AAAAAHf/d+4=",0)</f>
        <v>#REF!</v>
      </c>
      <c r="IF81" s="22" t="e">
        <f aca="false">AND(#REF!,"AAAAAHf/d+8=")</f>
        <v>#VALUE!</v>
      </c>
      <c r="IG81" s="22" t="e">
        <f aca="false">AND(#REF!,"AAAAAHf/d/A=")</f>
        <v>#VALUE!</v>
      </c>
      <c r="IH81" s="22" t="e">
        <f aca="false">AND(#REF!,"AAAAAHf/d/E=")</f>
        <v>#VALUE!</v>
      </c>
      <c r="II81" s="22" t="e">
        <f aca="false">AND(#REF!,"AAAAAHf/d/I=")</f>
        <v>#VALUE!</v>
      </c>
      <c r="IJ81" s="22" t="e">
        <f aca="false">AND(#REF!,"AAAAAHf/d/M=")</f>
        <v>#VALUE!</v>
      </c>
      <c r="IK81" s="22" t="e">
        <f aca="false">AND(#REF!,"AAAAAHf/d/Q=")</f>
        <v>#VALUE!</v>
      </c>
      <c r="IL81" s="22" t="e">
        <f aca="false">AND(#REF!,"AAAAAHf/d/U=")</f>
        <v>#VALUE!</v>
      </c>
      <c r="IM81" s="22" t="e">
        <f aca="false">AND(#REF!,"AAAAAHf/d/Y=")</f>
        <v>#VALUE!</v>
      </c>
      <c r="IN81" s="22" t="e">
        <f aca="false">IF(#REF!,"AAAAAHf/d/c=",0)</f>
        <v>#REF!</v>
      </c>
      <c r="IO81" s="22" t="e">
        <f aca="false">AND(#REF!,"AAAAAHf/d/g=")</f>
        <v>#VALUE!</v>
      </c>
      <c r="IP81" s="22" t="e">
        <f aca="false">AND(#REF!,"AAAAAHf/d/k=")</f>
        <v>#VALUE!</v>
      </c>
      <c r="IQ81" s="22" t="e">
        <f aca="false">AND(#REF!,"AAAAAHf/d/o=")</f>
        <v>#VALUE!</v>
      </c>
      <c r="IR81" s="22" t="e">
        <f aca="false">AND(#REF!,"AAAAAHf/d/s=")</f>
        <v>#VALUE!</v>
      </c>
      <c r="IS81" s="22" t="e">
        <f aca="false">AND(#REF!,"AAAAAHf/d/w=")</f>
        <v>#VALUE!</v>
      </c>
      <c r="IT81" s="22" t="e">
        <f aca="false">AND(#REF!,"AAAAAHf/d/0=")</f>
        <v>#VALUE!</v>
      </c>
      <c r="IU81" s="22" t="e">
        <f aca="false">AND(#REF!,"AAAAAHf/d/4=")</f>
        <v>#VALUE!</v>
      </c>
      <c r="IV81" s="22" t="e">
        <f aca="false">AND(#REF!,"AAAAAHf/d/8=")</f>
        <v>#VALUE!</v>
      </c>
    </row>
    <row r="82" customFormat="false" ht="12.75" hidden="false" customHeight="false" outlineLevel="0" collapsed="false">
      <c r="A82" s="22" t="e">
        <f aca="false">IF(#REF!,"AAAAAH9/uwA=",0)</f>
        <v>#REF!</v>
      </c>
      <c r="B82" s="22" t="e">
        <f aca="false">AND(#REF!,"AAAAAH9/uwE=")</f>
        <v>#VALUE!</v>
      </c>
      <c r="C82" s="22" t="e">
        <f aca="false">AND(#REF!,"AAAAAH9/uwI=")</f>
        <v>#VALUE!</v>
      </c>
      <c r="D82" s="22" t="e">
        <f aca="false">AND(#REF!,"AAAAAH9/uwM=")</f>
        <v>#VALUE!</v>
      </c>
      <c r="E82" s="22" t="e">
        <f aca="false">AND(#REF!,"AAAAAH9/uwQ=")</f>
        <v>#VALUE!</v>
      </c>
      <c r="F82" s="22" t="e">
        <f aca="false">AND(#REF!,"AAAAAH9/uwU=")</f>
        <v>#VALUE!</v>
      </c>
      <c r="G82" s="22" t="e">
        <f aca="false">AND(#REF!,"AAAAAH9/uwY=")</f>
        <v>#VALUE!</v>
      </c>
      <c r="H82" s="22" t="e">
        <f aca="false">AND(#REF!,"AAAAAH9/uwc=")</f>
        <v>#VALUE!</v>
      </c>
      <c r="I82" s="22" t="e">
        <f aca="false">AND(#REF!,"AAAAAH9/uwg=")</f>
        <v>#VALUE!</v>
      </c>
      <c r="J82" s="22" t="e">
        <f aca="false">IF(#REF!,"AAAAAH9/uwk=",0)</f>
        <v>#REF!</v>
      </c>
      <c r="K82" s="22" t="e">
        <f aca="false">AND(#REF!,"AAAAAH9/uwo=")</f>
        <v>#VALUE!</v>
      </c>
      <c r="L82" s="22" t="e">
        <f aca="false">AND(#REF!,"AAAAAH9/uws=")</f>
        <v>#VALUE!</v>
      </c>
      <c r="M82" s="22" t="e">
        <f aca="false">AND(#REF!,"AAAAAH9/uww=")</f>
        <v>#VALUE!</v>
      </c>
      <c r="N82" s="22" t="e">
        <f aca="false">AND(#REF!,"AAAAAH9/uw0=")</f>
        <v>#VALUE!</v>
      </c>
      <c r="O82" s="22" t="e">
        <f aca="false">AND(#REF!,"AAAAAH9/uw4=")</f>
        <v>#VALUE!</v>
      </c>
      <c r="P82" s="22" t="e">
        <f aca="false">AND(#REF!,"AAAAAH9/uw8=")</f>
        <v>#VALUE!</v>
      </c>
      <c r="Q82" s="22" t="e">
        <f aca="false">AND(#REF!,"AAAAAH9/uxA=")</f>
        <v>#VALUE!</v>
      </c>
      <c r="R82" s="22" t="e">
        <f aca="false">AND(#REF!,"AAAAAH9/uxE=")</f>
        <v>#VALUE!</v>
      </c>
      <c r="S82" s="22" t="e">
        <f aca="false">IF(#REF!,"AAAAAH9/uxI=",0)</f>
        <v>#REF!</v>
      </c>
      <c r="T82" s="22" t="e">
        <f aca="false">AND(#REF!,"AAAAAH9/uxM=")</f>
        <v>#VALUE!</v>
      </c>
      <c r="U82" s="22" t="e">
        <f aca="false">AND(#REF!,"AAAAAH9/uxQ=")</f>
        <v>#VALUE!</v>
      </c>
      <c r="V82" s="22" t="e">
        <f aca="false">AND(#REF!,"AAAAAH9/uxU=")</f>
        <v>#VALUE!</v>
      </c>
      <c r="W82" s="22" t="e">
        <f aca="false">AND(#REF!,"AAAAAH9/uxY=")</f>
        <v>#VALUE!</v>
      </c>
      <c r="X82" s="22" t="e">
        <f aca="false">AND(#REF!,"AAAAAH9/uxc=")</f>
        <v>#VALUE!</v>
      </c>
      <c r="Y82" s="22" t="e">
        <f aca="false">AND(#REF!,"AAAAAH9/uxg=")</f>
        <v>#VALUE!</v>
      </c>
      <c r="Z82" s="22" t="e">
        <f aca="false">AND(#REF!,"AAAAAH9/uxk=")</f>
        <v>#VALUE!</v>
      </c>
      <c r="AA82" s="22" t="e">
        <f aca="false">AND(#REF!,"AAAAAH9/uxo=")</f>
        <v>#VALUE!</v>
      </c>
      <c r="AB82" s="22" t="e">
        <f aca="false">IF(#REF!,"AAAAAH9/uxs=",0)</f>
        <v>#REF!</v>
      </c>
      <c r="AC82" s="22" t="e">
        <f aca="false">AND(#REF!,"AAAAAH9/uxw=")</f>
        <v>#VALUE!</v>
      </c>
      <c r="AD82" s="22" t="e">
        <f aca="false">AND(#REF!,"AAAAAH9/ux0=")</f>
        <v>#VALUE!</v>
      </c>
      <c r="AE82" s="22" t="e">
        <f aca="false">AND(#REF!,"AAAAAH9/ux4=")</f>
        <v>#VALUE!</v>
      </c>
      <c r="AF82" s="22" t="e">
        <f aca="false">AND(#REF!,"AAAAAH9/ux8=")</f>
        <v>#VALUE!</v>
      </c>
      <c r="AG82" s="22" t="e">
        <f aca="false">AND(#REF!,"AAAAAH9/uyA=")</f>
        <v>#VALUE!</v>
      </c>
      <c r="AH82" s="22" t="e">
        <f aca="false">AND(#REF!,"AAAAAH9/uyE=")</f>
        <v>#VALUE!</v>
      </c>
      <c r="AI82" s="22" t="e">
        <f aca="false">AND(#REF!,"AAAAAH9/uyI=")</f>
        <v>#VALUE!</v>
      </c>
      <c r="AJ82" s="22" t="e">
        <f aca="false">AND(#REF!,"AAAAAH9/uyM=")</f>
        <v>#VALUE!</v>
      </c>
      <c r="AK82" s="22" t="e">
        <f aca="false">IF(#REF!,"AAAAAH9/uyQ=",0)</f>
        <v>#REF!</v>
      </c>
      <c r="AL82" s="22" t="e">
        <f aca="false">AND(#REF!,"AAAAAH9/uyU=")</f>
        <v>#VALUE!</v>
      </c>
      <c r="AM82" s="22" t="e">
        <f aca="false">AND(#REF!,"AAAAAH9/uyY=")</f>
        <v>#VALUE!</v>
      </c>
      <c r="AN82" s="22" t="e">
        <f aca="false">AND(#REF!,"AAAAAH9/uyc=")</f>
        <v>#VALUE!</v>
      </c>
      <c r="AO82" s="22" t="e">
        <f aca="false">AND(#REF!,"AAAAAH9/uyg=")</f>
        <v>#VALUE!</v>
      </c>
      <c r="AP82" s="22" t="e">
        <f aca="false">AND(#REF!,"AAAAAH9/uyk=")</f>
        <v>#VALUE!</v>
      </c>
      <c r="AQ82" s="22" t="e">
        <f aca="false">AND(#REF!,"AAAAAH9/uyo=")</f>
        <v>#VALUE!</v>
      </c>
      <c r="AR82" s="22" t="e">
        <f aca="false">AND(#REF!,"AAAAAH9/uys=")</f>
        <v>#VALUE!</v>
      </c>
      <c r="AS82" s="22" t="e">
        <f aca="false">AND(#REF!,"AAAAAH9/uyw=")</f>
        <v>#VALUE!</v>
      </c>
      <c r="AT82" s="22" t="e">
        <f aca="false">IF(#REF!,"AAAAAH9/uy0=",0)</f>
        <v>#REF!</v>
      </c>
      <c r="AU82" s="22" t="e">
        <f aca="false">AND(#REF!,"AAAAAH9/uy4=")</f>
        <v>#VALUE!</v>
      </c>
      <c r="AV82" s="22" t="e">
        <f aca="false">AND(#REF!,"AAAAAH9/uy8=")</f>
        <v>#VALUE!</v>
      </c>
      <c r="AW82" s="22" t="e">
        <f aca="false">AND(#REF!,"AAAAAH9/uzA=")</f>
        <v>#VALUE!</v>
      </c>
      <c r="AX82" s="22" t="e">
        <f aca="false">AND(#REF!,"AAAAAH9/uzE=")</f>
        <v>#VALUE!</v>
      </c>
      <c r="AY82" s="22" t="e">
        <f aca="false">AND(#REF!,"AAAAAH9/uzI=")</f>
        <v>#VALUE!</v>
      </c>
      <c r="AZ82" s="22" t="e">
        <f aca="false">AND(#REF!,"AAAAAH9/uzM=")</f>
        <v>#VALUE!</v>
      </c>
      <c r="BA82" s="22" t="e">
        <f aca="false">AND(#REF!,"AAAAAH9/uzQ=")</f>
        <v>#VALUE!</v>
      </c>
      <c r="BB82" s="22" t="e">
        <f aca="false">AND(#REF!,"AAAAAH9/uzU=")</f>
        <v>#VALUE!</v>
      </c>
      <c r="BC82" s="22" t="e">
        <f aca="false">IF(#REF!,"AAAAAH9/uzY=",0)</f>
        <v>#REF!</v>
      </c>
      <c r="BD82" s="22" t="e">
        <f aca="false">AND(#REF!,"AAAAAH9/uzc=")</f>
        <v>#VALUE!</v>
      </c>
      <c r="BE82" s="22" t="e">
        <f aca="false">AND(#REF!,"AAAAAH9/uzg=")</f>
        <v>#VALUE!</v>
      </c>
      <c r="BF82" s="22" t="e">
        <f aca="false">AND(#REF!,"AAAAAH9/uzk=")</f>
        <v>#VALUE!</v>
      </c>
      <c r="BG82" s="22" t="e">
        <f aca="false">AND(#REF!,"AAAAAH9/uzo=")</f>
        <v>#VALUE!</v>
      </c>
      <c r="BH82" s="22" t="e">
        <f aca="false">AND(#REF!,"AAAAAH9/uzs=")</f>
        <v>#VALUE!</v>
      </c>
      <c r="BI82" s="22" t="e">
        <f aca="false">AND(#REF!,"AAAAAH9/uzw=")</f>
        <v>#VALUE!</v>
      </c>
      <c r="BJ82" s="22" t="e">
        <f aca="false">AND(#REF!,"AAAAAH9/uz0=")</f>
        <v>#VALUE!</v>
      </c>
      <c r="BK82" s="22" t="e">
        <f aca="false">AND(#REF!,"AAAAAH9/uz4=")</f>
        <v>#VALUE!</v>
      </c>
      <c r="BL82" s="22" t="e">
        <f aca="false">IF(#REF!,"AAAAAH9/uz8=",0)</f>
        <v>#REF!</v>
      </c>
      <c r="BM82" s="22" t="e">
        <f aca="false">AND(#REF!,"AAAAAH9/u0A=")</f>
        <v>#VALUE!</v>
      </c>
      <c r="BN82" s="22" t="e">
        <f aca="false">AND(#REF!,"AAAAAH9/u0E=")</f>
        <v>#VALUE!</v>
      </c>
      <c r="BO82" s="22" t="e">
        <f aca="false">AND(#REF!,"AAAAAH9/u0I=")</f>
        <v>#VALUE!</v>
      </c>
      <c r="BP82" s="22" t="e">
        <f aca="false">AND(#REF!,"AAAAAH9/u0M=")</f>
        <v>#VALUE!</v>
      </c>
      <c r="BQ82" s="22" t="e">
        <f aca="false">AND(#REF!,"AAAAAH9/u0Q=")</f>
        <v>#VALUE!</v>
      </c>
      <c r="BR82" s="22" t="e">
        <f aca="false">AND(#REF!,"AAAAAH9/u0U=")</f>
        <v>#VALUE!</v>
      </c>
      <c r="BS82" s="22" t="e">
        <f aca="false">AND(#REF!,"AAAAAH9/u0Y=")</f>
        <v>#VALUE!</v>
      </c>
      <c r="BT82" s="22" t="e">
        <f aca="false">AND(#REF!,"AAAAAH9/u0c=")</f>
        <v>#VALUE!</v>
      </c>
      <c r="BU82" s="22" t="e">
        <f aca="false">IF(#REF!,"AAAAAH9/u0g=",0)</f>
        <v>#REF!</v>
      </c>
      <c r="BV82" s="22" t="e">
        <f aca="false">AND(#REF!,"AAAAAH9/u0k=")</f>
        <v>#VALUE!</v>
      </c>
      <c r="BW82" s="22" t="e">
        <f aca="false">AND(#REF!,"AAAAAH9/u0o=")</f>
        <v>#VALUE!</v>
      </c>
      <c r="BX82" s="22" t="e">
        <f aca="false">AND(#REF!,"AAAAAH9/u0s=")</f>
        <v>#VALUE!</v>
      </c>
      <c r="BY82" s="22" t="e">
        <f aca="false">AND(#REF!,"AAAAAH9/u0w=")</f>
        <v>#VALUE!</v>
      </c>
      <c r="BZ82" s="22" t="e">
        <f aca="false">AND(#REF!,"AAAAAH9/u00=")</f>
        <v>#VALUE!</v>
      </c>
      <c r="CA82" s="22" t="e">
        <f aca="false">AND(#REF!,"AAAAAH9/u04=")</f>
        <v>#VALUE!</v>
      </c>
      <c r="CB82" s="22" t="e">
        <f aca="false">AND(#REF!,"AAAAAH9/u08=")</f>
        <v>#VALUE!</v>
      </c>
      <c r="CC82" s="22" t="e">
        <f aca="false">AND(#REF!,"AAAAAH9/u1A=")</f>
        <v>#VALUE!</v>
      </c>
      <c r="CD82" s="22" t="e">
        <f aca="false">IF(#REF!,"AAAAAH9/u1E=",0)</f>
        <v>#REF!</v>
      </c>
      <c r="CE82" s="22" t="e">
        <f aca="false">AND(#REF!,"AAAAAH9/u1I=")</f>
        <v>#VALUE!</v>
      </c>
      <c r="CF82" s="22" t="e">
        <f aca="false">AND(#REF!,"AAAAAH9/u1M=")</f>
        <v>#VALUE!</v>
      </c>
      <c r="CG82" s="22" t="e">
        <f aca="false">AND(#REF!,"AAAAAH9/u1Q=")</f>
        <v>#VALUE!</v>
      </c>
      <c r="CH82" s="22" t="e">
        <f aca="false">AND(#REF!,"AAAAAH9/u1U=")</f>
        <v>#VALUE!</v>
      </c>
      <c r="CI82" s="22" t="e">
        <f aca="false">AND(#REF!,"AAAAAH9/u1Y=")</f>
        <v>#VALUE!</v>
      </c>
      <c r="CJ82" s="22" t="e">
        <f aca="false">AND(#REF!,"AAAAAH9/u1c=")</f>
        <v>#VALUE!</v>
      </c>
      <c r="CK82" s="22" t="e">
        <f aca="false">AND(#REF!,"AAAAAH9/u1g=")</f>
        <v>#VALUE!</v>
      </c>
      <c r="CL82" s="22" t="e">
        <f aca="false">AND(#REF!,"AAAAAH9/u1k=")</f>
        <v>#VALUE!</v>
      </c>
      <c r="CM82" s="22" t="e">
        <f aca="false">IF(#REF!,"AAAAAH9/u1o=",0)</f>
        <v>#REF!</v>
      </c>
      <c r="CN82" s="22" t="e">
        <f aca="false">AND(#REF!,"AAAAAH9/u1s=")</f>
        <v>#VALUE!</v>
      </c>
      <c r="CO82" s="22" t="e">
        <f aca="false">AND(#REF!,"AAAAAH9/u1w=")</f>
        <v>#VALUE!</v>
      </c>
      <c r="CP82" s="22" t="e">
        <f aca="false">AND(#REF!,"AAAAAH9/u10=")</f>
        <v>#VALUE!</v>
      </c>
      <c r="CQ82" s="22" t="e">
        <f aca="false">AND(#REF!,"AAAAAH9/u14=")</f>
        <v>#VALUE!</v>
      </c>
      <c r="CR82" s="22" t="e">
        <f aca="false">AND(#REF!,"AAAAAH9/u18=")</f>
        <v>#VALUE!</v>
      </c>
      <c r="CS82" s="22" t="e">
        <f aca="false">AND(#REF!,"AAAAAH9/u2A=")</f>
        <v>#VALUE!</v>
      </c>
      <c r="CT82" s="22" t="e">
        <f aca="false">AND(#REF!,"AAAAAH9/u2E=")</f>
        <v>#VALUE!</v>
      </c>
      <c r="CU82" s="22" t="e">
        <f aca="false">AND(#REF!,"AAAAAH9/u2I=")</f>
        <v>#VALUE!</v>
      </c>
      <c r="CV82" s="22" t="e">
        <f aca="false">IF(#REF!,"AAAAAH9/u2M=",0)</f>
        <v>#REF!</v>
      </c>
      <c r="CW82" s="22" t="e">
        <f aca="false">AND(#REF!,"AAAAAH9/u2Q=")</f>
        <v>#VALUE!</v>
      </c>
      <c r="CX82" s="22" t="e">
        <f aca="false">AND(#REF!,"AAAAAH9/u2U=")</f>
        <v>#VALUE!</v>
      </c>
      <c r="CY82" s="22" t="e">
        <f aca="false">AND(#REF!,"AAAAAH9/u2Y=")</f>
        <v>#VALUE!</v>
      </c>
      <c r="CZ82" s="22" t="e">
        <f aca="false">AND(#REF!,"AAAAAH9/u2c=")</f>
        <v>#VALUE!</v>
      </c>
      <c r="DA82" s="22" t="e">
        <f aca="false">AND(#REF!,"AAAAAH9/u2g=")</f>
        <v>#VALUE!</v>
      </c>
      <c r="DB82" s="22" t="e">
        <f aca="false">AND(#REF!,"AAAAAH9/u2k=")</f>
        <v>#VALUE!</v>
      </c>
      <c r="DC82" s="22" t="e">
        <f aca="false">AND(#REF!,"AAAAAH9/u2o=")</f>
        <v>#VALUE!</v>
      </c>
      <c r="DD82" s="22" t="e">
        <f aca="false">AND(#REF!,"AAAAAH9/u2s=")</f>
        <v>#VALUE!</v>
      </c>
      <c r="DE82" s="22" t="e">
        <f aca="false">IF(#REF!,"AAAAAH9/u2w=",0)</f>
        <v>#REF!</v>
      </c>
      <c r="DF82" s="22" t="e">
        <f aca="false">AND(#REF!,"AAAAAH9/u20=")</f>
        <v>#VALUE!</v>
      </c>
      <c r="DG82" s="22" t="e">
        <f aca="false">AND(#REF!,"AAAAAH9/u24=")</f>
        <v>#VALUE!</v>
      </c>
      <c r="DH82" s="22" t="e">
        <f aca="false">AND(#REF!,"AAAAAH9/u28=")</f>
        <v>#VALUE!</v>
      </c>
      <c r="DI82" s="22" t="e">
        <f aca="false">AND(#REF!,"AAAAAH9/u3A=")</f>
        <v>#VALUE!</v>
      </c>
      <c r="DJ82" s="22" t="e">
        <f aca="false">AND(#REF!,"AAAAAH9/u3E=")</f>
        <v>#VALUE!</v>
      </c>
      <c r="DK82" s="22" t="e">
        <f aca="false">AND(#REF!,"AAAAAH9/u3I=")</f>
        <v>#VALUE!</v>
      </c>
      <c r="DL82" s="22" t="e">
        <f aca="false">AND(#REF!,"AAAAAH9/u3M=")</f>
        <v>#VALUE!</v>
      </c>
      <c r="DM82" s="22" t="e">
        <f aca="false">AND(#REF!,"AAAAAH9/u3Q=")</f>
        <v>#VALUE!</v>
      </c>
      <c r="DN82" s="22" t="e">
        <f aca="false">IF(#REF!,"AAAAAH9/u3U=",0)</f>
        <v>#REF!</v>
      </c>
      <c r="DO82" s="22" t="e">
        <f aca="false">AND(#REF!,"AAAAAH9/u3Y=")</f>
        <v>#VALUE!</v>
      </c>
      <c r="DP82" s="22" t="e">
        <f aca="false">AND(#REF!,"AAAAAH9/u3c=")</f>
        <v>#VALUE!</v>
      </c>
      <c r="DQ82" s="22" t="e">
        <f aca="false">AND(#REF!,"AAAAAH9/u3g=")</f>
        <v>#VALUE!</v>
      </c>
      <c r="DR82" s="22" t="e">
        <f aca="false">AND(#REF!,"AAAAAH9/u3k=")</f>
        <v>#VALUE!</v>
      </c>
      <c r="DS82" s="22" t="e">
        <f aca="false">AND(#REF!,"AAAAAH9/u3o=")</f>
        <v>#VALUE!</v>
      </c>
      <c r="DT82" s="22" t="e">
        <f aca="false">AND(#REF!,"AAAAAH9/u3s=")</f>
        <v>#VALUE!</v>
      </c>
      <c r="DU82" s="22" t="e">
        <f aca="false">AND(#REF!,"AAAAAH9/u3w=")</f>
        <v>#VALUE!</v>
      </c>
      <c r="DV82" s="22" t="e">
        <f aca="false">AND(#REF!,"AAAAAH9/u30=")</f>
        <v>#VALUE!</v>
      </c>
      <c r="DW82" s="22" t="e">
        <f aca="false">IF(#REF!,"AAAAAH9/u34=",0)</f>
        <v>#REF!</v>
      </c>
      <c r="DX82" s="22" t="e">
        <f aca="false">AND(#REF!,"AAAAAH9/u38=")</f>
        <v>#VALUE!</v>
      </c>
      <c r="DY82" s="22" t="e">
        <f aca="false">AND(#REF!,"AAAAAH9/u4A=")</f>
        <v>#VALUE!</v>
      </c>
      <c r="DZ82" s="22" t="e">
        <f aca="false">AND(#REF!,"AAAAAH9/u4E=")</f>
        <v>#VALUE!</v>
      </c>
      <c r="EA82" s="22" t="e">
        <f aca="false">AND(#REF!,"AAAAAH9/u4I=")</f>
        <v>#VALUE!</v>
      </c>
      <c r="EB82" s="22" t="e">
        <f aca="false">AND(#REF!,"AAAAAH9/u4M=")</f>
        <v>#VALUE!</v>
      </c>
      <c r="EC82" s="22" t="e">
        <f aca="false">AND(#REF!,"AAAAAH9/u4Q=")</f>
        <v>#VALUE!</v>
      </c>
      <c r="ED82" s="22" t="e">
        <f aca="false">AND(#REF!,"AAAAAH9/u4U=")</f>
        <v>#VALUE!</v>
      </c>
      <c r="EE82" s="22" t="e">
        <f aca="false">AND(#REF!,"AAAAAH9/u4Y=")</f>
        <v>#VALUE!</v>
      </c>
      <c r="EF82" s="22" t="e">
        <f aca="false">IF(#REF!,"AAAAAH9/u4c=",0)</f>
        <v>#REF!</v>
      </c>
      <c r="EG82" s="22" t="e">
        <f aca="false">AND(#REF!,"AAAAAH9/u4g=")</f>
        <v>#VALUE!</v>
      </c>
      <c r="EH82" s="22" t="e">
        <f aca="false">AND(#REF!,"AAAAAH9/u4k=")</f>
        <v>#VALUE!</v>
      </c>
      <c r="EI82" s="22" t="e">
        <f aca="false">AND(#REF!,"AAAAAH9/u4o=")</f>
        <v>#VALUE!</v>
      </c>
      <c r="EJ82" s="22" t="e">
        <f aca="false">AND(#REF!,"AAAAAH9/u4s=")</f>
        <v>#VALUE!</v>
      </c>
      <c r="EK82" s="22" t="e">
        <f aca="false">AND(#REF!,"AAAAAH9/u4w=")</f>
        <v>#VALUE!</v>
      </c>
      <c r="EL82" s="22" t="e">
        <f aca="false">AND(#REF!,"AAAAAH9/u40=")</f>
        <v>#VALUE!</v>
      </c>
      <c r="EM82" s="22" t="e">
        <f aca="false">AND(#REF!,"AAAAAH9/u44=")</f>
        <v>#VALUE!</v>
      </c>
      <c r="EN82" s="22" t="e">
        <f aca="false">AND(#REF!,"AAAAAH9/u48=")</f>
        <v>#VALUE!</v>
      </c>
      <c r="EO82" s="22" t="e">
        <f aca="false">IF(#REF!,"AAAAAH9/u5A=",0)</f>
        <v>#REF!</v>
      </c>
      <c r="EP82" s="22" t="e">
        <f aca="false">AND(#REF!,"AAAAAH9/u5E=")</f>
        <v>#VALUE!</v>
      </c>
      <c r="EQ82" s="22" t="e">
        <f aca="false">AND(#REF!,"AAAAAH9/u5I=")</f>
        <v>#VALUE!</v>
      </c>
      <c r="ER82" s="22" t="e">
        <f aca="false">AND(#REF!,"AAAAAH9/u5M=")</f>
        <v>#VALUE!</v>
      </c>
      <c r="ES82" s="22" t="e">
        <f aca="false">AND(#REF!,"AAAAAH9/u5Q=")</f>
        <v>#VALUE!</v>
      </c>
      <c r="ET82" s="22" t="e">
        <f aca="false">AND(#REF!,"AAAAAH9/u5U=")</f>
        <v>#VALUE!</v>
      </c>
      <c r="EU82" s="22" t="e">
        <f aca="false">AND(#REF!,"AAAAAH9/u5Y=")</f>
        <v>#VALUE!</v>
      </c>
      <c r="EV82" s="22" t="e">
        <f aca="false">AND(#REF!,"AAAAAH9/u5c=")</f>
        <v>#VALUE!</v>
      </c>
      <c r="EW82" s="22" t="e">
        <f aca="false">AND(#REF!,"AAAAAH9/u5g=")</f>
        <v>#VALUE!</v>
      </c>
      <c r="EX82" s="22" t="e">
        <f aca="false">IF(#REF!,"AAAAAH9/u5k=",0)</f>
        <v>#REF!</v>
      </c>
      <c r="EY82" s="22" t="e">
        <f aca="false">AND(#REF!,"AAAAAH9/u5o=")</f>
        <v>#VALUE!</v>
      </c>
      <c r="EZ82" s="22" t="e">
        <f aca="false">AND(#REF!,"AAAAAH9/u5s=")</f>
        <v>#VALUE!</v>
      </c>
      <c r="FA82" s="22" t="e">
        <f aca="false">AND(#REF!,"AAAAAH9/u5w=")</f>
        <v>#VALUE!</v>
      </c>
      <c r="FB82" s="22" t="e">
        <f aca="false">AND(#REF!,"AAAAAH9/u50=")</f>
        <v>#VALUE!</v>
      </c>
      <c r="FC82" s="22" t="e">
        <f aca="false">AND(#REF!,"AAAAAH9/u54=")</f>
        <v>#VALUE!</v>
      </c>
      <c r="FD82" s="22" t="e">
        <f aca="false">AND(#REF!,"AAAAAH9/u58=")</f>
        <v>#VALUE!</v>
      </c>
      <c r="FE82" s="22" t="e">
        <f aca="false">AND(#REF!,"AAAAAH9/u6A=")</f>
        <v>#VALUE!</v>
      </c>
      <c r="FF82" s="22" t="e">
        <f aca="false">AND(#REF!,"AAAAAH9/u6E=")</f>
        <v>#VALUE!</v>
      </c>
      <c r="FG82" s="22" t="e">
        <f aca="false">IF(#REF!,"AAAAAH9/u6I=",0)</f>
        <v>#REF!</v>
      </c>
      <c r="FH82" s="22" t="e">
        <f aca="false">AND(#REF!,"AAAAAH9/u6M=")</f>
        <v>#VALUE!</v>
      </c>
      <c r="FI82" s="22" t="e">
        <f aca="false">AND(#REF!,"AAAAAH9/u6Q=")</f>
        <v>#VALUE!</v>
      </c>
      <c r="FJ82" s="22" t="e">
        <f aca="false">AND(#REF!,"AAAAAH9/u6U=")</f>
        <v>#VALUE!</v>
      </c>
      <c r="FK82" s="22" t="e">
        <f aca="false">AND(#REF!,"AAAAAH9/u6Y=")</f>
        <v>#VALUE!</v>
      </c>
      <c r="FL82" s="22" t="e">
        <f aca="false">AND(#REF!,"AAAAAH9/u6c=")</f>
        <v>#VALUE!</v>
      </c>
      <c r="FM82" s="22" t="e">
        <f aca="false">AND(#REF!,"AAAAAH9/u6g=")</f>
        <v>#VALUE!</v>
      </c>
      <c r="FN82" s="22" t="e">
        <f aca="false">AND(#REF!,"AAAAAH9/u6k=")</f>
        <v>#VALUE!</v>
      </c>
      <c r="FO82" s="22" t="e">
        <f aca="false">AND(#REF!,"AAAAAH9/u6o=")</f>
        <v>#VALUE!</v>
      </c>
      <c r="FP82" s="22" t="e">
        <f aca="false">IF(#REF!,"AAAAAH9/u6s=",0)</f>
        <v>#REF!</v>
      </c>
      <c r="FQ82" s="22" t="e">
        <f aca="false">AND(#REF!,"AAAAAH9/u6w=")</f>
        <v>#VALUE!</v>
      </c>
      <c r="FR82" s="22" t="e">
        <f aca="false">AND(#REF!,"AAAAAH9/u60=")</f>
        <v>#VALUE!</v>
      </c>
      <c r="FS82" s="22" t="e">
        <f aca="false">AND(#REF!,"AAAAAH9/u64=")</f>
        <v>#VALUE!</v>
      </c>
      <c r="FT82" s="22" t="e">
        <f aca="false">AND(#REF!,"AAAAAH9/u68=")</f>
        <v>#VALUE!</v>
      </c>
      <c r="FU82" s="22" t="e">
        <f aca="false">AND(#REF!,"AAAAAH9/u7A=")</f>
        <v>#VALUE!</v>
      </c>
      <c r="FV82" s="22" t="e">
        <f aca="false">AND(#REF!,"AAAAAH9/u7E=")</f>
        <v>#VALUE!</v>
      </c>
      <c r="FW82" s="22" t="e">
        <f aca="false">AND(#REF!,"AAAAAH9/u7I=")</f>
        <v>#VALUE!</v>
      </c>
      <c r="FX82" s="22" t="e">
        <f aca="false">AND(#REF!,"AAAAAH9/u7M=")</f>
        <v>#VALUE!</v>
      </c>
      <c r="FY82" s="22" t="e">
        <f aca="false">IF(#REF!,"AAAAAH9/u7Q=",0)</f>
        <v>#REF!</v>
      </c>
      <c r="FZ82" s="22" t="e">
        <f aca="false">AND(#REF!,"AAAAAH9/u7U=")</f>
        <v>#VALUE!</v>
      </c>
      <c r="GA82" s="22" t="e">
        <f aca="false">AND(#REF!,"AAAAAH9/u7Y=")</f>
        <v>#VALUE!</v>
      </c>
      <c r="GB82" s="22" t="e">
        <f aca="false">AND(#REF!,"AAAAAH9/u7c=")</f>
        <v>#VALUE!</v>
      </c>
      <c r="GC82" s="22" t="e">
        <f aca="false">AND(#REF!,"AAAAAH9/u7g=")</f>
        <v>#VALUE!</v>
      </c>
      <c r="GD82" s="22" t="e">
        <f aca="false">AND(#REF!,"AAAAAH9/u7k=")</f>
        <v>#VALUE!</v>
      </c>
      <c r="GE82" s="22" t="e">
        <f aca="false">AND(#REF!,"AAAAAH9/u7o=")</f>
        <v>#VALUE!</v>
      </c>
      <c r="GF82" s="22" t="e">
        <f aca="false">AND(#REF!,"AAAAAH9/u7s=")</f>
        <v>#VALUE!</v>
      </c>
      <c r="GG82" s="22" t="e">
        <f aca="false">AND(#REF!,"AAAAAH9/u7w=")</f>
        <v>#VALUE!</v>
      </c>
      <c r="GH82" s="22" t="e">
        <f aca="false">IF(#REF!,"AAAAAH9/u70=",0)</f>
        <v>#REF!</v>
      </c>
      <c r="GI82" s="22" t="e">
        <f aca="false">AND(#REF!,"AAAAAH9/u74=")</f>
        <v>#VALUE!</v>
      </c>
      <c r="GJ82" s="22" t="e">
        <f aca="false">AND(#REF!,"AAAAAH9/u78=")</f>
        <v>#VALUE!</v>
      </c>
      <c r="GK82" s="22" t="e">
        <f aca="false">AND(#REF!,"AAAAAH9/u8A=")</f>
        <v>#VALUE!</v>
      </c>
      <c r="GL82" s="22" t="e">
        <f aca="false">AND(#REF!,"AAAAAH9/u8E=")</f>
        <v>#VALUE!</v>
      </c>
      <c r="GM82" s="22" t="e">
        <f aca="false">AND(#REF!,"AAAAAH9/u8I=")</f>
        <v>#VALUE!</v>
      </c>
      <c r="GN82" s="22" t="e">
        <f aca="false">AND(#REF!,"AAAAAH9/u8M=")</f>
        <v>#VALUE!</v>
      </c>
      <c r="GO82" s="22" t="e">
        <f aca="false">AND(#REF!,"AAAAAH9/u8Q=")</f>
        <v>#VALUE!</v>
      </c>
      <c r="GP82" s="22" t="e">
        <f aca="false">AND(#REF!,"AAAAAH9/u8U=")</f>
        <v>#VALUE!</v>
      </c>
      <c r="GQ82" s="22" t="e">
        <f aca="false">IF(#REF!,"AAAAAH9/u8Y=",0)</f>
        <v>#REF!</v>
      </c>
      <c r="GR82" s="22" t="e">
        <f aca="false">AND(#REF!,"AAAAAH9/u8c=")</f>
        <v>#VALUE!</v>
      </c>
      <c r="GS82" s="22" t="e">
        <f aca="false">AND(#REF!,"AAAAAH9/u8g=")</f>
        <v>#VALUE!</v>
      </c>
      <c r="GT82" s="22" t="e">
        <f aca="false">AND(#REF!,"AAAAAH9/u8k=")</f>
        <v>#VALUE!</v>
      </c>
      <c r="GU82" s="22" t="e">
        <f aca="false">AND(#REF!,"AAAAAH9/u8o=")</f>
        <v>#VALUE!</v>
      </c>
      <c r="GV82" s="22" t="e">
        <f aca="false">AND(#REF!,"AAAAAH9/u8s=")</f>
        <v>#VALUE!</v>
      </c>
      <c r="GW82" s="22" t="e">
        <f aca="false">AND(#REF!,"AAAAAH9/u8w=")</f>
        <v>#VALUE!</v>
      </c>
      <c r="GX82" s="22" t="e">
        <f aca="false">AND(#REF!,"AAAAAH9/u80=")</f>
        <v>#VALUE!</v>
      </c>
      <c r="GY82" s="22" t="e">
        <f aca="false">AND(#REF!,"AAAAAH9/u84=")</f>
        <v>#VALUE!</v>
      </c>
      <c r="GZ82" s="22" t="e">
        <f aca="false">IF(#REF!,"AAAAAH9/u88=",0)</f>
        <v>#REF!</v>
      </c>
      <c r="HA82" s="22" t="e">
        <f aca="false">AND(#REF!,"AAAAAH9/u9A=")</f>
        <v>#VALUE!</v>
      </c>
      <c r="HB82" s="22" t="e">
        <f aca="false">AND(#REF!,"AAAAAH9/u9E=")</f>
        <v>#VALUE!</v>
      </c>
      <c r="HC82" s="22" t="e">
        <f aca="false">AND(#REF!,"AAAAAH9/u9I=")</f>
        <v>#VALUE!</v>
      </c>
      <c r="HD82" s="22" t="e">
        <f aca="false">AND(#REF!,"AAAAAH9/u9M=")</f>
        <v>#VALUE!</v>
      </c>
      <c r="HE82" s="22" t="e">
        <f aca="false">AND(#REF!,"AAAAAH9/u9Q=")</f>
        <v>#VALUE!</v>
      </c>
      <c r="HF82" s="22" t="e">
        <f aca="false">AND(#REF!,"AAAAAH9/u9U=")</f>
        <v>#VALUE!</v>
      </c>
      <c r="HG82" s="22" t="e">
        <f aca="false">AND(#REF!,"AAAAAH9/u9Y=")</f>
        <v>#VALUE!</v>
      </c>
      <c r="HH82" s="22" t="e">
        <f aca="false">AND(#REF!,"AAAAAH9/u9c=")</f>
        <v>#VALUE!</v>
      </c>
      <c r="HI82" s="22" t="e">
        <f aca="false">IF(#REF!,"AAAAAH9/u9g=",0)</f>
        <v>#REF!</v>
      </c>
      <c r="HJ82" s="22" t="e">
        <f aca="false">AND(#REF!,"AAAAAH9/u9k=")</f>
        <v>#VALUE!</v>
      </c>
      <c r="HK82" s="22" t="e">
        <f aca="false">AND(#REF!,"AAAAAH9/u9o=")</f>
        <v>#VALUE!</v>
      </c>
      <c r="HL82" s="22" t="e">
        <f aca="false">AND(#REF!,"AAAAAH9/u9s=")</f>
        <v>#VALUE!</v>
      </c>
      <c r="HM82" s="22" t="e">
        <f aca="false">AND(#REF!,"AAAAAH9/u9w=")</f>
        <v>#VALUE!</v>
      </c>
      <c r="HN82" s="22" t="e">
        <f aca="false">AND(#REF!,"AAAAAH9/u90=")</f>
        <v>#VALUE!</v>
      </c>
      <c r="HO82" s="22" t="e">
        <f aca="false">AND(#REF!,"AAAAAH9/u94=")</f>
        <v>#VALUE!</v>
      </c>
      <c r="HP82" s="22" t="e">
        <f aca="false">AND(#REF!,"AAAAAH9/u98=")</f>
        <v>#VALUE!</v>
      </c>
      <c r="HQ82" s="22" t="e">
        <f aca="false">AND(#REF!,"AAAAAH9/u+A=")</f>
        <v>#VALUE!</v>
      </c>
      <c r="HR82" s="22" t="e">
        <f aca="false">IF(#REF!,"AAAAAH9/u+E=",0)</f>
        <v>#REF!</v>
      </c>
      <c r="HS82" s="22" t="e">
        <f aca="false">AND(#REF!,"AAAAAH9/u+I=")</f>
        <v>#VALUE!</v>
      </c>
      <c r="HT82" s="22" t="e">
        <f aca="false">AND(#REF!,"AAAAAH9/u+M=")</f>
        <v>#VALUE!</v>
      </c>
      <c r="HU82" s="22" t="e">
        <f aca="false">AND(#REF!,"AAAAAH9/u+Q=")</f>
        <v>#VALUE!</v>
      </c>
      <c r="HV82" s="22" t="e">
        <f aca="false">AND(#REF!,"AAAAAH9/u+U=")</f>
        <v>#VALUE!</v>
      </c>
      <c r="HW82" s="22" t="e">
        <f aca="false">AND(#REF!,"AAAAAH9/u+Y=")</f>
        <v>#VALUE!</v>
      </c>
      <c r="HX82" s="22" t="e">
        <f aca="false">AND(#REF!,"AAAAAH9/u+c=")</f>
        <v>#VALUE!</v>
      </c>
      <c r="HY82" s="22" t="e">
        <f aca="false">AND(#REF!,"AAAAAH9/u+g=")</f>
        <v>#VALUE!</v>
      </c>
      <c r="HZ82" s="22" t="e">
        <f aca="false">AND(#REF!,"AAAAAH9/u+k=")</f>
        <v>#VALUE!</v>
      </c>
      <c r="IA82" s="22" t="e">
        <f aca="false">IF(#REF!,"AAAAAH9/u+o=",0)</f>
        <v>#REF!</v>
      </c>
      <c r="IB82" s="22" t="e">
        <f aca="false">AND(#REF!,"AAAAAH9/u+s=")</f>
        <v>#VALUE!</v>
      </c>
      <c r="IC82" s="22" t="e">
        <f aca="false">AND(#REF!,"AAAAAH9/u+w=")</f>
        <v>#VALUE!</v>
      </c>
      <c r="ID82" s="22" t="e">
        <f aca="false">AND(#REF!,"AAAAAH9/u+0=")</f>
        <v>#VALUE!</v>
      </c>
      <c r="IE82" s="22" t="e">
        <f aca="false">AND(#REF!,"AAAAAH9/u+4=")</f>
        <v>#VALUE!</v>
      </c>
      <c r="IF82" s="22" t="e">
        <f aca="false">AND(#REF!,"AAAAAH9/u+8=")</f>
        <v>#VALUE!</v>
      </c>
      <c r="IG82" s="22" t="e">
        <f aca="false">AND(#REF!,"AAAAAH9/u/A=")</f>
        <v>#VALUE!</v>
      </c>
      <c r="IH82" s="22" t="e">
        <f aca="false">AND(#REF!,"AAAAAH9/u/E=")</f>
        <v>#VALUE!</v>
      </c>
      <c r="II82" s="22" t="e">
        <f aca="false">AND(#REF!,"AAAAAH9/u/I=")</f>
        <v>#VALUE!</v>
      </c>
      <c r="IJ82" s="22" t="e">
        <f aca="false">IF(#REF!,"AAAAAH9/u/M=",0)</f>
        <v>#REF!</v>
      </c>
      <c r="IK82" s="22" t="e">
        <f aca="false">AND(#REF!,"AAAAAH9/u/Q=")</f>
        <v>#VALUE!</v>
      </c>
      <c r="IL82" s="22" t="e">
        <f aca="false">AND(#REF!,"AAAAAH9/u/U=")</f>
        <v>#VALUE!</v>
      </c>
      <c r="IM82" s="22" t="e">
        <f aca="false">AND(#REF!,"AAAAAH9/u/Y=")</f>
        <v>#VALUE!</v>
      </c>
      <c r="IN82" s="22" t="e">
        <f aca="false">AND(#REF!,"AAAAAH9/u/c=")</f>
        <v>#VALUE!</v>
      </c>
      <c r="IO82" s="22" t="e">
        <f aca="false">AND(#REF!,"AAAAAH9/u/g=")</f>
        <v>#VALUE!</v>
      </c>
      <c r="IP82" s="22" t="e">
        <f aca="false">AND(#REF!,"AAAAAH9/u/k=")</f>
        <v>#VALUE!</v>
      </c>
      <c r="IQ82" s="22" t="e">
        <f aca="false">AND(#REF!,"AAAAAH9/u/o=")</f>
        <v>#VALUE!</v>
      </c>
      <c r="IR82" s="22" t="e">
        <f aca="false">AND(#REF!,"AAAAAH9/u/s=")</f>
        <v>#VALUE!</v>
      </c>
      <c r="IS82" s="22" t="e">
        <f aca="false">IF(#REF!,"AAAAAH9/u/w=",0)</f>
        <v>#REF!</v>
      </c>
      <c r="IT82" s="22" t="e">
        <f aca="false">AND(#REF!,"AAAAAH9/u/0=")</f>
        <v>#VALUE!</v>
      </c>
      <c r="IU82" s="22" t="e">
        <f aca="false">AND(#REF!,"AAAAAH9/u/4=")</f>
        <v>#VALUE!</v>
      </c>
      <c r="IV82" s="22" t="e">
        <f aca="false">AND(#REF!,"AAAAAH9/u/8=")</f>
        <v>#VALUE!</v>
      </c>
    </row>
    <row r="83" customFormat="false" ht="12.75" hidden="false" customHeight="false" outlineLevel="0" collapsed="false">
      <c r="A83" s="22" t="e">
        <f aca="false">AND(#REF!,"AAAAAH133wA=")</f>
        <v>#VALUE!</v>
      </c>
      <c r="B83" s="22" t="e">
        <f aca="false">AND(#REF!,"AAAAAH133wE=")</f>
        <v>#VALUE!</v>
      </c>
      <c r="C83" s="22" t="e">
        <f aca="false">AND(#REF!,"AAAAAH133wI=")</f>
        <v>#VALUE!</v>
      </c>
      <c r="D83" s="22" t="e">
        <f aca="false">AND(#REF!,"AAAAAH133wM=")</f>
        <v>#VALUE!</v>
      </c>
      <c r="E83" s="22" t="e">
        <f aca="false">AND(#REF!,"AAAAAH133wQ=")</f>
        <v>#VALUE!</v>
      </c>
      <c r="F83" s="22" t="e">
        <f aca="false">IF(#REF!,"AAAAAH133wU=",0)</f>
        <v>#REF!</v>
      </c>
      <c r="G83" s="22" t="e">
        <f aca="false">AND(#REF!,"AAAAAH133wY=")</f>
        <v>#VALUE!</v>
      </c>
      <c r="H83" s="22" t="e">
        <f aca="false">AND(#REF!,"AAAAAH133wc=")</f>
        <v>#VALUE!</v>
      </c>
      <c r="I83" s="22" t="e">
        <f aca="false">AND(#REF!,"AAAAAH133wg=")</f>
        <v>#VALUE!</v>
      </c>
      <c r="J83" s="22" t="e">
        <f aca="false">AND(#REF!,"AAAAAH133wk=")</f>
        <v>#VALUE!</v>
      </c>
      <c r="K83" s="22" t="e">
        <f aca="false">AND(#REF!,"AAAAAH133wo=")</f>
        <v>#VALUE!</v>
      </c>
      <c r="L83" s="22" t="e">
        <f aca="false">AND(#REF!,"AAAAAH133ws=")</f>
        <v>#VALUE!</v>
      </c>
      <c r="M83" s="22" t="e">
        <f aca="false">AND(#REF!,"AAAAAH133ww=")</f>
        <v>#VALUE!</v>
      </c>
      <c r="N83" s="22" t="e">
        <f aca="false">AND(#REF!,"AAAAAH133w0=")</f>
        <v>#VALUE!</v>
      </c>
      <c r="O83" s="22" t="e">
        <f aca="false">IF(#REF!,"AAAAAH133w4=",0)</f>
        <v>#REF!</v>
      </c>
      <c r="P83" s="22" t="e">
        <f aca="false">AND(#REF!,"AAAAAH133w8=")</f>
        <v>#VALUE!</v>
      </c>
      <c r="Q83" s="22" t="e">
        <f aca="false">AND(#REF!,"AAAAAH133xA=")</f>
        <v>#VALUE!</v>
      </c>
      <c r="R83" s="22" t="e">
        <f aca="false">AND(#REF!,"AAAAAH133xE=")</f>
        <v>#VALUE!</v>
      </c>
      <c r="S83" s="22" t="e">
        <f aca="false">AND(#REF!,"AAAAAH133xI=")</f>
        <v>#VALUE!</v>
      </c>
      <c r="T83" s="22" t="e">
        <f aca="false">AND(#REF!,"AAAAAH133xM=")</f>
        <v>#VALUE!</v>
      </c>
      <c r="U83" s="22" t="e">
        <f aca="false">AND(#REF!,"AAAAAH133xQ=")</f>
        <v>#VALUE!</v>
      </c>
      <c r="V83" s="22" t="e">
        <f aca="false">AND(#REF!,"AAAAAH133xU=")</f>
        <v>#VALUE!</v>
      </c>
      <c r="W83" s="22" t="e">
        <f aca="false">AND(#REF!,"AAAAAH133xY=")</f>
        <v>#VALUE!</v>
      </c>
      <c r="X83" s="22" t="e">
        <f aca="false">IF(#REF!,"AAAAAH133xc=",0)</f>
        <v>#REF!</v>
      </c>
      <c r="Y83" s="22" t="e">
        <f aca="false">AND(#REF!,"AAAAAH133xg=")</f>
        <v>#VALUE!</v>
      </c>
      <c r="Z83" s="22" t="e">
        <f aca="false">AND(#REF!,"AAAAAH133xk=")</f>
        <v>#VALUE!</v>
      </c>
      <c r="AA83" s="22" t="e">
        <f aca="false">AND(#REF!,"AAAAAH133xo=")</f>
        <v>#VALUE!</v>
      </c>
      <c r="AB83" s="22" t="e">
        <f aca="false">AND(#REF!,"AAAAAH133xs=")</f>
        <v>#VALUE!</v>
      </c>
      <c r="AC83" s="22" t="e">
        <f aca="false">AND(#REF!,"AAAAAH133xw=")</f>
        <v>#VALUE!</v>
      </c>
      <c r="AD83" s="22" t="e">
        <f aca="false">AND(#REF!,"AAAAAH133x0=")</f>
        <v>#VALUE!</v>
      </c>
      <c r="AE83" s="22" t="e">
        <f aca="false">AND(#REF!,"AAAAAH133x4=")</f>
        <v>#VALUE!</v>
      </c>
      <c r="AF83" s="22" t="e">
        <f aca="false">AND(#REF!,"AAAAAH133x8=")</f>
        <v>#VALUE!</v>
      </c>
      <c r="AG83" s="22" t="e">
        <f aca="false">IF(#REF!,"AAAAAH133yA=",0)</f>
        <v>#REF!</v>
      </c>
      <c r="AH83" s="22" t="e">
        <f aca="false">AND(#REF!,"AAAAAH133yE=")</f>
        <v>#VALUE!</v>
      </c>
      <c r="AI83" s="22" t="e">
        <f aca="false">AND(#REF!,"AAAAAH133yI=")</f>
        <v>#VALUE!</v>
      </c>
      <c r="AJ83" s="22" t="e">
        <f aca="false">AND(#REF!,"AAAAAH133yM=")</f>
        <v>#VALUE!</v>
      </c>
      <c r="AK83" s="22" t="e">
        <f aca="false">AND(#REF!,"AAAAAH133yQ=")</f>
        <v>#VALUE!</v>
      </c>
      <c r="AL83" s="22" t="e">
        <f aca="false">AND(#REF!,"AAAAAH133yU=")</f>
        <v>#VALUE!</v>
      </c>
      <c r="AM83" s="22" t="e">
        <f aca="false">AND(#REF!,"AAAAAH133yY=")</f>
        <v>#VALUE!</v>
      </c>
      <c r="AN83" s="22" t="e">
        <f aca="false">AND(#REF!,"AAAAAH133yc=")</f>
        <v>#VALUE!</v>
      </c>
      <c r="AO83" s="22" t="e">
        <f aca="false">AND(#REF!,"AAAAAH133yg=")</f>
        <v>#VALUE!</v>
      </c>
      <c r="AP83" s="22" t="e">
        <f aca="false">IF(#REF!,"AAAAAH133yk=",0)</f>
        <v>#REF!</v>
      </c>
      <c r="AQ83" s="22" t="e">
        <f aca="false">AND(#REF!,"AAAAAH133yo=")</f>
        <v>#VALUE!</v>
      </c>
      <c r="AR83" s="22" t="e">
        <f aca="false">AND(#REF!,"AAAAAH133ys=")</f>
        <v>#VALUE!</v>
      </c>
      <c r="AS83" s="22" t="e">
        <f aca="false">AND(#REF!,"AAAAAH133yw=")</f>
        <v>#VALUE!</v>
      </c>
      <c r="AT83" s="22" t="e">
        <f aca="false">AND(#REF!,"AAAAAH133y0=")</f>
        <v>#VALUE!</v>
      </c>
      <c r="AU83" s="22" t="e">
        <f aca="false">AND(#REF!,"AAAAAH133y4=")</f>
        <v>#VALUE!</v>
      </c>
      <c r="AV83" s="22" t="e">
        <f aca="false">AND(#REF!,"AAAAAH133y8=")</f>
        <v>#VALUE!</v>
      </c>
      <c r="AW83" s="22" t="e">
        <f aca="false">AND(#REF!,"AAAAAH133zA=")</f>
        <v>#VALUE!</v>
      </c>
      <c r="AX83" s="22" t="e">
        <f aca="false">AND(#REF!,"AAAAAH133zE=")</f>
        <v>#VALUE!</v>
      </c>
      <c r="AY83" s="22" t="e">
        <f aca="false">IF(#REF!,"AAAAAH133zI=",0)</f>
        <v>#REF!</v>
      </c>
      <c r="AZ83" s="22" t="e">
        <f aca="false">AND(#REF!,"AAAAAH133zM=")</f>
        <v>#VALUE!</v>
      </c>
      <c r="BA83" s="22" t="e">
        <f aca="false">AND(#REF!,"AAAAAH133zQ=")</f>
        <v>#VALUE!</v>
      </c>
      <c r="BB83" s="22" t="e">
        <f aca="false">AND(#REF!,"AAAAAH133zU=")</f>
        <v>#VALUE!</v>
      </c>
      <c r="BC83" s="22" t="e">
        <f aca="false">AND(#REF!,"AAAAAH133zY=")</f>
        <v>#VALUE!</v>
      </c>
      <c r="BD83" s="22" t="e">
        <f aca="false">AND(#REF!,"AAAAAH133zc=")</f>
        <v>#VALUE!</v>
      </c>
      <c r="BE83" s="22" t="e">
        <f aca="false">AND(#REF!,"AAAAAH133zg=")</f>
        <v>#VALUE!</v>
      </c>
      <c r="BF83" s="22" t="e">
        <f aca="false">AND(#REF!,"AAAAAH133zk=")</f>
        <v>#VALUE!</v>
      </c>
      <c r="BG83" s="22" t="e">
        <f aca="false">AND(#REF!,"AAAAAH133zo=")</f>
        <v>#VALUE!</v>
      </c>
      <c r="BH83" s="22" t="e">
        <f aca="false">IF(#REF!,"AAAAAH133zs=",0)</f>
        <v>#REF!</v>
      </c>
      <c r="BI83" s="22" t="e">
        <f aca="false">AND(#REF!,"AAAAAH133zw=")</f>
        <v>#VALUE!</v>
      </c>
      <c r="BJ83" s="22" t="e">
        <f aca="false">AND(#REF!,"AAAAAH133z0=")</f>
        <v>#VALUE!</v>
      </c>
      <c r="BK83" s="22" t="e">
        <f aca="false">AND(#REF!,"AAAAAH133z4=")</f>
        <v>#VALUE!</v>
      </c>
      <c r="BL83" s="22" t="e">
        <f aca="false">AND(#REF!,"AAAAAH133z8=")</f>
        <v>#VALUE!</v>
      </c>
      <c r="BM83" s="22" t="e">
        <f aca="false">AND(#REF!,"AAAAAH1330A=")</f>
        <v>#VALUE!</v>
      </c>
      <c r="BN83" s="22" t="e">
        <f aca="false">AND(#REF!,"AAAAAH1330E=")</f>
        <v>#VALUE!</v>
      </c>
      <c r="BO83" s="22" t="e">
        <f aca="false">AND(#REF!,"AAAAAH1330I=")</f>
        <v>#VALUE!</v>
      </c>
      <c r="BP83" s="22" t="e">
        <f aca="false">AND(#REF!,"AAAAAH1330M=")</f>
        <v>#VALUE!</v>
      </c>
      <c r="BQ83" s="22" t="e">
        <f aca="false">IF(#REF!,"AAAAAH1330Q=",0)</f>
        <v>#REF!</v>
      </c>
      <c r="BR83" s="22" t="e">
        <f aca="false">AND(#REF!,"AAAAAH1330U=")</f>
        <v>#VALUE!</v>
      </c>
      <c r="BS83" s="22" t="e">
        <f aca="false">AND(#REF!,"AAAAAH1330Y=")</f>
        <v>#VALUE!</v>
      </c>
      <c r="BT83" s="22" t="e">
        <f aca="false">AND(#REF!,"AAAAAH1330c=")</f>
        <v>#VALUE!</v>
      </c>
      <c r="BU83" s="22" t="e">
        <f aca="false">AND(#REF!,"AAAAAH1330g=")</f>
        <v>#VALUE!</v>
      </c>
      <c r="BV83" s="22" t="e">
        <f aca="false">AND(#REF!,"AAAAAH1330k=")</f>
        <v>#VALUE!</v>
      </c>
      <c r="BW83" s="22" t="e">
        <f aca="false">AND(#REF!,"AAAAAH1330o=")</f>
        <v>#VALUE!</v>
      </c>
      <c r="BX83" s="22" t="e">
        <f aca="false">AND(#REF!,"AAAAAH1330s=")</f>
        <v>#VALUE!</v>
      </c>
      <c r="BY83" s="22" t="e">
        <f aca="false">AND(#REF!,"AAAAAH1330w=")</f>
        <v>#VALUE!</v>
      </c>
      <c r="BZ83" s="22" t="e">
        <f aca="false">IF(#REF!,"AAAAAH13300=",0)</f>
        <v>#REF!</v>
      </c>
      <c r="CA83" s="22" t="e">
        <f aca="false">AND(#REF!,"AAAAAH13304=")</f>
        <v>#VALUE!</v>
      </c>
      <c r="CB83" s="22" t="e">
        <f aca="false">AND(#REF!,"AAAAAH13308=")</f>
        <v>#VALUE!</v>
      </c>
      <c r="CC83" s="22" t="e">
        <f aca="false">AND(#REF!,"AAAAAH1331A=")</f>
        <v>#VALUE!</v>
      </c>
      <c r="CD83" s="22" t="e">
        <f aca="false">AND(#REF!,"AAAAAH1331E=")</f>
        <v>#VALUE!</v>
      </c>
      <c r="CE83" s="22" t="e">
        <f aca="false">AND(#REF!,"AAAAAH1331I=")</f>
        <v>#VALUE!</v>
      </c>
      <c r="CF83" s="22" t="e">
        <f aca="false">AND(#REF!,"AAAAAH1331M=")</f>
        <v>#VALUE!</v>
      </c>
      <c r="CG83" s="22" t="e">
        <f aca="false">AND(#REF!,"AAAAAH1331Q=")</f>
        <v>#VALUE!</v>
      </c>
      <c r="CH83" s="22" t="e">
        <f aca="false">AND(#REF!,"AAAAAH1331U=")</f>
        <v>#VALUE!</v>
      </c>
      <c r="CI83" s="22" t="e">
        <f aca="false">IF(#REF!,"AAAAAH1331Y=",0)</f>
        <v>#REF!</v>
      </c>
      <c r="CJ83" s="22" t="e">
        <f aca="false">AND(#REF!,"AAAAAH1331c=")</f>
        <v>#VALUE!</v>
      </c>
      <c r="CK83" s="22" t="e">
        <f aca="false">AND(#REF!,"AAAAAH1331g=")</f>
        <v>#VALUE!</v>
      </c>
      <c r="CL83" s="22" t="e">
        <f aca="false">AND(#REF!,"AAAAAH1331k=")</f>
        <v>#VALUE!</v>
      </c>
      <c r="CM83" s="22" t="e">
        <f aca="false">AND(#REF!,"AAAAAH1331o=")</f>
        <v>#VALUE!</v>
      </c>
      <c r="CN83" s="22" t="e">
        <f aca="false">AND(#REF!,"AAAAAH1331s=")</f>
        <v>#VALUE!</v>
      </c>
      <c r="CO83" s="22" t="e">
        <f aca="false">AND(#REF!,"AAAAAH1331w=")</f>
        <v>#VALUE!</v>
      </c>
      <c r="CP83" s="22" t="e">
        <f aca="false">AND(#REF!,"AAAAAH13310=")</f>
        <v>#VALUE!</v>
      </c>
      <c r="CQ83" s="22" t="e">
        <f aca="false">AND(#REF!,"AAAAAH13314=")</f>
        <v>#VALUE!</v>
      </c>
      <c r="CR83" s="22" t="e">
        <f aca="false">IF(#REF!,"AAAAAH13318=",0)</f>
        <v>#REF!</v>
      </c>
      <c r="CS83" s="22" t="e">
        <f aca="false">AND(#REF!,"AAAAAH1332A=")</f>
        <v>#VALUE!</v>
      </c>
      <c r="CT83" s="22" t="e">
        <f aca="false">AND(#REF!,"AAAAAH1332E=")</f>
        <v>#VALUE!</v>
      </c>
      <c r="CU83" s="22" t="e">
        <f aca="false">AND(#REF!,"AAAAAH1332I=")</f>
        <v>#VALUE!</v>
      </c>
      <c r="CV83" s="22" t="e">
        <f aca="false">AND(#REF!,"AAAAAH1332M=")</f>
        <v>#VALUE!</v>
      </c>
      <c r="CW83" s="22" t="e">
        <f aca="false">AND(#REF!,"AAAAAH1332Q=")</f>
        <v>#VALUE!</v>
      </c>
      <c r="CX83" s="22" t="e">
        <f aca="false">AND(#REF!,"AAAAAH1332U=")</f>
        <v>#VALUE!</v>
      </c>
      <c r="CY83" s="22" t="e">
        <f aca="false">AND(#REF!,"AAAAAH1332Y=")</f>
        <v>#VALUE!</v>
      </c>
      <c r="CZ83" s="22" t="e">
        <f aca="false">AND(#REF!,"AAAAAH1332c=")</f>
        <v>#VALUE!</v>
      </c>
      <c r="DA83" s="22" t="e">
        <f aca="false">IF(#REF!,"AAAAAH1332g=",0)</f>
        <v>#REF!</v>
      </c>
      <c r="DB83" s="22" t="e">
        <f aca="false">AND(#REF!,"AAAAAH1332k=")</f>
        <v>#VALUE!</v>
      </c>
      <c r="DC83" s="22" t="e">
        <f aca="false">AND(#REF!,"AAAAAH1332o=")</f>
        <v>#VALUE!</v>
      </c>
      <c r="DD83" s="22" t="e">
        <f aca="false">AND(#REF!,"AAAAAH1332s=")</f>
        <v>#VALUE!</v>
      </c>
      <c r="DE83" s="22" t="e">
        <f aca="false">AND(#REF!,"AAAAAH1332w=")</f>
        <v>#VALUE!</v>
      </c>
      <c r="DF83" s="22" t="e">
        <f aca="false">AND(#REF!,"AAAAAH13320=")</f>
        <v>#VALUE!</v>
      </c>
      <c r="DG83" s="22" t="e">
        <f aca="false">AND(#REF!,"AAAAAH13324=")</f>
        <v>#VALUE!</v>
      </c>
      <c r="DH83" s="22" t="e">
        <f aca="false">AND(#REF!,"AAAAAH13328=")</f>
        <v>#VALUE!</v>
      </c>
      <c r="DI83" s="22" t="e">
        <f aca="false">AND(#REF!,"AAAAAH1333A=")</f>
        <v>#VALUE!</v>
      </c>
      <c r="DJ83" s="22" t="e">
        <f aca="false">IF(#REF!,"AAAAAH1333E=",0)</f>
        <v>#REF!</v>
      </c>
      <c r="DK83" s="22" t="e">
        <f aca="false">AND(#REF!,"AAAAAH1333I=")</f>
        <v>#VALUE!</v>
      </c>
      <c r="DL83" s="22" t="e">
        <f aca="false">AND(#REF!,"AAAAAH1333M=")</f>
        <v>#VALUE!</v>
      </c>
      <c r="DM83" s="22" t="e">
        <f aca="false">AND(#REF!,"AAAAAH1333Q=")</f>
        <v>#VALUE!</v>
      </c>
      <c r="DN83" s="22" t="e">
        <f aca="false">AND(#REF!,"AAAAAH1333U=")</f>
        <v>#VALUE!</v>
      </c>
      <c r="DO83" s="22" t="e">
        <f aca="false">AND(#REF!,"AAAAAH1333Y=")</f>
        <v>#VALUE!</v>
      </c>
      <c r="DP83" s="22" t="e">
        <f aca="false">AND(#REF!,"AAAAAH1333c=")</f>
        <v>#VALUE!</v>
      </c>
      <c r="DQ83" s="22" t="e">
        <f aca="false">AND(#REF!,"AAAAAH1333g=")</f>
        <v>#VALUE!</v>
      </c>
      <c r="DR83" s="22" t="e">
        <f aca="false">AND(#REF!,"AAAAAH1333k=")</f>
        <v>#VALUE!</v>
      </c>
      <c r="DS83" s="22" t="e">
        <f aca="false">IF(#REF!,"AAAAAH1333o=",0)</f>
        <v>#REF!</v>
      </c>
      <c r="DT83" s="22" t="e">
        <f aca="false">AND(#REF!,"AAAAAH1333s=")</f>
        <v>#VALUE!</v>
      </c>
      <c r="DU83" s="22" t="e">
        <f aca="false">AND(#REF!,"AAAAAH1333w=")</f>
        <v>#VALUE!</v>
      </c>
      <c r="DV83" s="22" t="e">
        <f aca="false">AND(#REF!,"AAAAAH13330=")</f>
        <v>#VALUE!</v>
      </c>
      <c r="DW83" s="22" t="e">
        <f aca="false">AND(#REF!,"AAAAAH13334=")</f>
        <v>#VALUE!</v>
      </c>
      <c r="DX83" s="22" t="e">
        <f aca="false">AND(#REF!,"AAAAAH13338=")</f>
        <v>#VALUE!</v>
      </c>
      <c r="DY83" s="22" t="e">
        <f aca="false">AND(#REF!,"AAAAAH1334A=")</f>
        <v>#VALUE!</v>
      </c>
      <c r="DZ83" s="22" t="e">
        <f aca="false">AND(#REF!,"AAAAAH1334E=")</f>
        <v>#VALUE!</v>
      </c>
      <c r="EA83" s="22" t="e">
        <f aca="false">AND(#REF!,"AAAAAH1334I=")</f>
        <v>#VALUE!</v>
      </c>
      <c r="EB83" s="22" t="e">
        <f aca="false">IF(#REF!,"AAAAAH1334M=",0)</f>
        <v>#REF!</v>
      </c>
      <c r="EC83" s="22" t="e">
        <f aca="false">AND(#REF!,"AAAAAH1334Q=")</f>
        <v>#VALUE!</v>
      </c>
      <c r="ED83" s="22" t="e">
        <f aca="false">AND(#REF!,"AAAAAH1334U=")</f>
        <v>#VALUE!</v>
      </c>
      <c r="EE83" s="22" t="e">
        <f aca="false">AND(#REF!,"AAAAAH1334Y=")</f>
        <v>#VALUE!</v>
      </c>
      <c r="EF83" s="22" t="e">
        <f aca="false">AND(#REF!,"AAAAAH1334c=")</f>
        <v>#VALUE!</v>
      </c>
      <c r="EG83" s="22" t="e">
        <f aca="false">AND(#REF!,"AAAAAH1334g=")</f>
        <v>#VALUE!</v>
      </c>
      <c r="EH83" s="22" t="e">
        <f aca="false">AND(#REF!,"AAAAAH1334k=")</f>
        <v>#VALUE!</v>
      </c>
      <c r="EI83" s="22" t="e">
        <f aca="false">AND(#REF!,"AAAAAH1334o=")</f>
        <v>#VALUE!</v>
      </c>
      <c r="EJ83" s="22" t="e">
        <f aca="false">AND(#REF!,"AAAAAH1334s=")</f>
        <v>#VALUE!</v>
      </c>
      <c r="EK83" s="22" t="e">
        <f aca="false">IF(#REF!,"AAAAAH1334w=",0)</f>
        <v>#REF!</v>
      </c>
      <c r="EL83" s="22" t="e">
        <f aca="false">AND(#REF!,"AAAAAH13340=")</f>
        <v>#VALUE!</v>
      </c>
      <c r="EM83" s="22" t="e">
        <f aca="false">AND(#REF!,"AAAAAH13344=")</f>
        <v>#VALUE!</v>
      </c>
      <c r="EN83" s="22" t="e">
        <f aca="false">AND(#REF!,"AAAAAH13348=")</f>
        <v>#VALUE!</v>
      </c>
      <c r="EO83" s="22" t="e">
        <f aca="false">AND(#REF!,"AAAAAH1335A=")</f>
        <v>#VALUE!</v>
      </c>
      <c r="EP83" s="22" t="e">
        <f aca="false">AND(#REF!,"AAAAAH1335E=")</f>
        <v>#VALUE!</v>
      </c>
      <c r="EQ83" s="22" t="e">
        <f aca="false">AND(#REF!,"AAAAAH1335I=")</f>
        <v>#VALUE!</v>
      </c>
      <c r="ER83" s="22" t="e">
        <f aca="false">AND(#REF!,"AAAAAH1335M=")</f>
        <v>#VALUE!</v>
      </c>
      <c r="ES83" s="22" t="e">
        <f aca="false">AND(#REF!,"AAAAAH1335Q=")</f>
        <v>#VALUE!</v>
      </c>
      <c r="ET83" s="22" t="e">
        <f aca="false">IF(#REF!,"AAAAAH1335U=",0)</f>
        <v>#REF!</v>
      </c>
      <c r="EU83" s="22" t="e">
        <f aca="false">AND(#REF!,"AAAAAH1335Y=")</f>
        <v>#VALUE!</v>
      </c>
      <c r="EV83" s="22" t="e">
        <f aca="false">AND(#REF!,"AAAAAH1335c=")</f>
        <v>#VALUE!</v>
      </c>
      <c r="EW83" s="22" t="e">
        <f aca="false">AND(#REF!,"AAAAAH1335g=")</f>
        <v>#VALUE!</v>
      </c>
      <c r="EX83" s="22" t="e">
        <f aca="false">AND(#REF!,"AAAAAH1335k=")</f>
        <v>#VALUE!</v>
      </c>
      <c r="EY83" s="22" t="e">
        <f aca="false">AND(#REF!,"AAAAAH1335o=")</f>
        <v>#VALUE!</v>
      </c>
      <c r="EZ83" s="22" t="e">
        <f aca="false">AND(#REF!,"AAAAAH1335s=")</f>
        <v>#VALUE!</v>
      </c>
      <c r="FA83" s="22" t="e">
        <f aca="false">AND(#REF!,"AAAAAH1335w=")</f>
        <v>#VALUE!</v>
      </c>
      <c r="FB83" s="22" t="e">
        <f aca="false">AND(#REF!,"AAAAAH13350=")</f>
        <v>#VALUE!</v>
      </c>
      <c r="FC83" s="22" t="e">
        <f aca="false">IF(#REF!,"AAAAAH13354=",0)</f>
        <v>#REF!</v>
      </c>
      <c r="FD83" s="22" t="e">
        <f aca="false">AND(#REF!,"AAAAAH13358=")</f>
        <v>#VALUE!</v>
      </c>
      <c r="FE83" s="22" t="e">
        <f aca="false">AND(#REF!,"AAAAAH1336A=")</f>
        <v>#VALUE!</v>
      </c>
      <c r="FF83" s="22" t="e">
        <f aca="false">AND(#REF!,"AAAAAH1336E=")</f>
        <v>#VALUE!</v>
      </c>
      <c r="FG83" s="22" t="e">
        <f aca="false">AND(#REF!,"AAAAAH1336I=")</f>
        <v>#VALUE!</v>
      </c>
      <c r="FH83" s="22" t="e">
        <f aca="false">AND(#REF!,"AAAAAH1336M=")</f>
        <v>#VALUE!</v>
      </c>
      <c r="FI83" s="22" t="e">
        <f aca="false">AND(#REF!,"AAAAAH1336Q=")</f>
        <v>#VALUE!</v>
      </c>
      <c r="FJ83" s="22" t="e">
        <f aca="false">AND(#REF!,"AAAAAH1336U=")</f>
        <v>#VALUE!</v>
      </c>
      <c r="FK83" s="22" t="e">
        <f aca="false">AND(#REF!,"AAAAAH1336Y=")</f>
        <v>#VALUE!</v>
      </c>
      <c r="FL83" s="22" t="e">
        <f aca="false">IF(#REF!,"AAAAAH1336c=",0)</f>
        <v>#REF!</v>
      </c>
      <c r="FM83" s="22" t="e">
        <f aca="false">AND(#REF!,"AAAAAH1336g=")</f>
        <v>#VALUE!</v>
      </c>
      <c r="FN83" s="22" t="e">
        <f aca="false">AND(#REF!,"AAAAAH1336k=")</f>
        <v>#VALUE!</v>
      </c>
      <c r="FO83" s="22" t="e">
        <f aca="false">AND(#REF!,"AAAAAH1336o=")</f>
        <v>#VALUE!</v>
      </c>
      <c r="FP83" s="22" t="e">
        <f aca="false">AND(#REF!,"AAAAAH1336s=")</f>
        <v>#VALUE!</v>
      </c>
      <c r="FQ83" s="22" t="e">
        <f aca="false">AND(#REF!,"AAAAAH1336w=")</f>
        <v>#VALUE!</v>
      </c>
      <c r="FR83" s="22" t="e">
        <f aca="false">AND(#REF!,"AAAAAH13360=")</f>
        <v>#VALUE!</v>
      </c>
      <c r="FS83" s="22" t="e">
        <f aca="false">AND(#REF!,"AAAAAH13364=")</f>
        <v>#VALUE!</v>
      </c>
      <c r="FT83" s="22" t="e">
        <f aca="false">AND(#REF!,"AAAAAH13368=")</f>
        <v>#VALUE!</v>
      </c>
      <c r="FU83" s="22" t="e">
        <f aca="false">IF(#REF!,"AAAAAH1337A=",0)</f>
        <v>#REF!</v>
      </c>
      <c r="FV83" s="22" t="e">
        <f aca="false">AND(#REF!,"AAAAAH1337E=")</f>
        <v>#VALUE!</v>
      </c>
      <c r="FW83" s="22" t="e">
        <f aca="false">AND(#REF!,"AAAAAH1337I=")</f>
        <v>#VALUE!</v>
      </c>
      <c r="FX83" s="22" t="e">
        <f aca="false">AND(#REF!,"AAAAAH1337M=")</f>
        <v>#VALUE!</v>
      </c>
      <c r="FY83" s="22" t="e">
        <f aca="false">AND(#REF!,"AAAAAH1337Q=")</f>
        <v>#VALUE!</v>
      </c>
      <c r="FZ83" s="22" t="e">
        <f aca="false">AND(#REF!,"AAAAAH1337U=")</f>
        <v>#VALUE!</v>
      </c>
      <c r="GA83" s="22" t="e">
        <f aca="false">AND(#REF!,"AAAAAH1337Y=")</f>
        <v>#VALUE!</v>
      </c>
      <c r="GB83" s="22" t="e">
        <f aca="false">AND(#REF!,"AAAAAH1337c=")</f>
        <v>#VALUE!</v>
      </c>
      <c r="GC83" s="22" t="e">
        <f aca="false">AND(#REF!,"AAAAAH1337g=")</f>
        <v>#VALUE!</v>
      </c>
      <c r="GD83" s="22" t="e">
        <f aca="false">IF(#REF!,"AAAAAH1337k=",0)</f>
        <v>#REF!</v>
      </c>
      <c r="GE83" s="22" t="e">
        <f aca="false">AND(#REF!,"AAAAAH1337o=")</f>
        <v>#VALUE!</v>
      </c>
      <c r="GF83" s="22" t="e">
        <f aca="false">AND(#REF!,"AAAAAH1337s=")</f>
        <v>#VALUE!</v>
      </c>
      <c r="GG83" s="22" t="e">
        <f aca="false">AND(#REF!,"AAAAAH1337w=")</f>
        <v>#VALUE!</v>
      </c>
      <c r="GH83" s="22" t="e">
        <f aca="false">AND(#REF!,"AAAAAH13370=")</f>
        <v>#VALUE!</v>
      </c>
      <c r="GI83" s="22" t="e">
        <f aca="false">AND(#REF!,"AAAAAH13374=")</f>
        <v>#VALUE!</v>
      </c>
      <c r="GJ83" s="22" t="e">
        <f aca="false">AND(#REF!,"AAAAAH13378=")</f>
        <v>#VALUE!</v>
      </c>
      <c r="GK83" s="22" t="e">
        <f aca="false">AND(#REF!,"AAAAAH1338A=")</f>
        <v>#VALUE!</v>
      </c>
      <c r="GL83" s="22" t="e">
        <f aca="false">AND(#REF!,"AAAAAH1338E=")</f>
        <v>#VALUE!</v>
      </c>
      <c r="GM83" s="22" t="e">
        <f aca="false">IF(#REF!,"AAAAAH1338I=",0)</f>
        <v>#REF!</v>
      </c>
      <c r="GN83" s="22" t="e">
        <f aca="false">AND(#REF!,"AAAAAH1338M=")</f>
        <v>#VALUE!</v>
      </c>
      <c r="GO83" s="22" t="e">
        <f aca="false">AND(#REF!,"AAAAAH1338Q=")</f>
        <v>#VALUE!</v>
      </c>
      <c r="GP83" s="22" t="e">
        <f aca="false">AND(#REF!,"AAAAAH1338U=")</f>
        <v>#VALUE!</v>
      </c>
      <c r="GQ83" s="22" t="e">
        <f aca="false">AND(#REF!,"AAAAAH1338Y=")</f>
        <v>#VALUE!</v>
      </c>
      <c r="GR83" s="22" t="e">
        <f aca="false">AND(#REF!,"AAAAAH1338c=")</f>
        <v>#VALUE!</v>
      </c>
      <c r="GS83" s="22" t="e">
        <f aca="false">AND(#REF!,"AAAAAH1338g=")</f>
        <v>#VALUE!</v>
      </c>
      <c r="GT83" s="22" t="e">
        <f aca="false">AND(#REF!,"AAAAAH1338k=")</f>
        <v>#VALUE!</v>
      </c>
      <c r="GU83" s="22" t="e">
        <f aca="false">AND(#REF!,"AAAAAH1338o=")</f>
        <v>#VALUE!</v>
      </c>
      <c r="GV83" s="22" t="e">
        <f aca="false">IF(#REF!,"AAAAAH1338s=",0)</f>
        <v>#REF!</v>
      </c>
      <c r="GW83" s="22" t="e">
        <f aca="false">AND(#REF!,"AAAAAH1338w=")</f>
        <v>#VALUE!</v>
      </c>
      <c r="GX83" s="22" t="e">
        <f aca="false">AND(#REF!,"AAAAAH13380=")</f>
        <v>#VALUE!</v>
      </c>
      <c r="GY83" s="22" t="e">
        <f aca="false">AND(#REF!,"AAAAAH13384=")</f>
        <v>#VALUE!</v>
      </c>
      <c r="GZ83" s="22" t="e">
        <f aca="false">AND(#REF!,"AAAAAH13388=")</f>
        <v>#VALUE!</v>
      </c>
      <c r="HA83" s="22" t="e">
        <f aca="false">AND(#REF!,"AAAAAH1339A=")</f>
        <v>#VALUE!</v>
      </c>
      <c r="HB83" s="22" t="e">
        <f aca="false">AND(#REF!,"AAAAAH1339E=")</f>
        <v>#VALUE!</v>
      </c>
      <c r="HC83" s="22" t="e">
        <f aca="false">AND(#REF!,"AAAAAH1339I=")</f>
        <v>#VALUE!</v>
      </c>
      <c r="HD83" s="22" t="e">
        <f aca="false">AND(#REF!,"AAAAAH1339M=")</f>
        <v>#VALUE!</v>
      </c>
      <c r="HE83" s="22" t="e">
        <f aca="false">IF(#REF!,"AAAAAH1339Q=",0)</f>
        <v>#REF!</v>
      </c>
      <c r="HF83" s="22" t="e">
        <f aca="false">AND(#REF!,"AAAAAH1339U=")</f>
        <v>#VALUE!</v>
      </c>
      <c r="HG83" s="22" t="e">
        <f aca="false">AND(#REF!,"AAAAAH1339Y=")</f>
        <v>#VALUE!</v>
      </c>
      <c r="HH83" s="22" t="e">
        <f aca="false">AND(#REF!,"AAAAAH1339c=")</f>
        <v>#VALUE!</v>
      </c>
      <c r="HI83" s="22" t="e">
        <f aca="false">AND(#REF!,"AAAAAH1339g=")</f>
        <v>#VALUE!</v>
      </c>
      <c r="HJ83" s="22" t="e">
        <f aca="false">AND(#REF!,"AAAAAH1339k=")</f>
        <v>#VALUE!</v>
      </c>
      <c r="HK83" s="22" t="e">
        <f aca="false">AND(#REF!,"AAAAAH1339o=")</f>
        <v>#VALUE!</v>
      </c>
      <c r="HL83" s="22" t="e">
        <f aca="false">AND(#REF!,"AAAAAH1339s=")</f>
        <v>#VALUE!</v>
      </c>
      <c r="HM83" s="22" t="e">
        <f aca="false">AND(#REF!,"AAAAAH1339w=")</f>
        <v>#VALUE!</v>
      </c>
      <c r="HN83" s="22" t="e">
        <f aca="false">IF(#REF!,"AAAAAH13390=",0)</f>
        <v>#REF!</v>
      </c>
      <c r="HO83" s="22" t="e">
        <f aca="false">AND(#REF!,"AAAAAH13394=")</f>
        <v>#VALUE!</v>
      </c>
      <c r="HP83" s="22" t="e">
        <f aca="false">AND(#REF!,"AAAAAH13398=")</f>
        <v>#VALUE!</v>
      </c>
      <c r="HQ83" s="22" t="e">
        <f aca="false">AND(#REF!,"AAAAAH133+A=")</f>
        <v>#VALUE!</v>
      </c>
      <c r="HR83" s="22" t="e">
        <f aca="false">AND(#REF!,"AAAAAH133+E=")</f>
        <v>#VALUE!</v>
      </c>
      <c r="HS83" s="22" t="e">
        <f aca="false">AND(#REF!,"AAAAAH133+I=")</f>
        <v>#VALUE!</v>
      </c>
      <c r="HT83" s="22" t="e">
        <f aca="false">AND(#REF!,"AAAAAH133+M=")</f>
        <v>#VALUE!</v>
      </c>
      <c r="HU83" s="22" t="e">
        <f aca="false">AND(#REF!,"AAAAAH133+Q=")</f>
        <v>#VALUE!</v>
      </c>
      <c r="HV83" s="22" t="e">
        <f aca="false">AND(#REF!,"AAAAAH133+U=")</f>
        <v>#VALUE!</v>
      </c>
      <c r="HW83" s="22" t="e">
        <f aca="false">IF(#REF!,"AAAAAH133+Y=",0)</f>
        <v>#REF!</v>
      </c>
      <c r="HX83" s="22" t="e">
        <f aca="false">AND(#REF!,"AAAAAH133+c=")</f>
        <v>#VALUE!</v>
      </c>
      <c r="HY83" s="22" t="e">
        <f aca="false">AND(#REF!,"AAAAAH133+g=")</f>
        <v>#VALUE!</v>
      </c>
      <c r="HZ83" s="22" t="e">
        <f aca="false">AND(#REF!,"AAAAAH133+k=")</f>
        <v>#VALUE!</v>
      </c>
      <c r="IA83" s="22" t="e">
        <f aca="false">AND(#REF!,"AAAAAH133+o=")</f>
        <v>#VALUE!</v>
      </c>
      <c r="IB83" s="22" t="e">
        <f aca="false">AND(#REF!,"AAAAAH133+s=")</f>
        <v>#VALUE!</v>
      </c>
      <c r="IC83" s="22" t="e">
        <f aca="false">AND(#REF!,"AAAAAH133+w=")</f>
        <v>#VALUE!</v>
      </c>
      <c r="ID83" s="22" t="e">
        <f aca="false">AND(#REF!,"AAAAAH133+0=")</f>
        <v>#VALUE!</v>
      </c>
      <c r="IE83" s="22" t="e">
        <f aca="false">AND(#REF!,"AAAAAH133+4=")</f>
        <v>#VALUE!</v>
      </c>
      <c r="IF83" s="22" t="e">
        <f aca="false">IF(#REF!,"AAAAAH133+8=",0)</f>
        <v>#REF!</v>
      </c>
      <c r="IG83" s="22" t="e">
        <f aca="false">AND(#REF!,"AAAAAH133/A=")</f>
        <v>#VALUE!</v>
      </c>
      <c r="IH83" s="22" t="e">
        <f aca="false">AND(#REF!,"AAAAAH133/E=")</f>
        <v>#VALUE!</v>
      </c>
      <c r="II83" s="22" t="e">
        <f aca="false">AND(#REF!,"AAAAAH133/I=")</f>
        <v>#VALUE!</v>
      </c>
      <c r="IJ83" s="22" t="e">
        <f aca="false">AND(#REF!,"AAAAAH133/M=")</f>
        <v>#VALUE!</v>
      </c>
      <c r="IK83" s="22" t="e">
        <f aca="false">AND(#REF!,"AAAAAH133/Q=")</f>
        <v>#VALUE!</v>
      </c>
      <c r="IL83" s="22" t="e">
        <f aca="false">AND(#REF!,"AAAAAH133/U=")</f>
        <v>#VALUE!</v>
      </c>
      <c r="IM83" s="22" t="e">
        <f aca="false">AND(#REF!,"AAAAAH133/Y=")</f>
        <v>#VALUE!</v>
      </c>
      <c r="IN83" s="22" t="e">
        <f aca="false">AND(#REF!,"AAAAAH133/c=")</f>
        <v>#VALUE!</v>
      </c>
      <c r="IO83" s="22" t="e">
        <f aca="false">IF(#REF!,"AAAAAH133/g=",0)</f>
        <v>#REF!</v>
      </c>
      <c r="IP83" s="22" t="e">
        <f aca="false">AND(#REF!,"AAAAAH133/k=")</f>
        <v>#VALUE!</v>
      </c>
      <c r="IQ83" s="22" t="e">
        <f aca="false">AND(#REF!,"AAAAAH133/o=")</f>
        <v>#VALUE!</v>
      </c>
      <c r="IR83" s="22" t="e">
        <f aca="false">AND(#REF!,"AAAAAH133/s=")</f>
        <v>#VALUE!</v>
      </c>
      <c r="IS83" s="22" t="e">
        <f aca="false">AND(#REF!,"AAAAAH133/w=")</f>
        <v>#VALUE!</v>
      </c>
      <c r="IT83" s="22" t="e">
        <f aca="false">AND(#REF!,"AAAAAH133/0=")</f>
        <v>#VALUE!</v>
      </c>
      <c r="IU83" s="22" t="e">
        <f aca="false">AND(#REF!,"AAAAAH133/4=")</f>
        <v>#VALUE!</v>
      </c>
      <c r="IV83" s="22" t="e">
        <f aca="false">AND(#REF!,"AAAAAH133/8=")</f>
        <v>#VALUE!</v>
      </c>
    </row>
    <row r="84" customFormat="false" ht="12.75" hidden="false" customHeight="false" outlineLevel="0" collapsed="false">
      <c r="A84" s="22" t="e">
        <f aca="false">AND(#REF!,"AAAAAG/fLwA=")</f>
        <v>#VALUE!</v>
      </c>
      <c r="B84" s="22" t="e">
        <f aca="false">IF(#REF!,"AAAAAG/fLwE=",0)</f>
        <v>#REF!</v>
      </c>
      <c r="C84" s="22" t="e">
        <f aca="false">AND(#REF!,"AAAAAG/fLwI=")</f>
        <v>#VALUE!</v>
      </c>
      <c r="D84" s="22" t="e">
        <f aca="false">AND(#REF!,"AAAAAG/fLwM=")</f>
        <v>#VALUE!</v>
      </c>
      <c r="E84" s="22" t="e">
        <f aca="false">AND(#REF!,"AAAAAG/fLwQ=")</f>
        <v>#VALUE!</v>
      </c>
      <c r="F84" s="22" t="e">
        <f aca="false">AND(#REF!,"AAAAAG/fLwU=")</f>
        <v>#VALUE!</v>
      </c>
      <c r="G84" s="22" t="e">
        <f aca="false">AND(#REF!,"AAAAAG/fLwY=")</f>
        <v>#VALUE!</v>
      </c>
      <c r="H84" s="22" t="e">
        <f aca="false">AND(#REF!,"AAAAAG/fLwc=")</f>
        <v>#VALUE!</v>
      </c>
      <c r="I84" s="22" t="e">
        <f aca="false">AND(#REF!,"AAAAAG/fLwg=")</f>
        <v>#VALUE!</v>
      </c>
      <c r="J84" s="22" t="e">
        <f aca="false">AND(#REF!,"AAAAAG/fLwk=")</f>
        <v>#VALUE!</v>
      </c>
      <c r="K84" s="22" t="e">
        <f aca="false">IF(#REF!,"AAAAAG/fLwo=",0)</f>
        <v>#REF!</v>
      </c>
      <c r="L84" s="22" t="e">
        <f aca="false">AND(#REF!,"AAAAAG/fLws=")</f>
        <v>#VALUE!</v>
      </c>
      <c r="M84" s="22" t="e">
        <f aca="false">AND(#REF!,"AAAAAG/fLww=")</f>
        <v>#VALUE!</v>
      </c>
      <c r="N84" s="22" t="e">
        <f aca="false">AND(#REF!,"AAAAAG/fLw0=")</f>
        <v>#VALUE!</v>
      </c>
      <c r="O84" s="22" t="e">
        <f aca="false">AND(#REF!,"AAAAAG/fLw4=")</f>
        <v>#VALUE!</v>
      </c>
      <c r="P84" s="22" t="e">
        <f aca="false">AND(#REF!,"AAAAAG/fLw8=")</f>
        <v>#VALUE!</v>
      </c>
      <c r="Q84" s="22" t="e">
        <f aca="false">AND(#REF!,"AAAAAG/fLxA=")</f>
        <v>#VALUE!</v>
      </c>
      <c r="R84" s="22" t="e">
        <f aca="false">AND(#REF!,"AAAAAG/fLxE=")</f>
        <v>#VALUE!</v>
      </c>
      <c r="S84" s="22" t="e">
        <f aca="false">AND(#REF!,"AAAAAG/fLxI=")</f>
        <v>#VALUE!</v>
      </c>
      <c r="T84" s="22" t="e">
        <f aca="false">IF(#REF!,"AAAAAG/fLxM=",0)</f>
        <v>#REF!</v>
      </c>
      <c r="U84" s="22" t="e">
        <f aca="false">AND(#REF!,"AAAAAG/fLxQ=")</f>
        <v>#VALUE!</v>
      </c>
      <c r="V84" s="22" t="e">
        <f aca="false">AND(#REF!,"AAAAAG/fLxU=")</f>
        <v>#VALUE!</v>
      </c>
      <c r="W84" s="22" t="e">
        <f aca="false">AND(#REF!,"AAAAAG/fLxY=")</f>
        <v>#VALUE!</v>
      </c>
      <c r="X84" s="22" t="e">
        <f aca="false">AND(#REF!,"AAAAAG/fLxc=")</f>
        <v>#VALUE!</v>
      </c>
      <c r="Y84" s="22" t="e">
        <f aca="false">AND(#REF!,"AAAAAG/fLxg=")</f>
        <v>#VALUE!</v>
      </c>
      <c r="Z84" s="22" t="e">
        <f aca="false">AND(#REF!,"AAAAAG/fLxk=")</f>
        <v>#VALUE!</v>
      </c>
      <c r="AA84" s="22" t="e">
        <f aca="false">AND(#REF!,"AAAAAG/fLxo=")</f>
        <v>#VALUE!</v>
      </c>
      <c r="AB84" s="22" t="e">
        <f aca="false">AND(#REF!,"AAAAAG/fLxs=")</f>
        <v>#VALUE!</v>
      </c>
      <c r="AC84" s="22" t="e">
        <f aca="false">IF(#REF!,"AAAAAG/fLxw=",0)</f>
        <v>#REF!</v>
      </c>
      <c r="AD84" s="22" t="e">
        <f aca="false">AND(#REF!,"AAAAAG/fLx0=")</f>
        <v>#VALUE!</v>
      </c>
      <c r="AE84" s="22" t="e">
        <f aca="false">AND(#REF!,"AAAAAG/fLx4=")</f>
        <v>#VALUE!</v>
      </c>
      <c r="AF84" s="22" t="e">
        <f aca="false">AND(#REF!,"AAAAAG/fLx8=")</f>
        <v>#VALUE!</v>
      </c>
      <c r="AG84" s="22" t="e">
        <f aca="false">AND(#REF!,"AAAAAG/fLyA=")</f>
        <v>#VALUE!</v>
      </c>
      <c r="AH84" s="22" t="e">
        <f aca="false">AND(#REF!,"AAAAAG/fLyE=")</f>
        <v>#VALUE!</v>
      </c>
      <c r="AI84" s="22" t="e">
        <f aca="false">AND(#REF!,"AAAAAG/fLyI=")</f>
        <v>#VALUE!</v>
      </c>
      <c r="AJ84" s="22" t="e">
        <f aca="false">AND(#REF!,"AAAAAG/fLyM=")</f>
        <v>#VALUE!</v>
      </c>
      <c r="AK84" s="22" t="e">
        <f aca="false">AND(#REF!,"AAAAAG/fLyQ=")</f>
        <v>#VALUE!</v>
      </c>
      <c r="AL84" s="22" t="e">
        <f aca="false">IF(#REF!,"AAAAAG/fLyU=",0)</f>
        <v>#REF!</v>
      </c>
      <c r="AM84" s="22" t="e">
        <f aca="false">AND(#REF!,"AAAAAG/fLyY=")</f>
        <v>#VALUE!</v>
      </c>
      <c r="AN84" s="22" t="e">
        <f aca="false">AND(#REF!,"AAAAAG/fLyc=")</f>
        <v>#VALUE!</v>
      </c>
      <c r="AO84" s="22" t="e">
        <f aca="false">AND(#REF!,"AAAAAG/fLyg=")</f>
        <v>#VALUE!</v>
      </c>
      <c r="AP84" s="22" t="e">
        <f aca="false">AND(#REF!,"AAAAAG/fLyk=")</f>
        <v>#VALUE!</v>
      </c>
      <c r="AQ84" s="22" t="e">
        <f aca="false">AND(#REF!,"AAAAAG/fLyo=")</f>
        <v>#VALUE!</v>
      </c>
      <c r="AR84" s="22" t="e">
        <f aca="false">AND(#REF!,"AAAAAG/fLys=")</f>
        <v>#VALUE!</v>
      </c>
      <c r="AS84" s="22" t="e">
        <f aca="false">AND(#REF!,"AAAAAG/fLyw=")</f>
        <v>#VALUE!</v>
      </c>
      <c r="AT84" s="22" t="e">
        <f aca="false">AND(#REF!,"AAAAAG/fLy0=")</f>
        <v>#VALUE!</v>
      </c>
      <c r="AU84" s="22" t="e">
        <f aca="false">IF(#REF!,"AAAAAG/fLy4=",0)</f>
        <v>#REF!</v>
      </c>
      <c r="AV84" s="22" t="e">
        <f aca="false">AND(#REF!,"AAAAAG/fLy8=")</f>
        <v>#VALUE!</v>
      </c>
      <c r="AW84" s="22" t="e">
        <f aca="false">AND(#REF!,"AAAAAG/fLzA=")</f>
        <v>#VALUE!</v>
      </c>
      <c r="AX84" s="22" t="e">
        <f aca="false">AND(#REF!,"AAAAAG/fLzE=")</f>
        <v>#VALUE!</v>
      </c>
      <c r="AY84" s="22" t="e">
        <f aca="false">AND(#REF!,"AAAAAG/fLzI=")</f>
        <v>#VALUE!</v>
      </c>
      <c r="AZ84" s="22" t="e">
        <f aca="false">AND(#REF!,"AAAAAG/fLzM=")</f>
        <v>#VALUE!</v>
      </c>
      <c r="BA84" s="22" t="e">
        <f aca="false">AND(#REF!,"AAAAAG/fLzQ=")</f>
        <v>#VALUE!</v>
      </c>
      <c r="BB84" s="22" t="e">
        <f aca="false">AND(#REF!,"AAAAAG/fLzU=")</f>
        <v>#VALUE!</v>
      </c>
      <c r="BC84" s="22" t="e">
        <f aca="false">AND(#REF!,"AAAAAG/fLzY=")</f>
        <v>#VALUE!</v>
      </c>
      <c r="BD84" s="22" t="e">
        <f aca="false">IF(#REF!,"AAAAAG/fLzc=",0)</f>
        <v>#REF!</v>
      </c>
      <c r="BE84" s="22" t="e">
        <f aca="false">AND(#REF!,"AAAAAG/fLzg=")</f>
        <v>#VALUE!</v>
      </c>
      <c r="BF84" s="22" t="e">
        <f aca="false">AND(#REF!,"AAAAAG/fLzk=")</f>
        <v>#VALUE!</v>
      </c>
      <c r="BG84" s="22" t="e">
        <f aca="false">AND(#REF!,"AAAAAG/fLzo=")</f>
        <v>#VALUE!</v>
      </c>
      <c r="BH84" s="22" t="e">
        <f aca="false">AND(#REF!,"AAAAAG/fLzs=")</f>
        <v>#VALUE!</v>
      </c>
      <c r="BI84" s="22" t="e">
        <f aca="false">AND(#REF!,"AAAAAG/fLzw=")</f>
        <v>#VALUE!</v>
      </c>
      <c r="BJ84" s="22" t="e">
        <f aca="false">AND(#REF!,"AAAAAG/fLz0=")</f>
        <v>#VALUE!</v>
      </c>
      <c r="BK84" s="22" t="e">
        <f aca="false">AND(#REF!,"AAAAAG/fLz4=")</f>
        <v>#VALUE!</v>
      </c>
      <c r="BL84" s="22" t="e">
        <f aca="false">AND(#REF!,"AAAAAG/fLz8=")</f>
        <v>#VALUE!</v>
      </c>
      <c r="BM84" s="22" t="e">
        <f aca="false">IF(#REF!,"AAAAAG/fL0A=",0)</f>
        <v>#REF!</v>
      </c>
      <c r="BN84" s="22" t="e">
        <f aca="false">AND(#REF!,"AAAAAG/fL0E=")</f>
        <v>#VALUE!</v>
      </c>
      <c r="BO84" s="22" t="e">
        <f aca="false">AND(#REF!,"AAAAAG/fL0I=")</f>
        <v>#VALUE!</v>
      </c>
      <c r="BP84" s="22" t="e">
        <f aca="false">AND(#REF!,"AAAAAG/fL0M=")</f>
        <v>#VALUE!</v>
      </c>
      <c r="BQ84" s="22" t="e">
        <f aca="false">AND(#REF!,"AAAAAG/fL0Q=")</f>
        <v>#VALUE!</v>
      </c>
      <c r="BR84" s="22" t="e">
        <f aca="false">AND(#REF!,"AAAAAG/fL0U=")</f>
        <v>#VALUE!</v>
      </c>
      <c r="BS84" s="22" t="e">
        <f aca="false">AND(#REF!,"AAAAAG/fL0Y=")</f>
        <v>#VALUE!</v>
      </c>
      <c r="BT84" s="22" t="e">
        <f aca="false">AND(#REF!,"AAAAAG/fL0c=")</f>
        <v>#VALUE!</v>
      </c>
      <c r="BU84" s="22" t="e">
        <f aca="false">AND(#REF!,"AAAAAG/fL0g=")</f>
        <v>#VALUE!</v>
      </c>
      <c r="BV84" s="22" t="e">
        <f aca="false">IF(#REF!,"AAAAAG/fL0k=",0)</f>
        <v>#REF!</v>
      </c>
      <c r="BW84" s="22" t="e">
        <f aca="false">AND(#REF!,"AAAAAG/fL0o=")</f>
        <v>#VALUE!</v>
      </c>
      <c r="BX84" s="22" t="e">
        <f aca="false">AND(#REF!,"AAAAAG/fL0s=")</f>
        <v>#VALUE!</v>
      </c>
      <c r="BY84" s="22" t="e">
        <f aca="false">AND(#REF!,"AAAAAG/fL0w=")</f>
        <v>#VALUE!</v>
      </c>
      <c r="BZ84" s="22" t="e">
        <f aca="false">AND(#REF!,"AAAAAG/fL00=")</f>
        <v>#VALUE!</v>
      </c>
      <c r="CA84" s="22" t="e">
        <f aca="false">AND(#REF!,"AAAAAG/fL04=")</f>
        <v>#VALUE!</v>
      </c>
      <c r="CB84" s="22" t="e">
        <f aca="false">AND(#REF!,"AAAAAG/fL08=")</f>
        <v>#VALUE!</v>
      </c>
      <c r="CC84" s="22" t="e">
        <f aca="false">AND(#REF!,"AAAAAG/fL1A=")</f>
        <v>#VALUE!</v>
      </c>
      <c r="CD84" s="22" t="e">
        <f aca="false">AND(#REF!,"AAAAAG/fL1E=")</f>
        <v>#VALUE!</v>
      </c>
      <c r="CE84" s="22" t="e">
        <f aca="false">IF(#REF!,"AAAAAG/fL1I=",0)</f>
        <v>#REF!</v>
      </c>
      <c r="CF84" s="22" t="e">
        <f aca="false">AND(#REF!,"AAAAAG/fL1M=")</f>
        <v>#VALUE!</v>
      </c>
      <c r="CG84" s="22" t="e">
        <f aca="false">AND(#REF!,"AAAAAG/fL1Q=")</f>
        <v>#VALUE!</v>
      </c>
      <c r="CH84" s="22" t="e">
        <f aca="false">AND(#REF!,"AAAAAG/fL1U=")</f>
        <v>#VALUE!</v>
      </c>
      <c r="CI84" s="22" t="e">
        <f aca="false">AND(#REF!,"AAAAAG/fL1Y=")</f>
        <v>#VALUE!</v>
      </c>
      <c r="CJ84" s="22" t="e">
        <f aca="false">AND(#REF!,"AAAAAG/fL1c=")</f>
        <v>#VALUE!</v>
      </c>
      <c r="CK84" s="22" t="e">
        <f aca="false">AND(#REF!,"AAAAAG/fL1g=")</f>
        <v>#VALUE!</v>
      </c>
      <c r="CL84" s="22" t="e">
        <f aca="false">AND(#REF!,"AAAAAG/fL1k=")</f>
        <v>#VALUE!</v>
      </c>
      <c r="CM84" s="22" t="e">
        <f aca="false">AND(#REF!,"AAAAAG/fL1o=")</f>
        <v>#VALUE!</v>
      </c>
      <c r="CN84" s="22" t="e">
        <f aca="false">IF(#REF!,"AAAAAG/fL1s=",0)</f>
        <v>#REF!</v>
      </c>
      <c r="CO84" s="22" t="e">
        <f aca="false">AND(#REF!,"AAAAAG/fL1w=")</f>
        <v>#VALUE!</v>
      </c>
      <c r="CP84" s="22" t="e">
        <f aca="false">AND(#REF!,"AAAAAG/fL10=")</f>
        <v>#VALUE!</v>
      </c>
      <c r="CQ84" s="22" t="e">
        <f aca="false">AND(#REF!,"AAAAAG/fL14=")</f>
        <v>#VALUE!</v>
      </c>
      <c r="CR84" s="22" t="e">
        <f aca="false">AND(#REF!,"AAAAAG/fL18=")</f>
        <v>#VALUE!</v>
      </c>
      <c r="CS84" s="22" t="e">
        <f aca="false">AND(#REF!,"AAAAAG/fL2A=")</f>
        <v>#VALUE!</v>
      </c>
      <c r="CT84" s="22" t="e">
        <f aca="false">AND(#REF!,"AAAAAG/fL2E=")</f>
        <v>#VALUE!</v>
      </c>
      <c r="CU84" s="22" t="e">
        <f aca="false">AND(#REF!,"AAAAAG/fL2I=")</f>
        <v>#VALUE!</v>
      </c>
      <c r="CV84" s="22" t="e">
        <f aca="false">AND(#REF!,"AAAAAG/fL2M=")</f>
        <v>#VALUE!</v>
      </c>
      <c r="CW84" s="22" t="e">
        <f aca="false">IF(#REF!,"AAAAAG/fL2Q=",0)</f>
        <v>#REF!</v>
      </c>
      <c r="CX84" s="22" t="e">
        <f aca="false">AND(#REF!,"AAAAAG/fL2U=")</f>
        <v>#VALUE!</v>
      </c>
      <c r="CY84" s="22" t="e">
        <f aca="false">AND(#REF!,"AAAAAG/fL2Y=")</f>
        <v>#VALUE!</v>
      </c>
      <c r="CZ84" s="22" t="e">
        <f aca="false">AND(#REF!,"AAAAAG/fL2c=")</f>
        <v>#VALUE!</v>
      </c>
      <c r="DA84" s="22" t="e">
        <f aca="false">AND(#REF!,"AAAAAG/fL2g=")</f>
        <v>#VALUE!</v>
      </c>
      <c r="DB84" s="22" t="e">
        <f aca="false">AND(#REF!,"AAAAAG/fL2k=")</f>
        <v>#VALUE!</v>
      </c>
      <c r="DC84" s="22" t="e">
        <f aca="false">AND(#REF!,"AAAAAG/fL2o=")</f>
        <v>#VALUE!</v>
      </c>
      <c r="DD84" s="22" t="e">
        <f aca="false">AND(#REF!,"AAAAAG/fL2s=")</f>
        <v>#VALUE!</v>
      </c>
      <c r="DE84" s="22" t="e">
        <f aca="false">AND(#REF!,"AAAAAG/fL2w=")</f>
        <v>#VALUE!</v>
      </c>
      <c r="DF84" s="22" t="e">
        <f aca="false">IF(#REF!,"AAAAAG/fL20=",0)</f>
        <v>#REF!</v>
      </c>
      <c r="DG84" s="22" t="e">
        <f aca="false">AND(#REF!,"AAAAAG/fL24=")</f>
        <v>#VALUE!</v>
      </c>
      <c r="DH84" s="22" t="e">
        <f aca="false">AND(#REF!,"AAAAAG/fL28=")</f>
        <v>#VALUE!</v>
      </c>
      <c r="DI84" s="22" t="e">
        <f aca="false">AND(#REF!,"AAAAAG/fL3A=")</f>
        <v>#VALUE!</v>
      </c>
      <c r="DJ84" s="22" t="e">
        <f aca="false">AND(#REF!,"AAAAAG/fL3E=")</f>
        <v>#VALUE!</v>
      </c>
      <c r="DK84" s="22" t="e">
        <f aca="false">AND(#REF!,"AAAAAG/fL3I=")</f>
        <v>#VALUE!</v>
      </c>
      <c r="DL84" s="22" t="e">
        <f aca="false">AND(#REF!,"AAAAAG/fL3M=")</f>
        <v>#VALUE!</v>
      </c>
      <c r="DM84" s="22" t="e">
        <f aca="false">AND(#REF!,"AAAAAG/fL3Q=")</f>
        <v>#VALUE!</v>
      </c>
      <c r="DN84" s="22" t="e">
        <f aca="false">AND(#REF!,"AAAAAG/fL3U=")</f>
        <v>#VALUE!</v>
      </c>
      <c r="DO84" s="22" t="e">
        <f aca="false">IF(#REF!,"AAAAAG/fL3Y=",0)</f>
        <v>#REF!</v>
      </c>
      <c r="DP84" s="22" t="e">
        <f aca="false">AND(#REF!,"AAAAAG/fL3c=")</f>
        <v>#VALUE!</v>
      </c>
      <c r="DQ84" s="22" t="e">
        <f aca="false">AND(#REF!,"AAAAAG/fL3g=")</f>
        <v>#VALUE!</v>
      </c>
      <c r="DR84" s="22" t="e">
        <f aca="false">AND(#REF!,"AAAAAG/fL3k=")</f>
        <v>#VALUE!</v>
      </c>
      <c r="DS84" s="22" t="e">
        <f aca="false">AND(#REF!,"AAAAAG/fL3o=")</f>
        <v>#VALUE!</v>
      </c>
      <c r="DT84" s="22" t="e">
        <f aca="false">AND(#REF!,"AAAAAG/fL3s=")</f>
        <v>#VALUE!</v>
      </c>
      <c r="DU84" s="22" t="e">
        <f aca="false">AND(#REF!,"AAAAAG/fL3w=")</f>
        <v>#VALUE!</v>
      </c>
      <c r="DV84" s="22" t="e">
        <f aca="false">AND(#REF!,"AAAAAG/fL30=")</f>
        <v>#VALUE!</v>
      </c>
      <c r="DW84" s="22" t="e">
        <f aca="false">AND(#REF!,"AAAAAG/fL34=")</f>
        <v>#VALUE!</v>
      </c>
      <c r="DX84" s="22" t="e">
        <f aca="false">IF(#REF!,"AAAAAG/fL38=",0)</f>
        <v>#REF!</v>
      </c>
      <c r="DY84" s="22" t="e">
        <f aca="false">AND(#REF!,"AAAAAG/fL4A=")</f>
        <v>#VALUE!</v>
      </c>
      <c r="DZ84" s="22" t="e">
        <f aca="false">AND(#REF!,"AAAAAG/fL4E=")</f>
        <v>#VALUE!</v>
      </c>
      <c r="EA84" s="22" t="e">
        <f aca="false">AND(#REF!,"AAAAAG/fL4I=")</f>
        <v>#VALUE!</v>
      </c>
      <c r="EB84" s="22" t="e">
        <f aca="false">AND(#REF!,"AAAAAG/fL4M=")</f>
        <v>#VALUE!</v>
      </c>
      <c r="EC84" s="22" t="e">
        <f aca="false">AND(#REF!,"AAAAAG/fL4Q=")</f>
        <v>#VALUE!</v>
      </c>
      <c r="ED84" s="22" t="e">
        <f aca="false">AND(#REF!,"AAAAAG/fL4U=")</f>
        <v>#VALUE!</v>
      </c>
      <c r="EE84" s="22" t="e">
        <f aca="false">AND(#REF!,"AAAAAG/fL4Y=")</f>
        <v>#VALUE!</v>
      </c>
      <c r="EF84" s="22" t="e">
        <f aca="false">AND(#REF!,"AAAAAG/fL4c=")</f>
        <v>#VALUE!</v>
      </c>
      <c r="EG84" s="22" t="e">
        <f aca="false">IF(#REF!,"AAAAAG/fL4g=",0)</f>
        <v>#REF!</v>
      </c>
      <c r="EH84" s="22" t="e">
        <f aca="false">AND(#REF!,"AAAAAG/fL4k=")</f>
        <v>#VALUE!</v>
      </c>
      <c r="EI84" s="22" t="e">
        <f aca="false">AND(#REF!,"AAAAAG/fL4o=")</f>
        <v>#VALUE!</v>
      </c>
      <c r="EJ84" s="22" t="e">
        <f aca="false">AND(#REF!,"AAAAAG/fL4s=")</f>
        <v>#VALUE!</v>
      </c>
      <c r="EK84" s="22" t="e">
        <f aca="false">AND(#REF!,"AAAAAG/fL4w=")</f>
        <v>#VALUE!</v>
      </c>
      <c r="EL84" s="22" t="e">
        <f aca="false">AND(#REF!,"AAAAAG/fL40=")</f>
        <v>#VALUE!</v>
      </c>
      <c r="EM84" s="22" t="e">
        <f aca="false">AND(#REF!,"AAAAAG/fL44=")</f>
        <v>#VALUE!</v>
      </c>
      <c r="EN84" s="22" t="e">
        <f aca="false">AND(#REF!,"AAAAAG/fL48=")</f>
        <v>#VALUE!</v>
      </c>
      <c r="EO84" s="22" t="e">
        <f aca="false">AND(#REF!,"AAAAAG/fL5A=")</f>
        <v>#VALUE!</v>
      </c>
      <c r="EP84" s="22" t="e">
        <f aca="false">IF(#REF!,"AAAAAG/fL5E=",0)</f>
        <v>#REF!</v>
      </c>
      <c r="EQ84" s="22" t="e">
        <f aca="false">AND(#REF!,"AAAAAG/fL5I=")</f>
        <v>#VALUE!</v>
      </c>
      <c r="ER84" s="22" t="e">
        <f aca="false">AND(#REF!,"AAAAAG/fL5M=")</f>
        <v>#VALUE!</v>
      </c>
      <c r="ES84" s="22" t="e">
        <f aca="false">AND(#REF!,"AAAAAG/fL5Q=")</f>
        <v>#VALUE!</v>
      </c>
      <c r="ET84" s="22" t="e">
        <f aca="false">AND(#REF!,"AAAAAG/fL5U=")</f>
        <v>#VALUE!</v>
      </c>
      <c r="EU84" s="22" t="e">
        <f aca="false">AND(#REF!,"AAAAAG/fL5Y=")</f>
        <v>#VALUE!</v>
      </c>
      <c r="EV84" s="22" t="e">
        <f aca="false">AND(#REF!,"AAAAAG/fL5c=")</f>
        <v>#VALUE!</v>
      </c>
      <c r="EW84" s="22" t="e">
        <f aca="false">AND(#REF!,"AAAAAG/fL5g=")</f>
        <v>#VALUE!</v>
      </c>
      <c r="EX84" s="22" t="e">
        <f aca="false">AND(#REF!,"AAAAAG/fL5k=")</f>
        <v>#VALUE!</v>
      </c>
      <c r="EY84" s="22" t="e">
        <f aca="false">IF(#REF!,"AAAAAG/fL5o=",0)</f>
        <v>#REF!</v>
      </c>
      <c r="EZ84" s="22" t="e">
        <f aca="false">AND(#REF!,"AAAAAG/fL5s=")</f>
        <v>#VALUE!</v>
      </c>
      <c r="FA84" s="22" t="e">
        <f aca="false">AND(#REF!,"AAAAAG/fL5w=")</f>
        <v>#VALUE!</v>
      </c>
      <c r="FB84" s="22" t="e">
        <f aca="false">AND(#REF!,"AAAAAG/fL50=")</f>
        <v>#VALUE!</v>
      </c>
      <c r="FC84" s="22" t="e">
        <f aca="false">AND(#REF!,"AAAAAG/fL54=")</f>
        <v>#VALUE!</v>
      </c>
      <c r="FD84" s="22" t="e">
        <f aca="false">AND(#REF!,"AAAAAG/fL58=")</f>
        <v>#VALUE!</v>
      </c>
      <c r="FE84" s="22" t="e">
        <f aca="false">AND(#REF!,"AAAAAG/fL6A=")</f>
        <v>#VALUE!</v>
      </c>
      <c r="FF84" s="22" t="e">
        <f aca="false">AND(#REF!,"AAAAAG/fL6E=")</f>
        <v>#VALUE!</v>
      </c>
      <c r="FG84" s="22" t="e">
        <f aca="false">AND(#REF!,"AAAAAG/fL6I=")</f>
        <v>#VALUE!</v>
      </c>
      <c r="FH84" s="22" t="e">
        <f aca="false">IF(#REF!,"AAAAAG/fL6M=",0)</f>
        <v>#REF!</v>
      </c>
      <c r="FI84" s="22" t="e">
        <f aca="false">AND(#REF!,"AAAAAG/fL6Q=")</f>
        <v>#VALUE!</v>
      </c>
      <c r="FJ84" s="22" t="e">
        <f aca="false">AND(#REF!,"AAAAAG/fL6U=")</f>
        <v>#VALUE!</v>
      </c>
      <c r="FK84" s="22" t="e">
        <f aca="false">AND(#REF!,"AAAAAG/fL6Y=")</f>
        <v>#VALUE!</v>
      </c>
      <c r="FL84" s="22" t="e">
        <f aca="false">AND(#REF!,"AAAAAG/fL6c=")</f>
        <v>#VALUE!</v>
      </c>
      <c r="FM84" s="22" t="e">
        <f aca="false">AND(#REF!,"AAAAAG/fL6g=")</f>
        <v>#VALUE!</v>
      </c>
      <c r="FN84" s="22" t="e">
        <f aca="false">AND(#REF!,"AAAAAG/fL6k=")</f>
        <v>#VALUE!</v>
      </c>
      <c r="FO84" s="22" t="e">
        <f aca="false">AND(#REF!,"AAAAAG/fL6o=")</f>
        <v>#VALUE!</v>
      </c>
      <c r="FP84" s="22" t="e">
        <f aca="false">AND(#REF!,"AAAAAG/fL6s=")</f>
        <v>#VALUE!</v>
      </c>
      <c r="FQ84" s="22" t="e">
        <f aca="false">IF(#REF!,"AAAAAG/fL6w=",0)</f>
        <v>#REF!</v>
      </c>
      <c r="FR84" s="22" t="e">
        <f aca="false">AND(#REF!,"AAAAAG/fL60=")</f>
        <v>#VALUE!</v>
      </c>
      <c r="FS84" s="22" t="e">
        <f aca="false">AND(#REF!,"AAAAAG/fL64=")</f>
        <v>#VALUE!</v>
      </c>
      <c r="FT84" s="22" t="e">
        <f aca="false">AND(#REF!,"AAAAAG/fL68=")</f>
        <v>#VALUE!</v>
      </c>
      <c r="FU84" s="22" t="e">
        <f aca="false">AND(#REF!,"AAAAAG/fL7A=")</f>
        <v>#VALUE!</v>
      </c>
      <c r="FV84" s="22" t="e">
        <f aca="false">AND(#REF!,"AAAAAG/fL7E=")</f>
        <v>#VALUE!</v>
      </c>
      <c r="FW84" s="22" t="e">
        <f aca="false">AND(#REF!,"AAAAAG/fL7I=")</f>
        <v>#VALUE!</v>
      </c>
      <c r="FX84" s="22" t="e">
        <f aca="false">AND(#REF!,"AAAAAG/fL7M=")</f>
        <v>#VALUE!</v>
      </c>
      <c r="FY84" s="22" t="e">
        <f aca="false">AND(#REF!,"AAAAAG/fL7Q=")</f>
        <v>#VALUE!</v>
      </c>
      <c r="FZ84" s="22" t="e">
        <f aca="false">IF(#REF!,"AAAAAG/fL7U=",0)</f>
        <v>#REF!</v>
      </c>
      <c r="GA84" s="22" t="e">
        <f aca="false">AND(#REF!,"AAAAAG/fL7Y=")</f>
        <v>#VALUE!</v>
      </c>
      <c r="GB84" s="22" t="e">
        <f aca="false">AND(#REF!,"AAAAAG/fL7c=")</f>
        <v>#VALUE!</v>
      </c>
      <c r="GC84" s="22" t="e">
        <f aca="false">AND(#REF!,"AAAAAG/fL7g=")</f>
        <v>#VALUE!</v>
      </c>
      <c r="GD84" s="22" t="e">
        <f aca="false">AND(#REF!,"AAAAAG/fL7k=")</f>
        <v>#VALUE!</v>
      </c>
      <c r="GE84" s="22" t="e">
        <f aca="false">AND(#REF!,"AAAAAG/fL7o=")</f>
        <v>#VALUE!</v>
      </c>
      <c r="GF84" s="22" t="e">
        <f aca="false">AND(#REF!,"AAAAAG/fL7s=")</f>
        <v>#VALUE!</v>
      </c>
      <c r="GG84" s="22" t="e">
        <f aca="false">AND(#REF!,"AAAAAG/fL7w=")</f>
        <v>#VALUE!</v>
      </c>
      <c r="GH84" s="22" t="e">
        <f aca="false">AND(#REF!,"AAAAAG/fL70=")</f>
        <v>#VALUE!</v>
      </c>
      <c r="GI84" s="22" t="e">
        <f aca="false">IF(#REF!,"AAAAAG/fL74=",0)</f>
        <v>#REF!</v>
      </c>
      <c r="GJ84" s="22" t="e">
        <f aca="false">AND(#REF!,"AAAAAG/fL78=")</f>
        <v>#VALUE!</v>
      </c>
      <c r="GK84" s="22" t="e">
        <f aca="false">AND(#REF!,"AAAAAG/fL8A=")</f>
        <v>#VALUE!</v>
      </c>
      <c r="GL84" s="22" t="e">
        <f aca="false">AND(#REF!,"AAAAAG/fL8E=")</f>
        <v>#VALUE!</v>
      </c>
      <c r="GM84" s="22" t="e">
        <f aca="false">AND(#REF!,"AAAAAG/fL8I=")</f>
        <v>#VALUE!</v>
      </c>
      <c r="GN84" s="22" t="e">
        <f aca="false">AND(#REF!,"AAAAAG/fL8M=")</f>
        <v>#VALUE!</v>
      </c>
      <c r="GO84" s="22" t="e">
        <f aca="false">AND(#REF!,"AAAAAG/fL8Q=")</f>
        <v>#VALUE!</v>
      </c>
      <c r="GP84" s="22" t="e">
        <f aca="false">AND(#REF!,"AAAAAG/fL8U=")</f>
        <v>#VALUE!</v>
      </c>
      <c r="GQ84" s="22" t="e">
        <f aca="false">AND(#REF!,"AAAAAG/fL8Y=")</f>
        <v>#VALUE!</v>
      </c>
      <c r="GR84" s="22" t="e">
        <f aca="false">IF(#REF!,"AAAAAG/fL8c=",0)</f>
        <v>#REF!</v>
      </c>
      <c r="GS84" s="22" t="e">
        <f aca="false">AND(#REF!,"AAAAAG/fL8g=")</f>
        <v>#VALUE!</v>
      </c>
      <c r="GT84" s="22" t="e">
        <f aca="false">AND(#REF!,"AAAAAG/fL8k=")</f>
        <v>#VALUE!</v>
      </c>
      <c r="GU84" s="22" t="e">
        <f aca="false">AND(#REF!,"AAAAAG/fL8o=")</f>
        <v>#VALUE!</v>
      </c>
      <c r="GV84" s="22" t="e">
        <f aca="false">AND(#REF!,"AAAAAG/fL8s=")</f>
        <v>#VALUE!</v>
      </c>
      <c r="GW84" s="22" t="e">
        <f aca="false">AND(#REF!,"AAAAAG/fL8w=")</f>
        <v>#VALUE!</v>
      </c>
      <c r="GX84" s="22" t="e">
        <f aca="false">AND(#REF!,"AAAAAG/fL80=")</f>
        <v>#VALUE!</v>
      </c>
      <c r="GY84" s="22" t="e">
        <f aca="false">AND(#REF!,"AAAAAG/fL84=")</f>
        <v>#VALUE!</v>
      </c>
      <c r="GZ84" s="22" t="e">
        <f aca="false">AND(#REF!,"AAAAAG/fL88=")</f>
        <v>#VALUE!</v>
      </c>
      <c r="HA84" s="22" t="e">
        <f aca="false">IF(#REF!,"AAAAAG/fL9A=",0)</f>
        <v>#REF!</v>
      </c>
      <c r="HB84" s="22" t="e">
        <f aca="false">AND(#REF!,"AAAAAG/fL9E=")</f>
        <v>#VALUE!</v>
      </c>
      <c r="HC84" s="22" t="e">
        <f aca="false">AND(#REF!,"AAAAAG/fL9I=")</f>
        <v>#VALUE!</v>
      </c>
      <c r="HD84" s="22" t="e">
        <f aca="false">AND(#REF!,"AAAAAG/fL9M=")</f>
        <v>#VALUE!</v>
      </c>
      <c r="HE84" s="22" t="e">
        <f aca="false">AND(#REF!,"AAAAAG/fL9Q=")</f>
        <v>#VALUE!</v>
      </c>
      <c r="HF84" s="22" t="e">
        <f aca="false">AND(#REF!,"AAAAAG/fL9U=")</f>
        <v>#VALUE!</v>
      </c>
      <c r="HG84" s="22" t="e">
        <f aca="false">AND(#REF!,"AAAAAG/fL9Y=")</f>
        <v>#VALUE!</v>
      </c>
      <c r="HH84" s="22" t="e">
        <f aca="false">AND(#REF!,"AAAAAG/fL9c=")</f>
        <v>#VALUE!</v>
      </c>
      <c r="HI84" s="22" t="e">
        <f aca="false">AND(#REF!,"AAAAAG/fL9g=")</f>
        <v>#VALUE!</v>
      </c>
      <c r="HJ84" s="22" t="e">
        <f aca="false">IF(#REF!,"AAAAAG/fL9k=",0)</f>
        <v>#REF!</v>
      </c>
      <c r="HK84" s="22" t="e">
        <f aca="false">AND(#REF!,"AAAAAG/fL9o=")</f>
        <v>#VALUE!</v>
      </c>
      <c r="HL84" s="22" t="e">
        <f aca="false">AND(#REF!,"AAAAAG/fL9s=")</f>
        <v>#VALUE!</v>
      </c>
      <c r="HM84" s="22" t="e">
        <f aca="false">AND(#REF!,"AAAAAG/fL9w=")</f>
        <v>#VALUE!</v>
      </c>
      <c r="HN84" s="22" t="e">
        <f aca="false">AND(#REF!,"AAAAAG/fL90=")</f>
        <v>#VALUE!</v>
      </c>
      <c r="HO84" s="22" t="e">
        <f aca="false">AND(#REF!,"AAAAAG/fL94=")</f>
        <v>#VALUE!</v>
      </c>
      <c r="HP84" s="22" t="e">
        <f aca="false">AND(#REF!,"AAAAAG/fL98=")</f>
        <v>#VALUE!</v>
      </c>
      <c r="HQ84" s="22" t="e">
        <f aca="false">AND(#REF!,"AAAAAG/fL+A=")</f>
        <v>#VALUE!</v>
      </c>
      <c r="HR84" s="22" t="e">
        <f aca="false">AND(#REF!,"AAAAAG/fL+E=")</f>
        <v>#VALUE!</v>
      </c>
      <c r="HS84" s="22" t="e">
        <f aca="false">IF(#REF!,"AAAAAG/fL+I=",0)</f>
        <v>#REF!</v>
      </c>
      <c r="HT84" s="22" t="e">
        <f aca="false">AND(#REF!,"AAAAAG/fL+M=")</f>
        <v>#VALUE!</v>
      </c>
      <c r="HU84" s="22" t="e">
        <f aca="false">AND(#REF!,"AAAAAG/fL+Q=")</f>
        <v>#VALUE!</v>
      </c>
      <c r="HV84" s="22" t="e">
        <f aca="false">AND(#REF!,"AAAAAG/fL+U=")</f>
        <v>#VALUE!</v>
      </c>
      <c r="HW84" s="22" t="e">
        <f aca="false">AND(#REF!,"AAAAAG/fL+Y=")</f>
        <v>#VALUE!</v>
      </c>
      <c r="HX84" s="22" t="e">
        <f aca="false">AND(#REF!,"AAAAAG/fL+c=")</f>
        <v>#VALUE!</v>
      </c>
      <c r="HY84" s="22" t="e">
        <f aca="false">AND(#REF!,"AAAAAG/fL+g=")</f>
        <v>#VALUE!</v>
      </c>
      <c r="HZ84" s="22" t="e">
        <f aca="false">AND(#REF!,"AAAAAG/fL+k=")</f>
        <v>#VALUE!</v>
      </c>
      <c r="IA84" s="22" t="e">
        <f aca="false">AND(#REF!,"AAAAAG/fL+o=")</f>
        <v>#VALUE!</v>
      </c>
      <c r="IB84" s="22" t="e">
        <f aca="false">IF(#REF!,"AAAAAG/fL+s=",0)</f>
        <v>#REF!</v>
      </c>
      <c r="IC84" s="22" t="e">
        <f aca="false">AND(#REF!,"AAAAAG/fL+w=")</f>
        <v>#VALUE!</v>
      </c>
      <c r="ID84" s="22" t="e">
        <f aca="false">AND(#REF!,"AAAAAG/fL+0=")</f>
        <v>#VALUE!</v>
      </c>
      <c r="IE84" s="22" t="e">
        <f aca="false">AND(#REF!,"AAAAAG/fL+4=")</f>
        <v>#VALUE!</v>
      </c>
      <c r="IF84" s="22" t="e">
        <f aca="false">AND(#REF!,"AAAAAG/fL+8=")</f>
        <v>#VALUE!</v>
      </c>
      <c r="IG84" s="22" t="e">
        <f aca="false">AND(#REF!,"AAAAAG/fL/A=")</f>
        <v>#VALUE!</v>
      </c>
      <c r="IH84" s="22" t="e">
        <f aca="false">AND(#REF!,"AAAAAG/fL/E=")</f>
        <v>#VALUE!</v>
      </c>
      <c r="II84" s="22" t="e">
        <f aca="false">AND(#REF!,"AAAAAG/fL/I=")</f>
        <v>#VALUE!</v>
      </c>
      <c r="IJ84" s="22" t="e">
        <f aca="false">AND(#REF!,"AAAAAG/fL/M=")</f>
        <v>#VALUE!</v>
      </c>
      <c r="IK84" s="22" t="e">
        <f aca="false">IF(#REF!,"AAAAAG/fL/Q=",0)</f>
        <v>#REF!</v>
      </c>
      <c r="IL84" s="22" t="e">
        <f aca="false">AND(#REF!,"AAAAAG/fL/U=")</f>
        <v>#VALUE!</v>
      </c>
      <c r="IM84" s="22" t="e">
        <f aca="false">AND(#REF!,"AAAAAG/fL/Y=")</f>
        <v>#VALUE!</v>
      </c>
      <c r="IN84" s="22" t="e">
        <f aca="false">AND(#REF!,"AAAAAG/fL/c=")</f>
        <v>#VALUE!</v>
      </c>
      <c r="IO84" s="22" t="e">
        <f aca="false">AND(#REF!,"AAAAAG/fL/g=")</f>
        <v>#VALUE!</v>
      </c>
      <c r="IP84" s="22" t="e">
        <f aca="false">AND(#REF!,"AAAAAG/fL/k=")</f>
        <v>#VALUE!</v>
      </c>
      <c r="IQ84" s="22" t="e">
        <f aca="false">AND(#REF!,"AAAAAG/fL/o=")</f>
        <v>#VALUE!</v>
      </c>
      <c r="IR84" s="22" t="e">
        <f aca="false">AND(#REF!,"AAAAAG/fL/s=")</f>
        <v>#VALUE!</v>
      </c>
      <c r="IS84" s="22" t="e">
        <f aca="false">AND(#REF!,"AAAAAG/fL/w=")</f>
        <v>#VALUE!</v>
      </c>
      <c r="IT84" s="22" t="e">
        <f aca="false">IF(#REF!,"AAAAAG/fL/0=",0)</f>
        <v>#REF!</v>
      </c>
      <c r="IU84" s="22" t="e">
        <f aca="false">AND(#REF!,"AAAAAG/fL/4=")</f>
        <v>#VALUE!</v>
      </c>
      <c r="IV84" s="22" t="e">
        <f aca="false">AND(#REF!,"AAAAAG/fL/8=")</f>
        <v>#VALUE!</v>
      </c>
    </row>
    <row r="85" customFormat="false" ht="12.75" hidden="false" customHeight="false" outlineLevel="0" collapsed="false">
      <c r="A85" s="22" t="e">
        <f aca="false">AND(#REF!,"AAAAAHh/fwA=")</f>
        <v>#VALUE!</v>
      </c>
      <c r="B85" s="22" t="e">
        <f aca="false">AND(#REF!,"AAAAAHh/fwE=")</f>
        <v>#VALUE!</v>
      </c>
      <c r="C85" s="22" t="e">
        <f aca="false">AND(#REF!,"AAAAAHh/fwI=")</f>
        <v>#VALUE!</v>
      </c>
      <c r="D85" s="22" t="e">
        <f aca="false">AND(#REF!,"AAAAAHh/fwM=")</f>
        <v>#VALUE!</v>
      </c>
      <c r="E85" s="22" t="e">
        <f aca="false">AND(#REF!,"AAAAAHh/fwQ=")</f>
        <v>#VALUE!</v>
      </c>
      <c r="F85" s="22" t="e">
        <f aca="false">AND(#REF!,"AAAAAHh/fwU=")</f>
        <v>#VALUE!</v>
      </c>
      <c r="G85" s="22" t="e">
        <f aca="false">IF(#REF!,"AAAAAHh/fwY=",0)</f>
        <v>#REF!</v>
      </c>
      <c r="H85" s="22" t="e">
        <f aca="false">AND(#REF!,"AAAAAHh/fwc=")</f>
        <v>#VALUE!</v>
      </c>
      <c r="I85" s="22" t="e">
        <f aca="false">AND(#REF!,"AAAAAHh/fwg=")</f>
        <v>#VALUE!</v>
      </c>
      <c r="J85" s="22" t="e">
        <f aca="false">AND(#REF!,"AAAAAHh/fwk=")</f>
        <v>#VALUE!</v>
      </c>
      <c r="K85" s="22" t="e">
        <f aca="false">AND(#REF!,"AAAAAHh/fwo=")</f>
        <v>#VALUE!</v>
      </c>
      <c r="L85" s="22" t="e">
        <f aca="false">AND(#REF!,"AAAAAHh/fws=")</f>
        <v>#VALUE!</v>
      </c>
      <c r="M85" s="22" t="e">
        <f aca="false">AND(#REF!,"AAAAAHh/fww=")</f>
        <v>#VALUE!</v>
      </c>
      <c r="N85" s="22" t="e">
        <f aca="false">AND(#REF!,"AAAAAHh/fw0=")</f>
        <v>#VALUE!</v>
      </c>
      <c r="O85" s="22" t="e">
        <f aca="false">AND(#REF!,"AAAAAHh/fw4=")</f>
        <v>#VALUE!</v>
      </c>
      <c r="P85" s="22" t="e">
        <f aca="false">IF(#REF!,"AAAAAHh/fw8=",0)</f>
        <v>#REF!</v>
      </c>
      <c r="Q85" s="22" t="e">
        <f aca="false">AND(#REF!,"AAAAAHh/fxA=")</f>
        <v>#VALUE!</v>
      </c>
      <c r="R85" s="22" t="e">
        <f aca="false">AND(#REF!,"AAAAAHh/fxE=")</f>
        <v>#VALUE!</v>
      </c>
      <c r="S85" s="22" t="e">
        <f aca="false">AND(#REF!,"AAAAAHh/fxI=")</f>
        <v>#VALUE!</v>
      </c>
      <c r="T85" s="22" t="e">
        <f aca="false">AND(#REF!,"AAAAAHh/fxM=")</f>
        <v>#VALUE!</v>
      </c>
      <c r="U85" s="22" t="e">
        <f aca="false">AND(#REF!,"AAAAAHh/fxQ=")</f>
        <v>#VALUE!</v>
      </c>
      <c r="V85" s="22" t="e">
        <f aca="false">AND(#REF!,"AAAAAHh/fxU=")</f>
        <v>#VALUE!</v>
      </c>
      <c r="W85" s="22" t="e">
        <f aca="false">AND(#REF!,"AAAAAHh/fxY=")</f>
        <v>#VALUE!</v>
      </c>
      <c r="X85" s="22" t="e">
        <f aca="false">AND(#REF!,"AAAAAHh/fxc=")</f>
        <v>#VALUE!</v>
      </c>
      <c r="Y85" s="22" t="e">
        <f aca="false">IF(#REF!,"AAAAAHh/fxg=",0)</f>
        <v>#REF!</v>
      </c>
      <c r="Z85" s="22" t="e">
        <f aca="false">AND(#REF!,"AAAAAHh/fxk=")</f>
        <v>#VALUE!</v>
      </c>
      <c r="AA85" s="22" t="e">
        <f aca="false">AND(#REF!,"AAAAAHh/fxo=")</f>
        <v>#VALUE!</v>
      </c>
      <c r="AB85" s="22" t="e">
        <f aca="false">AND(#REF!,"AAAAAHh/fxs=")</f>
        <v>#VALUE!</v>
      </c>
      <c r="AC85" s="22" t="e">
        <f aca="false">AND(#REF!,"AAAAAHh/fxw=")</f>
        <v>#VALUE!</v>
      </c>
      <c r="AD85" s="22" t="e">
        <f aca="false">AND(#REF!,"AAAAAHh/fx0=")</f>
        <v>#VALUE!</v>
      </c>
      <c r="AE85" s="22" t="e">
        <f aca="false">AND(#REF!,"AAAAAHh/fx4=")</f>
        <v>#VALUE!</v>
      </c>
      <c r="AF85" s="22" t="e">
        <f aca="false">AND(#REF!,"AAAAAHh/fx8=")</f>
        <v>#VALUE!</v>
      </c>
      <c r="AG85" s="22" t="e">
        <f aca="false">AND(#REF!,"AAAAAHh/fyA=")</f>
        <v>#VALUE!</v>
      </c>
      <c r="AH85" s="22" t="e">
        <f aca="false">IF(#REF!,"AAAAAHh/fyE=",0)</f>
        <v>#REF!</v>
      </c>
      <c r="AI85" s="22" t="e">
        <f aca="false">AND(#REF!,"AAAAAHh/fyI=")</f>
        <v>#VALUE!</v>
      </c>
      <c r="AJ85" s="22" t="e">
        <f aca="false">AND(#REF!,"AAAAAHh/fyM=")</f>
        <v>#VALUE!</v>
      </c>
      <c r="AK85" s="22" t="e">
        <f aca="false">AND(#REF!,"AAAAAHh/fyQ=")</f>
        <v>#VALUE!</v>
      </c>
      <c r="AL85" s="22" t="e">
        <f aca="false">AND(#REF!,"AAAAAHh/fyU=")</f>
        <v>#VALUE!</v>
      </c>
      <c r="AM85" s="22" t="e">
        <f aca="false">AND(#REF!,"AAAAAHh/fyY=")</f>
        <v>#VALUE!</v>
      </c>
      <c r="AN85" s="22" t="e">
        <f aca="false">AND(#REF!,"AAAAAHh/fyc=")</f>
        <v>#VALUE!</v>
      </c>
      <c r="AO85" s="22" t="e">
        <f aca="false">AND(#REF!,"AAAAAHh/fyg=")</f>
        <v>#VALUE!</v>
      </c>
      <c r="AP85" s="22" t="e">
        <f aca="false">AND(#REF!,"AAAAAHh/fyk=")</f>
        <v>#VALUE!</v>
      </c>
      <c r="AQ85" s="22" t="e">
        <f aca="false">IF(#REF!,"AAAAAHh/fyo=",0)</f>
        <v>#REF!</v>
      </c>
      <c r="AR85" s="22" t="e">
        <f aca="false">AND(#REF!,"AAAAAHh/fys=")</f>
        <v>#VALUE!</v>
      </c>
      <c r="AS85" s="22" t="e">
        <f aca="false">AND(#REF!,"AAAAAHh/fyw=")</f>
        <v>#VALUE!</v>
      </c>
      <c r="AT85" s="22" t="e">
        <f aca="false">AND(#REF!,"AAAAAHh/fy0=")</f>
        <v>#VALUE!</v>
      </c>
      <c r="AU85" s="22" t="e">
        <f aca="false">AND(#REF!,"AAAAAHh/fy4=")</f>
        <v>#VALUE!</v>
      </c>
      <c r="AV85" s="22" t="e">
        <f aca="false">AND(#REF!,"AAAAAHh/fy8=")</f>
        <v>#VALUE!</v>
      </c>
      <c r="AW85" s="22" t="e">
        <f aca="false">AND(#REF!,"AAAAAHh/fzA=")</f>
        <v>#VALUE!</v>
      </c>
      <c r="AX85" s="22" t="e">
        <f aca="false">AND(#REF!,"AAAAAHh/fzE=")</f>
        <v>#VALUE!</v>
      </c>
      <c r="AY85" s="22" t="e">
        <f aca="false">AND(#REF!,"AAAAAHh/fzI=")</f>
        <v>#VALUE!</v>
      </c>
      <c r="AZ85" s="22" t="e">
        <f aca="false">IF(#REF!,"AAAAAHh/fzM=",0)</f>
        <v>#REF!</v>
      </c>
      <c r="BA85" s="22" t="e">
        <f aca="false">AND(#REF!,"AAAAAHh/fzQ=")</f>
        <v>#VALUE!</v>
      </c>
      <c r="BB85" s="22" t="e">
        <f aca="false">AND(#REF!,"AAAAAHh/fzU=")</f>
        <v>#VALUE!</v>
      </c>
      <c r="BC85" s="22" t="e">
        <f aca="false">AND(#REF!,"AAAAAHh/fzY=")</f>
        <v>#VALUE!</v>
      </c>
      <c r="BD85" s="22" t="e">
        <f aca="false">AND(#REF!,"AAAAAHh/fzc=")</f>
        <v>#VALUE!</v>
      </c>
      <c r="BE85" s="22" t="e">
        <f aca="false">AND(#REF!,"AAAAAHh/fzg=")</f>
        <v>#VALUE!</v>
      </c>
      <c r="BF85" s="22" t="e">
        <f aca="false">AND(#REF!,"AAAAAHh/fzk=")</f>
        <v>#VALUE!</v>
      </c>
      <c r="BG85" s="22" t="e">
        <f aca="false">AND(#REF!,"AAAAAHh/fzo=")</f>
        <v>#VALUE!</v>
      </c>
      <c r="BH85" s="22" t="e">
        <f aca="false">AND(#REF!,"AAAAAHh/fzs=")</f>
        <v>#VALUE!</v>
      </c>
      <c r="BI85" s="22" t="e">
        <f aca="false">IF(#REF!,"AAAAAHh/fzw=",0)</f>
        <v>#REF!</v>
      </c>
      <c r="BJ85" s="22" t="e">
        <f aca="false">AND(#REF!,"AAAAAHh/fz0=")</f>
        <v>#VALUE!</v>
      </c>
      <c r="BK85" s="22" t="e">
        <f aca="false">AND(#REF!,"AAAAAHh/fz4=")</f>
        <v>#VALUE!</v>
      </c>
      <c r="BL85" s="22" t="e">
        <f aca="false">AND(#REF!,"AAAAAHh/fz8=")</f>
        <v>#VALUE!</v>
      </c>
      <c r="BM85" s="22" t="e">
        <f aca="false">AND(#REF!,"AAAAAHh/f0A=")</f>
        <v>#VALUE!</v>
      </c>
      <c r="BN85" s="22" t="e">
        <f aca="false">AND(#REF!,"AAAAAHh/f0E=")</f>
        <v>#VALUE!</v>
      </c>
      <c r="BO85" s="22" t="e">
        <f aca="false">AND(#REF!,"AAAAAHh/f0I=")</f>
        <v>#VALUE!</v>
      </c>
      <c r="BP85" s="22" t="e">
        <f aca="false">AND(#REF!,"AAAAAHh/f0M=")</f>
        <v>#VALUE!</v>
      </c>
      <c r="BQ85" s="22" t="e">
        <f aca="false">AND(#REF!,"AAAAAHh/f0Q=")</f>
        <v>#VALUE!</v>
      </c>
      <c r="BR85" s="22" t="e">
        <f aca="false">IF(#REF!,"AAAAAHh/f0U=",0)</f>
        <v>#REF!</v>
      </c>
      <c r="BS85" s="22" t="e">
        <f aca="false">AND(#REF!,"AAAAAHh/f0Y=")</f>
        <v>#VALUE!</v>
      </c>
      <c r="BT85" s="22" t="e">
        <f aca="false">AND(#REF!,"AAAAAHh/f0c=")</f>
        <v>#VALUE!</v>
      </c>
      <c r="BU85" s="22" t="e">
        <f aca="false">AND(#REF!,"AAAAAHh/f0g=")</f>
        <v>#VALUE!</v>
      </c>
      <c r="BV85" s="22" t="e">
        <f aca="false">AND(#REF!,"AAAAAHh/f0k=")</f>
        <v>#VALUE!</v>
      </c>
      <c r="BW85" s="22" t="e">
        <f aca="false">AND(#REF!,"AAAAAHh/f0o=")</f>
        <v>#VALUE!</v>
      </c>
      <c r="BX85" s="22" t="e">
        <f aca="false">AND(#REF!,"AAAAAHh/f0s=")</f>
        <v>#VALUE!</v>
      </c>
      <c r="BY85" s="22" t="e">
        <f aca="false">AND(#REF!,"AAAAAHh/f0w=")</f>
        <v>#VALUE!</v>
      </c>
      <c r="BZ85" s="22" t="e">
        <f aca="false">AND(#REF!,"AAAAAHh/f00=")</f>
        <v>#VALUE!</v>
      </c>
      <c r="CA85" s="22" t="e">
        <f aca="false">IF(#REF!,"AAAAAHh/f04=",0)</f>
        <v>#REF!</v>
      </c>
      <c r="CB85" s="22" t="e">
        <f aca="false">AND(#REF!,"AAAAAHh/f08=")</f>
        <v>#VALUE!</v>
      </c>
      <c r="CC85" s="22" t="e">
        <f aca="false">AND(#REF!,"AAAAAHh/f1A=")</f>
        <v>#VALUE!</v>
      </c>
      <c r="CD85" s="22" t="e">
        <f aca="false">AND(#REF!,"AAAAAHh/f1E=")</f>
        <v>#VALUE!</v>
      </c>
      <c r="CE85" s="22" t="e">
        <f aca="false">AND(#REF!,"AAAAAHh/f1I=")</f>
        <v>#VALUE!</v>
      </c>
      <c r="CF85" s="22" t="e">
        <f aca="false">AND(#REF!,"AAAAAHh/f1M=")</f>
        <v>#VALUE!</v>
      </c>
      <c r="CG85" s="22" t="e">
        <f aca="false">AND(#REF!,"AAAAAHh/f1Q=")</f>
        <v>#VALUE!</v>
      </c>
      <c r="CH85" s="22" t="e">
        <f aca="false">AND(#REF!,"AAAAAHh/f1U=")</f>
        <v>#VALUE!</v>
      </c>
      <c r="CI85" s="22" t="e">
        <f aca="false">AND(#REF!,"AAAAAHh/f1Y=")</f>
        <v>#VALUE!</v>
      </c>
      <c r="CJ85" s="22" t="e">
        <f aca="false">IF(#REF!,"AAAAAHh/f1c=",0)</f>
        <v>#REF!</v>
      </c>
      <c r="CK85" s="22" t="e">
        <f aca="false">AND(#REF!,"AAAAAHh/f1g=")</f>
        <v>#VALUE!</v>
      </c>
      <c r="CL85" s="22" t="e">
        <f aca="false">AND(#REF!,"AAAAAHh/f1k=")</f>
        <v>#VALUE!</v>
      </c>
      <c r="CM85" s="22" t="e">
        <f aca="false">AND(#REF!,"AAAAAHh/f1o=")</f>
        <v>#VALUE!</v>
      </c>
      <c r="CN85" s="22" t="e">
        <f aca="false">AND(#REF!,"AAAAAHh/f1s=")</f>
        <v>#VALUE!</v>
      </c>
      <c r="CO85" s="22" t="e">
        <f aca="false">AND(#REF!,"AAAAAHh/f1w=")</f>
        <v>#VALUE!</v>
      </c>
      <c r="CP85" s="22" t="e">
        <f aca="false">AND(#REF!,"AAAAAHh/f10=")</f>
        <v>#VALUE!</v>
      </c>
      <c r="CQ85" s="22" t="e">
        <f aca="false">AND(#REF!,"AAAAAHh/f14=")</f>
        <v>#VALUE!</v>
      </c>
      <c r="CR85" s="22" t="e">
        <f aca="false">AND(#REF!,"AAAAAHh/f18=")</f>
        <v>#VALUE!</v>
      </c>
      <c r="CS85" s="22" t="e">
        <f aca="false">IF(#REF!,"AAAAAHh/f2A=",0)</f>
        <v>#REF!</v>
      </c>
      <c r="CT85" s="22" t="e">
        <f aca="false">AND(#REF!,"AAAAAHh/f2E=")</f>
        <v>#VALUE!</v>
      </c>
      <c r="CU85" s="22" t="e">
        <f aca="false">AND(#REF!,"AAAAAHh/f2I=")</f>
        <v>#VALUE!</v>
      </c>
      <c r="CV85" s="22" t="e">
        <f aca="false">AND(#REF!,"AAAAAHh/f2M=")</f>
        <v>#VALUE!</v>
      </c>
      <c r="CW85" s="22" t="e">
        <f aca="false">AND(#REF!,"AAAAAHh/f2Q=")</f>
        <v>#VALUE!</v>
      </c>
      <c r="CX85" s="22" t="e">
        <f aca="false">AND(#REF!,"AAAAAHh/f2U=")</f>
        <v>#VALUE!</v>
      </c>
      <c r="CY85" s="22" t="e">
        <f aca="false">AND(#REF!,"AAAAAHh/f2Y=")</f>
        <v>#VALUE!</v>
      </c>
      <c r="CZ85" s="22" t="e">
        <f aca="false">AND(#REF!,"AAAAAHh/f2c=")</f>
        <v>#VALUE!</v>
      </c>
      <c r="DA85" s="22" t="e">
        <f aca="false">AND(#REF!,"AAAAAHh/f2g=")</f>
        <v>#VALUE!</v>
      </c>
      <c r="DB85" s="22" t="e">
        <f aca="false">IF(#REF!,"AAAAAHh/f2k=",0)</f>
        <v>#REF!</v>
      </c>
      <c r="DC85" s="22" t="e">
        <f aca="false">AND(#REF!,"AAAAAHh/f2o=")</f>
        <v>#VALUE!</v>
      </c>
      <c r="DD85" s="22" t="e">
        <f aca="false">AND(#REF!,"AAAAAHh/f2s=")</f>
        <v>#VALUE!</v>
      </c>
      <c r="DE85" s="22" t="e">
        <f aca="false">AND(#REF!,"AAAAAHh/f2w=")</f>
        <v>#VALUE!</v>
      </c>
      <c r="DF85" s="22" t="e">
        <f aca="false">AND(#REF!,"AAAAAHh/f20=")</f>
        <v>#VALUE!</v>
      </c>
      <c r="DG85" s="22" t="e">
        <f aca="false">AND(#REF!,"AAAAAHh/f24=")</f>
        <v>#VALUE!</v>
      </c>
      <c r="DH85" s="22" t="e">
        <f aca="false">AND(#REF!,"AAAAAHh/f28=")</f>
        <v>#VALUE!</v>
      </c>
      <c r="DI85" s="22" t="e">
        <f aca="false">AND(#REF!,"AAAAAHh/f3A=")</f>
        <v>#VALUE!</v>
      </c>
      <c r="DJ85" s="22" t="e">
        <f aca="false">AND(#REF!,"AAAAAHh/f3E=")</f>
        <v>#VALUE!</v>
      </c>
      <c r="DK85" s="22" t="e">
        <f aca="false">IF(#REF!,"AAAAAHh/f3I=",0)</f>
        <v>#REF!</v>
      </c>
      <c r="DL85" s="22" t="e">
        <f aca="false">AND(#REF!,"AAAAAHh/f3M=")</f>
        <v>#VALUE!</v>
      </c>
      <c r="DM85" s="22" t="e">
        <f aca="false">AND(#REF!,"AAAAAHh/f3Q=")</f>
        <v>#VALUE!</v>
      </c>
      <c r="DN85" s="22" t="e">
        <f aca="false">AND(#REF!,"AAAAAHh/f3U=")</f>
        <v>#VALUE!</v>
      </c>
      <c r="DO85" s="22" t="e">
        <f aca="false">AND(#REF!,"AAAAAHh/f3Y=")</f>
        <v>#VALUE!</v>
      </c>
      <c r="DP85" s="22" t="e">
        <f aca="false">AND(#REF!,"AAAAAHh/f3c=")</f>
        <v>#VALUE!</v>
      </c>
      <c r="DQ85" s="22" t="e">
        <f aca="false">AND(#REF!,"AAAAAHh/f3g=")</f>
        <v>#VALUE!</v>
      </c>
      <c r="DR85" s="22" t="e">
        <f aca="false">AND(#REF!,"AAAAAHh/f3k=")</f>
        <v>#VALUE!</v>
      </c>
      <c r="DS85" s="22" t="e">
        <f aca="false">AND(#REF!,"AAAAAHh/f3o=")</f>
        <v>#VALUE!</v>
      </c>
      <c r="DT85" s="22" t="e">
        <f aca="false">IF(#REF!,"AAAAAHh/f3s=",0)</f>
        <v>#REF!</v>
      </c>
      <c r="DU85" s="22" t="e">
        <f aca="false">AND(#REF!,"AAAAAHh/f3w=")</f>
        <v>#VALUE!</v>
      </c>
      <c r="DV85" s="22" t="e">
        <f aca="false">AND(#REF!,"AAAAAHh/f30=")</f>
        <v>#VALUE!</v>
      </c>
      <c r="DW85" s="22" t="e">
        <f aca="false">AND(#REF!,"AAAAAHh/f34=")</f>
        <v>#VALUE!</v>
      </c>
      <c r="DX85" s="22" t="e">
        <f aca="false">AND(#REF!,"AAAAAHh/f38=")</f>
        <v>#VALUE!</v>
      </c>
      <c r="DY85" s="22" t="e">
        <f aca="false">AND(#REF!,"AAAAAHh/f4A=")</f>
        <v>#VALUE!</v>
      </c>
      <c r="DZ85" s="22" t="e">
        <f aca="false">AND(#REF!,"AAAAAHh/f4E=")</f>
        <v>#VALUE!</v>
      </c>
      <c r="EA85" s="22" t="e">
        <f aca="false">AND(#REF!,"AAAAAHh/f4I=")</f>
        <v>#VALUE!</v>
      </c>
      <c r="EB85" s="22" t="e">
        <f aca="false">AND(#REF!,"AAAAAHh/f4M=")</f>
        <v>#VALUE!</v>
      </c>
      <c r="EC85" s="22" t="e">
        <f aca="false">IF(#REF!,"AAAAAHh/f4Q=",0)</f>
        <v>#REF!</v>
      </c>
      <c r="ED85" s="22" t="e">
        <f aca="false">AND(#REF!,"AAAAAHh/f4U=")</f>
        <v>#VALUE!</v>
      </c>
      <c r="EE85" s="22" t="e">
        <f aca="false">AND(#REF!,"AAAAAHh/f4Y=")</f>
        <v>#VALUE!</v>
      </c>
      <c r="EF85" s="22" t="e">
        <f aca="false">AND(#REF!,"AAAAAHh/f4c=")</f>
        <v>#VALUE!</v>
      </c>
      <c r="EG85" s="22" t="e">
        <f aca="false">AND(#REF!,"AAAAAHh/f4g=")</f>
        <v>#VALUE!</v>
      </c>
      <c r="EH85" s="22" t="e">
        <f aca="false">AND(#REF!,"AAAAAHh/f4k=")</f>
        <v>#VALUE!</v>
      </c>
      <c r="EI85" s="22" t="e">
        <f aca="false">AND(#REF!,"AAAAAHh/f4o=")</f>
        <v>#VALUE!</v>
      </c>
      <c r="EJ85" s="22" t="e">
        <f aca="false">AND(#REF!,"AAAAAHh/f4s=")</f>
        <v>#VALUE!</v>
      </c>
      <c r="EK85" s="22" t="e">
        <f aca="false">AND(#REF!,"AAAAAHh/f4w=")</f>
        <v>#VALUE!</v>
      </c>
      <c r="EL85" s="22" t="e">
        <f aca="false">IF(#REF!,"AAAAAHh/f40=",0)</f>
        <v>#REF!</v>
      </c>
      <c r="EM85" s="22" t="e">
        <f aca="false">AND(#REF!,"AAAAAHh/f44=")</f>
        <v>#VALUE!</v>
      </c>
      <c r="EN85" s="22" t="e">
        <f aca="false">AND(#REF!,"AAAAAHh/f48=")</f>
        <v>#VALUE!</v>
      </c>
      <c r="EO85" s="22" t="e">
        <f aca="false">AND(#REF!,"AAAAAHh/f5A=")</f>
        <v>#VALUE!</v>
      </c>
      <c r="EP85" s="22" t="e">
        <f aca="false">AND(#REF!,"AAAAAHh/f5E=")</f>
        <v>#VALUE!</v>
      </c>
      <c r="EQ85" s="22" t="e">
        <f aca="false">AND(#REF!,"AAAAAHh/f5I=")</f>
        <v>#VALUE!</v>
      </c>
      <c r="ER85" s="22" t="e">
        <f aca="false">AND(#REF!,"AAAAAHh/f5M=")</f>
        <v>#VALUE!</v>
      </c>
      <c r="ES85" s="22" t="e">
        <f aca="false">AND(#REF!,"AAAAAHh/f5Q=")</f>
        <v>#VALUE!</v>
      </c>
      <c r="ET85" s="22" t="e">
        <f aca="false">AND(#REF!,"AAAAAHh/f5U=")</f>
        <v>#VALUE!</v>
      </c>
      <c r="EU85" s="22" t="e">
        <f aca="false">IF(#REF!,"AAAAAHh/f5Y=",0)</f>
        <v>#REF!</v>
      </c>
      <c r="EV85" s="22" t="e">
        <f aca="false">AND(#REF!,"AAAAAHh/f5c=")</f>
        <v>#VALUE!</v>
      </c>
      <c r="EW85" s="22" t="e">
        <f aca="false">AND(#REF!,"AAAAAHh/f5g=")</f>
        <v>#VALUE!</v>
      </c>
      <c r="EX85" s="22" t="e">
        <f aca="false">AND(#REF!,"AAAAAHh/f5k=")</f>
        <v>#VALUE!</v>
      </c>
      <c r="EY85" s="22" t="e">
        <f aca="false">AND(#REF!,"AAAAAHh/f5o=")</f>
        <v>#VALUE!</v>
      </c>
      <c r="EZ85" s="22" t="e">
        <f aca="false">AND(#REF!,"AAAAAHh/f5s=")</f>
        <v>#VALUE!</v>
      </c>
      <c r="FA85" s="22" t="e">
        <f aca="false">AND(#REF!,"AAAAAHh/f5w=")</f>
        <v>#VALUE!</v>
      </c>
      <c r="FB85" s="22" t="e">
        <f aca="false">AND(#REF!,"AAAAAHh/f50=")</f>
        <v>#VALUE!</v>
      </c>
      <c r="FC85" s="22" t="e">
        <f aca="false">AND(#REF!,"AAAAAHh/f54=")</f>
        <v>#VALUE!</v>
      </c>
      <c r="FD85" s="22" t="e">
        <f aca="false">IF(#REF!,"AAAAAHh/f58=",0)</f>
        <v>#REF!</v>
      </c>
      <c r="FE85" s="22" t="e">
        <f aca="false">AND(#REF!,"AAAAAHh/f6A=")</f>
        <v>#VALUE!</v>
      </c>
      <c r="FF85" s="22" t="e">
        <f aca="false">AND(#REF!,"AAAAAHh/f6E=")</f>
        <v>#VALUE!</v>
      </c>
      <c r="FG85" s="22" t="e">
        <f aca="false">AND(#REF!,"AAAAAHh/f6I=")</f>
        <v>#VALUE!</v>
      </c>
      <c r="FH85" s="22" t="e">
        <f aca="false">AND(#REF!,"AAAAAHh/f6M=")</f>
        <v>#VALUE!</v>
      </c>
      <c r="FI85" s="22" t="e">
        <f aca="false">AND(#REF!,"AAAAAHh/f6Q=")</f>
        <v>#VALUE!</v>
      </c>
      <c r="FJ85" s="22" t="e">
        <f aca="false">AND(#REF!,"AAAAAHh/f6U=")</f>
        <v>#VALUE!</v>
      </c>
      <c r="FK85" s="22" t="e">
        <f aca="false">AND(#REF!,"AAAAAHh/f6Y=")</f>
        <v>#VALUE!</v>
      </c>
      <c r="FL85" s="22" t="e">
        <f aca="false">AND(#REF!,"AAAAAHh/f6c=")</f>
        <v>#VALUE!</v>
      </c>
      <c r="FM85" s="22" t="e">
        <f aca="false">IF(#REF!,"AAAAAHh/f6g=",0)</f>
        <v>#REF!</v>
      </c>
      <c r="FN85" s="22" t="e">
        <f aca="false">AND(#REF!,"AAAAAHh/f6k=")</f>
        <v>#VALUE!</v>
      </c>
      <c r="FO85" s="22" t="e">
        <f aca="false">AND(#REF!,"AAAAAHh/f6o=")</f>
        <v>#VALUE!</v>
      </c>
      <c r="FP85" s="22" t="e">
        <f aca="false">AND(#REF!,"AAAAAHh/f6s=")</f>
        <v>#VALUE!</v>
      </c>
      <c r="FQ85" s="22" t="e">
        <f aca="false">AND(#REF!,"AAAAAHh/f6w=")</f>
        <v>#VALUE!</v>
      </c>
      <c r="FR85" s="22" t="e">
        <f aca="false">AND(#REF!,"AAAAAHh/f60=")</f>
        <v>#VALUE!</v>
      </c>
      <c r="FS85" s="22" t="e">
        <f aca="false">AND(#REF!,"AAAAAHh/f64=")</f>
        <v>#VALUE!</v>
      </c>
      <c r="FT85" s="22" t="e">
        <f aca="false">AND(#REF!,"AAAAAHh/f68=")</f>
        <v>#VALUE!</v>
      </c>
      <c r="FU85" s="22" t="e">
        <f aca="false">AND(#REF!,"AAAAAHh/f7A=")</f>
        <v>#VALUE!</v>
      </c>
      <c r="FV85" s="22" t="e">
        <f aca="false">IF(#REF!,"AAAAAHh/f7E=",0)</f>
        <v>#REF!</v>
      </c>
      <c r="FW85" s="22" t="e">
        <f aca="false">AND(#REF!,"AAAAAHh/f7I=")</f>
        <v>#VALUE!</v>
      </c>
      <c r="FX85" s="22" t="e">
        <f aca="false">AND(#REF!,"AAAAAHh/f7M=")</f>
        <v>#VALUE!</v>
      </c>
      <c r="FY85" s="22" t="e">
        <f aca="false">AND(#REF!,"AAAAAHh/f7Q=")</f>
        <v>#VALUE!</v>
      </c>
      <c r="FZ85" s="22" t="e">
        <f aca="false">AND(#REF!,"AAAAAHh/f7U=")</f>
        <v>#VALUE!</v>
      </c>
      <c r="GA85" s="22" t="e">
        <f aca="false">AND(#REF!,"AAAAAHh/f7Y=")</f>
        <v>#VALUE!</v>
      </c>
      <c r="GB85" s="22" t="e">
        <f aca="false">AND(#REF!,"AAAAAHh/f7c=")</f>
        <v>#VALUE!</v>
      </c>
      <c r="GC85" s="22" t="e">
        <f aca="false">AND(#REF!,"AAAAAHh/f7g=")</f>
        <v>#VALUE!</v>
      </c>
      <c r="GD85" s="22" t="e">
        <f aca="false">AND(#REF!,"AAAAAHh/f7k=")</f>
        <v>#VALUE!</v>
      </c>
      <c r="GE85" s="22" t="e">
        <f aca="false">IF(#REF!,"AAAAAHh/f7o=",0)</f>
        <v>#REF!</v>
      </c>
      <c r="GF85" s="22" t="e">
        <f aca="false">AND(#REF!,"AAAAAHh/f7s=")</f>
        <v>#VALUE!</v>
      </c>
      <c r="GG85" s="22" t="e">
        <f aca="false">AND(#REF!,"AAAAAHh/f7w=")</f>
        <v>#VALUE!</v>
      </c>
      <c r="GH85" s="22" t="e">
        <f aca="false">AND(#REF!,"AAAAAHh/f70=")</f>
        <v>#VALUE!</v>
      </c>
      <c r="GI85" s="22" t="e">
        <f aca="false">AND(#REF!,"AAAAAHh/f74=")</f>
        <v>#VALUE!</v>
      </c>
      <c r="GJ85" s="22" t="e">
        <f aca="false">AND(#REF!,"AAAAAHh/f78=")</f>
        <v>#VALUE!</v>
      </c>
      <c r="GK85" s="22" t="e">
        <f aca="false">AND(#REF!,"AAAAAHh/f8A=")</f>
        <v>#VALUE!</v>
      </c>
      <c r="GL85" s="22" t="e">
        <f aca="false">AND(#REF!,"AAAAAHh/f8E=")</f>
        <v>#VALUE!</v>
      </c>
      <c r="GM85" s="22" t="e">
        <f aca="false">AND(#REF!,"AAAAAHh/f8I=")</f>
        <v>#VALUE!</v>
      </c>
      <c r="GN85" s="22" t="e">
        <f aca="false">IF(#REF!,"AAAAAHh/f8M=",0)</f>
        <v>#REF!</v>
      </c>
      <c r="GO85" s="22" t="e">
        <f aca="false">AND(#REF!,"AAAAAHh/f8Q=")</f>
        <v>#VALUE!</v>
      </c>
      <c r="GP85" s="22" t="e">
        <f aca="false">AND(#REF!,"AAAAAHh/f8U=")</f>
        <v>#VALUE!</v>
      </c>
      <c r="GQ85" s="22" t="e">
        <f aca="false">AND(#REF!,"AAAAAHh/f8Y=")</f>
        <v>#VALUE!</v>
      </c>
      <c r="GR85" s="22" t="e">
        <f aca="false">AND(#REF!,"AAAAAHh/f8c=")</f>
        <v>#VALUE!</v>
      </c>
      <c r="GS85" s="22" t="e">
        <f aca="false">AND(#REF!,"AAAAAHh/f8g=")</f>
        <v>#VALUE!</v>
      </c>
      <c r="GT85" s="22" t="e">
        <f aca="false">AND(#REF!,"AAAAAHh/f8k=")</f>
        <v>#VALUE!</v>
      </c>
      <c r="GU85" s="22" t="e">
        <f aca="false">AND(#REF!,"AAAAAHh/f8o=")</f>
        <v>#VALUE!</v>
      </c>
      <c r="GV85" s="22" t="e">
        <f aca="false">AND(#REF!,"AAAAAHh/f8s=")</f>
        <v>#VALUE!</v>
      </c>
      <c r="GW85" s="22" t="e">
        <f aca="false">IF(#REF!,"AAAAAHh/f8w=",0)</f>
        <v>#REF!</v>
      </c>
      <c r="GX85" s="22" t="e">
        <f aca="false">AND(#REF!,"AAAAAHh/f80=")</f>
        <v>#VALUE!</v>
      </c>
      <c r="GY85" s="22" t="e">
        <f aca="false">AND(#REF!,"AAAAAHh/f84=")</f>
        <v>#VALUE!</v>
      </c>
      <c r="GZ85" s="22" t="e">
        <f aca="false">AND(#REF!,"AAAAAHh/f88=")</f>
        <v>#VALUE!</v>
      </c>
      <c r="HA85" s="22" t="e">
        <f aca="false">AND(#REF!,"AAAAAHh/f9A=")</f>
        <v>#VALUE!</v>
      </c>
      <c r="HB85" s="22" t="e">
        <f aca="false">AND(#REF!,"AAAAAHh/f9E=")</f>
        <v>#VALUE!</v>
      </c>
      <c r="HC85" s="22" t="e">
        <f aca="false">AND(#REF!,"AAAAAHh/f9I=")</f>
        <v>#VALUE!</v>
      </c>
      <c r="HD85" s="22" t="e">
        <f aca="false">AND(#REF!,"AAAAAHh/f9M=")</f>
        <v>#VALUE!</v>
      </c>
      <c r="HE85" s="22" t="e">
        <f aca="false">AND(#REF!,"AAAAAHh/f9Q=")</f>
        <v>#VALUE!</v>
      </c>
      <c r="HF85" s="22" t="e">
        <f aca="false">IF(#REF!,"AAAAAHh/f9U=",0)</f>
        <v>#REF!</v>
      </c>
      <c r="HG85" s="22" t="e">
        <f aca="false">AND(#REF!,"AAAAAHh/f9Y=")</f>
        <v>#VALUE!</v>
      </c>
      <c r="HH85" s="22" t="e">
        <f aca="false">AND(#REF!,"AAAAAHh/f9c=")</f>
        <v>#VALUE!</v>
      </c>
      <c r="HI85" s="22" t="e">
        <f aca="false">AND(#REF!,"AAAAAHh/f9g=")</f>
        <v>#VALUE!</v>
      </c>
      <c r="HJ85" s="22" t="e">
        <f aca="false">AND(#REF!,"AAAAAHh/f9k=")</f>
        <v>#VALUE!</v>
      </c>
      <c r="HK85" s="22" t="e">
        <f aca="false">AND(#REF!,"AAAAAHh/f9o=")</f>
        <v>#VALUE!</v>
      </c>
      <c r="HL85" s="22" t="e">
        <f aca="false">AND(#REF!,"AAAAAHh/f9s=")</f>
        <v>#VALUE!</v>
      </c>
      <c r="HM85" s="22" t="e">
        <f aca="false">AND(#REF!,"AAAAAHh/f9w=")</f>
        <v>#VALUE!</v>
      </c>
      <c r="HN85" s="22" t="e">
        <f aca="false">AND(#REF!,"AAAAAHh/f90=")</f>
        <v>#VALUE!</v>
      </c>
      <c r="HO85" s="22" t="e">
        <f aca="false">IF(#REF!,"AAAAAHh/f94=",0)</f>
        <v>#REF!</v>
      </c>
      <c r="HP85" s="22" t="e">
        <f aca="false">AND(#REF!,"AAAAAHh/f98=")</f>
        <v>#VALUE!</v>
      </c>
      <c r="HQ85" s="22" t="e">
        <f aca="false">AND(#REF!,"AAAAAHh/f+A=")</f>
        <v>#VALUE!</v>
      </c>
      <c r="HR85" s="22" t="e">
        <f aca="false">AND(#REF!,"AAAAAHh/f+E=")</f>
        <v>#VALUE!</v>
      </c>
      <c r="HS85" s="22" t="e">
        <f aca="false">AND(#REF!,"AAAAAHh/f+I=")</f>
        <v>#VALUE!</v>
      </c>
      <c r="HT85" s="22" t="e">
        <f aca="false">AND(#REF!,"AAAAAHh/f+M=")</f>
        <v>#VALUE!</v>
      </c>
      <c r="HU85" s="22" t="e">
        <f aca="false">AND(#REF!,"AAAAAHh/f+Q=")</f>
        <v>#VALUE!</v>
      </c>
      <c r="HV85" s="22" t="e">
        <f aca="false">AND(#REF!,"AAAAAHh/f+U=")</f>
        <v>#VALUE!</v>
      </c>
      <c r="HW85" s="22" t="e">
        <f aca="false">AND(#REF!,"AAAAAHh/f+Y=")</f>
        <v>#VALUE!</v>
      </c>
      <c r="HX85" s="22" t="e">
        <f aca="false">IF(#REF!,"AAAAAHh/f+c=",0)</f>
        <v>#REF!</v>
      </c>
      <c r="HY85" s="22" t="e">
        <f aca="false">AND(#REF!,"AAAAAHh/f+g=")</f>
        <v>#VALUE!</v>
      </c>
      <c r="HZ85" s="22" t="e">
        <f aca="false">AND(#REF!,"AAAAAHh/f+k=")</f>
        <v>#VALUE!</v>
      </c>
      <c r="IA85" s="22" t="e">
        <f aca="false">AND(#REF!,"AAAAAHh/f+o=")</f>
        <v>#VALUE!</v>
      </c>
      <c r="IB85" s="22" t="e">
        <f aca="false">AND(#REF!,"AAAAAHh/f+s=")</f>
        <v>#VALUE!</v>
      </c>
      <c r="IC85" s="22" t="e">
        <f aca="false">AND(#REF!,"AAAAAHh/f+w=")</f>
        <v>#VALUE!</v>
      </c>
      <c r="ID85" s="22" t="e">
        <f aca="false">AND(#REF!,"AAAAAHh/f+0=")</f>
        <v>#VALUE!</v>
      </c>
      <c r="IE85" s="22" t="e">
        <f aca="false">AND(#REF!,"AAAAAHh/f+4=")</f>
        <v>#VALUE!</v>
      </c>
      <c r="IF85" s="22" t="e">
        <f aca="false">AND(#REF!,"AAAAAHh/f+8=")</f>
        <v>#VALUE!</v>
      </c>
      <c r="IG85" s="22" t="e">
        <f aca="false">IF(#REF!,"AAAAAHh/f/A=",0)</f>
        <v>#REF!</v>
      </c>
      <c r="IH85" s="22" t="e">
        <f aca="false">AND(#REF!,"AAAAAHh/f/E=")</f>
        <v>#VALUE!</v>
      </c>
      <c r="II85" s="22" t="e">
        <f aca="false">AND(#REF!,"AAAAAHh/f/I=")</f>
        <v>#VALUE!</v>
      </c>
      <c r="IJ85" s="22" t="e">
        <f aca="false">AND(#REF!,"AAAAAHh/f/M=")</f>
        <v>#VALUE!</v>
      </c>
      <c r="IK85" s="22" t="e">
        <f aca="false">AND(#REF!,"AAAAAHh/f/Q=")</f>
        <v>#VALUE!</v>
      </c>
      <c r="IL85" s="22" t="e">
        <f aca="false">AND(#REF!,"AAAAAHh/f/U=")</f>
        <v>#VALUE!</v>
      </c>
      <c r="IM85" s="22" t="e">
        <f aca="false">AND(#REF!,"AAAAAHh/f/Y=")</f>
        <v>#VALUE!</v>
      </c>
      <c r="IN85" s="22" t="e">
        <f aca="false">AND(#REF!,"AAAAAHh/f/c=")</f>
        <v>#VALUE!</v>
      </c>
      <c r="IO85" s="22" t="e">
        <f aca="false">AND(#REF!,"AAAAAHh/f/g=")</f>
        <v>#VALUE!</v>
      </c>
      <c r="IP85" s="22" t="e">
        <f aca="false">IF(#REF!,"AAAAAHh/f/k=",0)</f>
        <v>#REF!</v>
      </c>
      <c r="IQ85" s="22" t="e">
        <f aca="false">AND(#REF!,"AAAAAHh/f/o=")</f>
        <v>#VALUE!</v>
      </c>
      <c r="IR85" s="22" t="e">
        <f aca="false">AND(#REF!,"AAAAAHh/f/s=")</f>
        <v>#VALUE!</v>
      </c>
      <c r="IS85" s="22" t="e">
        <f aca="false">AND(#REF!,"AAAAAHh/f/w=")</f>
        <v>#VALUE!</v>
      </c>
      <c r="IT85" s="22" t="e">
        <f aca="false">AND(#REF!,"AAAAAHh/f/0=")</f>
        <v>#VALUE!</v>
      </c>
      <c r="IU85" s="22" t="e">
        <f aca="false">AND(#REF!,"AAAAAHh/f/4=")</f>
        <v>#VALUE!</v>
      </c>
      <c r="IV85" s="22" t="e">
        <f aca="false">AND(#REF!,"AAAAAHh/f/8=")</f>
        <v>#VALUE!</v>
      </c>
    </row>
    <row r="86" customFormat="false" ht="12.75" hidden="false" customHeight="false" outlineLevel="0" collapsed="false">
      <c r="A86" s="22" t="e">
        <f aca="false">AND(#REF!,"AAAAAHre/QA=")</f>
        <v>#VALUE!</v>
      </c>
      <c r="B86" s="22" t="e">
        <f aca="false">AND(#REF!,"AAAAAHre/QE=")</f>
        <v>#VALUE!</v>
      </c>
      <c r="C86" s="22" t="e">
        <f aca="false">IF(#REF!,"AAAAAHre/QI=",0)</f>
        <v>#REF!</v>
      </c>
      <c r="D86" s="22" t="e">
        <f aca="false">AND(#REF!,"AAAAAHre/QM=")</f>
        <v>#VALUE!</v>
      </c>
      <c r="E86" s="22" t="e">
        <f aca="false">AND(#REF!,"AAAAAHre/QQ=")</f>
        <v>#VALUE!</v>
      </c>
      <c r="F86" s="22" t="e">
        <f aca="false">AND(#REF!,"AAAAAHre/QU=")</f>
        <v>#VALUE!</v>
      </c>
      <c r="G86" s="22" t="e">
        <f aca="false">AND(#REF!,"AAAAAHre/QY=")</f>
        <v>#VALUE!</v>
      </c>
      <c r="H86" s="22" t="e">
        <f aca="false">AND(#REF!,"AAAAAHre/Qc=")</f>
        <v>#VALUE!</v>
      </c>
      <c r="I86" s="22" t="e">
        <f aca="false">AND(#REF!,"AAAAAHre/Qg=")</f>
        <v>#VALUE!</v>
      </c>
      <c r="J86" s="22" t="e">
        <f aca="false">AND(#REF!,"AAAAAHre/Qk=")</f>
        <v>#VALUE!</v>
      </c>
      <c r="K86" s="22" t="e">
        <f aca="false">AND(#REF!,"AAAAAHre/Qo=")</f>
        <v>#VALUE!</v>
      </c>
      <c r="L86" s="22" t="e">
        <f aca="false">IF(#REF!,"AAAAAHre/Qs=",0)</f>
        <v>#REF!</v>
      </c>
      <c r="M86" s="22" t="e">
        <f aca="false">AND(#REF!,"AAAAAHre/Qw=")</f>
        <v>#VALUE!</v>
      </c>
      <c r="N86" s="22" t="e">
        <f aca="false">AND(#REF!,"AAAAAHre/Q0=")</f>
        <v>#VALUE!</v>
      </c>
      <c r="O86" s="22" t="e">
        <f aca="false">AND(#REF!,"AAAAAHre/Q4=")</f>
        <v>#VALUE!</v>
      </c>
      <c r="P86" s="22" t="e">
        <f aca="false">AND(#REF!,"AAAAAHre/Q8=")</f>
        <v>#VALUE!</v>
      </c>
      <c r="Q86" s="22" t="e">
        <f aca="false">AND(#REF!,"AAAAAHre/RA=")</f>
        <v>#VALUE!</v>
      </c>
      <c r="R86" s="22" t="e">
        <f aca="false">AND(#REF!,"AAAAAHre/RE=")</f>
        <v>#VALUE!</v>
      </c>
      <c r="S86" s="22" t="e">
        <f aca="false">AND(#REF!,"AAAAAHre/RI=")</f>
        <v>#VALUE!</v>
      </c>
      <c r="T86" s="22" t="e">
        <f aca="false">AND(#REF!,"AAAAAHre/RM=")</f>
        <v>#VALUE!</v>
      </c>
      <c r="U86" s="22" t="e">
        <f aca="false">IF(#REF!,"AAAAAHre/RQ=",0)</f>
        <v>#REF!</v>
      </c>
      <c r="V86" s="22" t="e">
        <f aca="false">AND(#REF!,"AAAAAHre/RU=")</f>
        <v>#VALUE!</v>
      </c>
      <c r="W86" s="22" t="e">
        <f aca="false">AND(#REF!,"AAAAAHre/RY=")</f>
        <v>#VALUE!</v>
      </c>
      <c r="X86" s="22" t="e">
        <f aca="false">AND(#REF!,"AAAAAHre/Rc=")</f>
        <v>#VALUE!</v>
      </c>
      <c r="Y86" s="22" t="e">
        <f aca="false">AND(#REF!,"AAAAAHre/Rg=")</f>
        <v>#VALUE!</v>
      </c>
      <c r="Z86" s="22" t="e">
        <f aca="false">AND(#REF!,"AAAAAHre/Rk=")</f>
        <v>#VALUE!</v>
      </c>
      <c r="AA86" s="22" t="e">
        <f aca="false">AND(#REF!,"AAAAAHre/Ro=")</f>
        <v>#VALUE!</v>
      </c>
      <c r="AB86" s="22" t="e">
        <f aca="false">AND(#REF!,"AAAAAHre/Rs=")</f>
        <v>#VALUE!</v>
      </c>
      <c r="AC86" s="22" t="e">
        <f aca="false">AND(#REF!,"AAAAAHre/Rw=")</f>
        <v>#VALUE!</v>
      </c>
      <c r="AD86" s="22" t="e">
        <f aca="false">IF(#REF!,"AAAAAHre/R0=",0)</f>
        <v>#REF!</v>
      </c>
      <c r="AE86" s="22" t="e">
        <f aca="false">AND(#REF!,"AAAAAHre/R4=")</f>
        <v>#VALUE!</v>
      </c>
      <c r="AF86" s="22" t="e">
        <f aca="false">AND(#REF!,"AAAAAHre/R8=")</f>
        <v>#VALUE!</v>
      </c>
      <c r="AG86" s="22" t="e">
        <f aca="false">AND(#REF!,"AAAAAHre/SA=")</f>
        <v>#VALUE!</v>
      </c>
      <c r="AH86" s="22" t="e">
        <f aca="false">AND(#REF!,"AAAAAHre/SE=")</f>
        <v>#VALUE!</v>
      </c>
      <c r="AI86" s="22" t="e">
        <f aca="false">AND(#REF!,"AAAAAHre/SI=")</f>
        <v>#VALUE!</v>
      </c>
      <c r="AJ86" s="22" t="e">
        <f aca="false">AND(#REF!,"AAAAAHre/SM=")</f>
        <v>#VALUE!</v>
      </c>
      <c r="AK86" s="22" t="e">
        <f aca="false">AND(#REF!,"AAAAAHre/SQ=")</f>
        <v>#VALUE!</v>
      </c>
      <c r="AL86" s="22" t="e">
        <f aca="false">AND(#REF!,"AAAAAHre/SU=")</f>
        <v>#VALUE!</v>
      </c>
      <c r="AM86" s="22" t="e">
        <f aca="false">IF(#REF!,"AAAAAHre/SY=",0)</f>
        <v>#REF!</v>
      </c>
      <c r="AN86" s="22" t="e">
        <f aca="false">AND(#REF!,"AAAAAHre/Sc=")</f>
        <v>#VALUE!</v>
      </c>
      <c r="AO86" s="22" t="e">
        <f aca="false">AND(#REF!,"AAAAAHre/Sg=")</f>
        <v>#VALUE!</v>
      </c>
      <c r="AP86" s="22" t="e">
        <f aca="false">AND(#REF!,"AAAAAHre/Sk=")</f>
        <v>#VALUE!</v>
      </c>
      <c r="AQ86" s="22" t="e">
        <f aca="false">AND(#REF!,"AAAAAHre/So=")</f>
        <v>#VALUE!</v>
      </c>
      <c r="AR86" s="22" t="e">
        <f aca="false">AND(#REF!,"AAAAAHre/Ss=")</f>
        <v>#VALUE!</v>
      </c>
      <c r="AS86" s="22" t="e">
        <f aca="false">AND(#REF!,"AAAAAHre/Sw=")</f>
        <v>#VALUE!</v>
      </c>
      <c r="AT86" s="22" t="e">
        <f aca="false">AND(#REF!,"AAAAAHre/S0=")</f>
        <v>#VALUE!</v>
      </c>
      <c r="AU86" s="22" t="e">
        <f aca="false">AND(#REF!,"AAAAAHre/S4=")</f>
        <v>#VALUE!</v>
      </c>
      <c r="AV86" s="22" t="e">
        <f aca="false">IF(#REF!,"AAAAAHre/S8=",0)</f>
        <v>#REF!</v>
      </c>
      <c r="AW86" s="22" t="e">
        <f aca="false">AND(#REF!,"AAAAAHre/TA=")</f>
        <v>#VALUE!</v>
      </c>
      <c r="AX86" s="22" t="e">
        <f aca="false">AND(#REF!,"AAAAAHre/TE=")</f>
        <v>#VALUE!</v>
      </c>
      <c r="AY86" s="22" t="e">
        <f aca="false">AND(#REF!,"AAAAAHre/TI=")</f>
        <v>#VALUE!</v>
      </c>
      <c r="AZ86" s="22" t="e">
        <f aca="false">AND(#REF!,"AAAAAHre/TM=")</f>
        <v>#VALUE!</v>
      </c>
      <c r="BA86" s="22" t="e">
        <f aca="false">AND(#REF!,"AAAAAHre/TQ=")</f>
        <v>#VALUE!</v>
      </c>
      <c r="BB86" s="22" t="e">
        <f aca="false">AND(#REF!,"AAAAAHre/TU=")</f>
        <v>#VALUE!</v>
      </c>
      <c r="BC86" s="22" t="e">
        <f aca="false">AND(#REF!,"AAAAAHre/TY=")</f>
        <v>#VALUE!</v>
      </c>
      <c r="BD86" s="22" t="e">
        <f aca="false">AND(#REF!,"AAAAAHre/Tc=")</f>
        <v>#VALUE!</v>
      </c>
      <c r="BE86" s="22" t="e">
        <f aca="false">IF(#REF!,"AAAAAHre/Tg=",0)</f>
        <v>#REF!</v>
      </c>
      <c r="BF86" s="22" t="e">
        <f aca="false">AND(#REF!,"AAAAAHre/Tk=")</f>
        <v>#VALUE!</v>
      </c>
      <c r="BG86" s="22" t="e">
        <f aca="false">AND(#REF!,"AAAAAHre/To=")</f>
        <v>#VALUE!</v>
      </c>
      <c r="BH86" s="22" t="e">
        <f aca="false">AND(#REF!,"AAAAAHre/Ts=")</f>
        <v>#VALUE!</v>
      </c>
      <c r="BI86" s="22" t="e">
        <f aca="false">AND(#REF!,"AAAAAHre/Tw=")</f>
        <v>#VALUE!</v>
      </c>
      <c r="BJ86" s="22" t="e">
        <f aca="false">AND(#REF!,"AAAAAHre/T0=")</f>
        <v>#VALUE!</v>
      </c>
      <c r="BK86" s="22" t="e">
        <f aca="false">AND(#REF!,"AAAAAHre/T4=")</f>
        <v>#VALUE!</v>
      </c>
      <c r="BL86" s="22" t="e">
        <f aca="false">AND(#REF!,"AAAAAHre/T8=")</f>
        <v>#VALUE!</v>
      </c>
      <c r="BM86" s="22" t="e">
        <f aca="false">AND(#REF!,"AAAAAHre/UA=")</f>
        <v>#VALUE!</v>
      </c>
      <c r="BN86" s="22" t="e">
        <f aca="false">IF(#REF!,"AAAAAHre/UE=",0)</f>
        <v>#REF!</v>
      </c>
      <c r="BO86" s="22" t="e">
        <f aca="false">AND(#REF!,"AAAAAHre/UI=")</f>
        <v>#VALUE!</v>
      </c>
      <c r="BP86" s="22" t="e">
        <f aca="false">AND(#REF!,"AAAAAHre/UM=")</f>
        <v>#VALUE!</v>
      </c>
      <c r="BQ86" s="22" t="e">
        <f aca="false">AND(#REF!,"AAAAAHre/UQ=")</f>
        <v>#VALUE!</v>
      </c>
      <c r="BR86" s="22" t="e">
        <f aca="false">AND(#REF!,"AAAAAHre/UU=")</f>
        <v>#VALUE!</v>
      </c>
      <c r="BS86" s="22" t="e">
        <f aca="false">AND(#REF!,"AAAAAHre/UY=")</f>
        <v>#VALUE!</v>
      </c>
      <c r="BT86" s="22" t="e">
        <f aca="false">AND(#REF!,"AAAAAHre/Uc=")</f>
        <v>#VALUE!</v>
      </c>
      <c r="BU86" s="22" t="e">
        <f aca="false">AND(#REF!,"AAAAAHre/Ug=")</f>
        <v>#VALUE!</v>
      </c>
      <c r="BV86" s="22" t="e">
        <f aca="false">AND(#REF!,"AAAAAHre/Uk=")</f>
        <v>#VALUE!</v>
      </c>
      <c r="BW86" s="22" t="e">
        <f aca="false">IF(#REF!,"AAAAAHre/Uo=",0)</f>
        <v>#REF!</v>
      </c>
      <c r="BX86" s="22" t="e">
        <f aca="false">AND(#REF!,"AAAAAHre/Us=")</f>
        <v>#VALUE!</v>
      </c>
      <c r="BY86" s="22" t="e">
        <f aca="false">AND(#REF!,"AAAAAHre/Uw=")</f>
        <v>#VALUE!</v>
      </c>
      <c r="BZ86" s="22" t="e">
        <f aca="false">AND(#REF!,"AAAAAHre/U0=")</f>
        <v>#VALUE!</v>
      </c>
      <c r="CA86" s="22" t="e">
        <f aca="false">AND(#REF!,"AAAAAHre/U4=")</f>
        <v>#VALUE!</v>
      </c>
      <c r="CB86" s="22" t="e">
        <f aca="false">AND(#REF!,"AAAAAHre/U8=")</f>
        <v>#VALUE!</v>
      </c>
      <c r="CC86" s="22" t="e">
        <f aca="false">AND(#REF!,"AAAAAHre/VA=")</f>
        <v>#VALUE!</v>
      </c>
      <c r="CD86" s="22" t="e">
        <f aca="false">AND(#REF!,"AAAAAHre/VE=")</f>
        <v>#VALUE!</v>
      </c>
      <c r="CE86" s="22" t="e">
        <f aca="false">AND(#REF!,"AAAAAHre/VI=")</f>
        <v>#VALUE!</v>
      </c>
      <c r="CF86" s="22" t="e">
        <f aca="false">IF(#REF!,"AAAAAHre/VM=",0)</f>
        <v>#REF!</v>
      </c>
      <c r="CG86" s="22" t="e">
        <f aca="false">AND(#REF!,"AAAAAHre/VQ=")</f>
        <v>#VALUE!</v>
      </c>
      <c r="CH86" s="22" t="e">
        <f aca="false">AND(#REF!,"AAAAAHre/VU=")</f>
        <v>#VALUE!</v>
      </c>
      <c r="CI86" s="22" t="e">
        <f aca="false">AND(#REF!,"AAAAAHre/VY=")</f>
        <v>#VALUE!</v>
      </c>
      <c r="CJ86" s="22" t="e">
        <f aca="false">AND(#REF!,"AAAAAHre/Vc=")</f>
        <v>#VALUE!</v>
      </c>
      <c r="CK86" s="22" t="e">
        <f aca="false">AND(#REF!,"AAAAAHre/Vg=")</f>
        <v>#VALUE!</v>
      </c>
      <c r="CL86" s="22" t="e">
        <f aca="false">AND(#REF!,"AAAAAHre/Vk=")</f>
        <v>#VALUE!</v>
      </c>
      <c r="CM86" s="22" t="e">
        <f aca="false">AND(#REF!,"AAAAAHre/Vo=")</f>
        <v>#VALUE!</v>
      </c>
      <c r="CN86" s="22" t="e">
        <f aca="false">AND(#REF!,"AAAAAHre/Vs=")</f>
        <v>#VALUE!</v>
      </c>
      <c r="CO86" s="22" t="e">
        <f aca="false">IF(#REF!,"AAAAAHre/Vw=",0)</f>
        <v>#REF!</v>
      </c>
      <c r="CP86" s="22" t="e">
        <f aca="false">AND(#REF!,"AAAAAHre/V0=")</f>
        <v>#VALUE!</v>
      </c>
      <c r="CQ86" s="22" t="e">
        <f aca="false">AND(#REF!,"AAAAAHre/V4=")</f>
        <v>#VALUE!</v>
      </c>
      <c r="CR86" s="22" t="e">
        <f aca="false">AND(#REF!,"AAAAAHre/V8=")</f>
        <v>#VALUE!</v>
      </c>
      <c r="CS86" s="22" t="e">
        <f aca="false">AND(#REF!,"AAAAAHre/WA=")</f>
        <v>#VALUE!</v>
      </c>
      <c r="CT86" s="22" t="e">
        <f aca="false">AND(#REF!,"AAAAAHre/WE=")</f>
        <v>#VALUE!</v>
      </c>
      <c r="CU86" s="22" t="e">
        <f aca="false">AND(#REF!,"AAAAAHre/WI=")</f>
        <v>#VALUE!</v>
      </c>
      <c r="CV86" s="22" t="e">
        <f aca="false">AND(#REF!,"AAAAAHre/WM=")</f>
        <v>#VALUE!</v>
      </c>
      <c r="CW86" s="22" t="e">
        <f aca="false">AND(#REF!,"AAAAAHre/WQ=")</f>
        <v>#VALUE!</v>
      </c>
      <c r="CX86" s="22" t="e">
        <f aca="false">IF(#REF!,"AAAAAHre/WU=",0)</f>
        <v>#REF!</v>
      </c>
      <c r="CY86" s="22" t="e">
        <f aca="false">AND(#REF!,"AAAAAHre/WY=")</f>
        <v>#VALUE!</v>
      </c>
      <c r="CZ86" s="22" t="e">
        <f aca="false">AND(#REF!,"AAAAAHre/Wc=")</f>
        <v>#VALUE!</v>
      </c>
      <c r="DA86" s="22" t="e">
        <f aca="false">AND(#REF!,"AAAAAHre/Wg=")</f>
        <v>#VALUE!</v>
      </c>
      <c r="DB86" s="22" t="e">
        <f aca="false">AND(#REF!,"AAAAAHre/Wk=")</f>
        <v>#VALUE!</v>
      </c>
      <c r="DC86" s="22" t="e">
        <f aca="false">AND(#REF!,"AAAAAHre/Wo=")</f>
        <v>#VALUE!</v>
      </c>
      <c r="DD86" s="22" t="e">
        <f aca="false">AND(#REF!,"AAAAAHre/Ws=")</f>
        <v>#VALUE!</v>
      </c>
      <c r="DE86" s="22" t="e">
        <f aca="false">AND(#REF!,"AAAAAHre/Ww=")</f>
        <v>#VALUE!</v>
      </c>
      <c r="DF86" s="22" t="e">
        <f aca="false">AND(#REF!,"AAAAAHre/W0=")</f>
        <v>#VALUE!</v>
      </c>
      <c r="DG86" s="22" t="e">
        <f aca="false">IF(#REF!,"AAAAAHre/W4=",0)</f>
        <v>#REF!</v>
      </c>
      <c r="DH86" s="22" t="e">
        <f aca="false">AND(#REF!,"AAAAAHre/W8=")</f>
        <v>#VALUE!</v>
      </c>
      <c r="DI86" s="22" t="e">
        <f aca="false">AND(#REF!,"AAAAAHre/XA=")</f>
        <v>#VALUE!</v>
      </c>
      <c r="DJ86" s="22" t="e">
        <f aca="false">AND(#REF!,"AAAAAHre/XE=")</f>
        <v>#VALUE!</v>
      </c>
      <c r="DK86" s="22" t="e">
        <f aca="false">AND(#REF!,"AAAAAHre/XI=")</f>
        <v>#VALUE!</v>
      </c>
      <c r="DL86" s="22" t="e">
        <f aca="false">AND(#REF!,"AAAAAHre/XM=")</f>
        <v>#VALUE!</v>
      </c>
      <c r="DM86" s="22" t="e">
        <f aca="false">AND(#REF!,"AAAAAHre/XQ=")</f>
        <v>#VALUE!</v>
      </c>
      <c r="DN86" s="22" t="e">
        <f aca="false">AND(#REF!,"AAAAAHre/XU=")</f>
        <v>#VALUE!</v>
      </c>
      <c r="DO86" s="22" t="e">
        <f aca="false">AND(#REF!,"AAAAAHre/XY=")</f>
        <v>#VALUE!</v>
      </c>
      <c r="DP86" s="22" t="e">
        <f aca="false">IF(#REF!,"AAAAAHre/Xc=",0)</f>
        <v>#REF!</v>
      </c>
      <c r="DQ86" s="22" t="e">
        <f aca="false">AND(#REF!,"AAAAAHre/Xg=")</f>
        <v>#VALUE!</v>
      </c>
      <c r="DR86" s="22" t="e">
        <f aca="false">AND(#REF!,"AAAAAHre/Xk=")</f>
        <v>#VALUE!</v>
      </c>
      <c r="DS86" s="22" t="e">
        <f aca="false">AND(#REF!,"AAAAAHre/Xo=")</f>
        <v>#VALUE!</v>
      </c>
      <c r="DT86" s="22" t="e">
        <f aca="false">AND(#REF!,"AAAAAHre/Xs=")</f>
        <v>#VALUE!</v>
      </c>
      <c r="DU86" s="22" t="e">
        <f aca="false">AND(#REF!,"AAAAAHre/Xw=")</f>
        <v>#VALUE!</v>
      </c>
      <c r="DV86" s="22" t="e">
        <f aca="false">AND(#REF!,"AAAAAHre/X0=")</f>
        <v>#VALUE!</v>
      </c>
      <c r="DW86" s="22" t="e">
        <f aca="false">AND(#REF!,"AAAAAHre/X4=")</f>
        <v>#VALUE!</v>
      </c>
      <c r="DX86" s="22" t="e">
        <f aca="false">AND(#REF!,"AAAAAHre/X8=")</f>
        <v>#VALUE!</v>
      </c>
      <c r="DY86" s="22" t="e">
        <f aca="false">IF(#REF!,"AAAAAHre/YA=",0)</f>
        <v>#REF!</v>
      </c>
      <c r="DZ86" s="22" t="e">
        <f aca="false">AND(#REF!,"AAAAAHre/YE=")</f>
        <v>#VALUE!</v>
      </c>
      <c r="EA86" s="22" t="e">
        <f aca="false">AND(#REF!,"AAAAAHre/YI=")</f>
        <v>#VALUE!</v>
      </c>
      <c r="EB86" s="22" t="e">
        <f aca="false">AND(#REF!,"AAAAAHre/YM=")</f>
        <v>#VALUE!</v>
      </c>
      <c r="EC86" s="22" t="e">
        <f aca="false">AND(#REF!,"AAAAAHre/YQ=")</f>
        <v>#VALUE!</v>
      </c>
      <c r="ED86" s="22" t="e">
        <f aca="false">AND(#REF!,"AAAAAHre/YU=")</f>
        <v>#VALUE!</v>
      </c>
      <c r="EE86" s="22" t="e">
        <f aca="false">AND(#REF!,"AAAAAHre/YY=")</f>
        <v>#VALUE!</v>
      </c>
      <c r="EF86" s="22" t="e">
        <f aca="false">AND(#REF!,"AAAAAHre/Yc=")</f>
        <v>#VALUE!</v>
      </c>
      <c r="EG86" s="22" t="e">
        <f aca="false">AND(#REF!,"AAAAAHre/Yg=")</f>
        <v>#VALUE!</v>
      </c>
      <c r="EH86" s="22" t="e">
        <f aca="false">IF(#REF!,"AAAAAHre/Yk=",0)</f>
        <v>#REF!</v>
      </c>
      <c r="EI86" s="22" t="e">
        <f aca="false">AND(#REF!,"AAAAAHre/Yo=")</f>
        <v>#VALUE!</v>
      </c>
      <c r="EJ86" s="22" t="e">
        <f aca="false">AND(#REF!,"AAAAAHre/Ys=")</f>
        <v>#VALUE!</v>
      </c>
      <c r="EK86" s="22" t="e">
        <f aca="false">AND(#REF!,"AAAAAHre/Yw=")</f>
        <v>#VALUE!</v>
      </c>
      <c r="EL86" s="22" t="e">
        <f aca="false">AND(#REF!,"AAAAAHre/Y0=")</f>
        <v>#VALUE!</v>
      </c>
      <c r="EM86" s="22" t="e">
        <f aca="false">AND(#REF!,"AAAAAHre/Y4=")</f>
        <v>#VALUE!</v>
      </c>
      <c r="EN86" s="22" t="e">
        <f aca="false">AND(#REF!,"AAAAAHre/Y8=")</f>
        <v>#VALUE!</v>
      </c>
      <c r="EO86" s="22" t="e">
        <f aca="false">AND(#REF!,"AAAAAHre/ZA=")</f>
        <v>#VALUE!</v>
      </c>
      <c r="EP86" s="22" t="e">
        <f aca="false">AND(#REF!,"AAAAAHre/ZE=")</f>
        <v>#VALUE!</v>
      </c>
      <c r="EQ86" s="22" t="e">
        <f aca="false">IF(#REF!,"AAAAAHre/ZI=",0)</f>
        <v>#REF!</v>
      </c>
      <c r="ER86" s="22" t="e">
        <f aca="false">AND(#REF!,"AAAAAHre/ZM=")</f>
        <v>#VALUE!</v>
      </c>
      <c r="ES86" s="22" t="e">
        <f aca="false">AND(#REF!,"AAAAAHre/ZQ=")</f>
        <v>#VALUE!</v>
      </c>
      <c r="ET86" s="22" t="e">
        <f aca="false">AND(#REF!,"AAAAAHre/ZU=")</f>
        <v>#VALUE!</v>
      </c>
      <c r="EU86" s="22" t="e">
        <f aca="false">AND(#REF!,"AAAAAHre/ZY=")</f>
        <v>#VALUE!</v>
      </c>
      <c r="EV86" s="22" t="e">
        <f aca="false">AND(#REF!,"AAAAAHre/Zc=")</f>
        <v>#VALUE!</v>
      </c>
      <c r="EW86" s="22" t="e">
        <f aca="false">AND(#REF!,"AAAAAHre/Zg=")</f>
        <v>#VALUE!</v>
      </c>
      <c r="EX86" s="22" t="e">
        <f aca="false">AND(#REF!,"AAAAAHre/Zk=")</f>
        <v>#VALUE!</v>
      </c>
      <c r="EY86" s="22" t="e">
        <f aca="false">AND(#REF!,"AAAAAHre/Zo=")</f>
        <v>#VALUE!</v>
      </c>
      <c r="EZ86" s="22" t="e">
        <f aca="false">IF(#REF!,"AAAAAHre/Zs=",0)</f>
        <v>#REF!</v>
      </c>
      <c r="FA86" s="22" t="e">
        <f aca="false">AND(#REF!,"AAAAAHre/Zw=")</f>
        <v>#VALUE!</v>
      </c>
      <c r="FB86" s="22" t="e">
        <f aca="false">AND(#REF!,"AAAAAHre/Z0=")</f>
        <v>#VALUE!</v>
      </c>
      <c r="FC86" s="22" t="e">
        <f aca="false">AND(#REF!,"AAAAAHre/Z4=")</f>
        <v>#VALUE!</v>
      </c>
      <c r="FD86" s="22" t="e">
        <f aca="false">AND(#REF!,"AAAAAHre/Z8=")</f>
        <v>#VALUE!</v>
      </c>
      <c r="FE86" s="22" t="e">
        <f aca="false">AND(#REF!,"AAAAAHre/aA=")</f>
        <v>#VALUE!</v>
      </c>
      <c r="FF86" s="22" t="e">
        <f aca="false">AND(#REF!,"AAAAAHre/aE=")</f>
        <v>#VALUE!</v>
      </c>
      <c r="FG86" s="22" t="e">
        <f aca="false">AND(#REF!,"AAAAAHre/aI=")</f>
        <v>#VALUE!</v>
      </c>
      <c r="FH86" s="22" t="e">
        <f aca="false">AND(#REF!,"AAAAAHre/aM=")</f>
        <v>#VALUE!</v>
      </c>
      <c r="FI86" s="22" t="e">
        <f aca="false">IF(#REF!,"AAAAAHre/aQ=",0)</f>
        <v>#REF!</v>
      </c>
      <c r="FJ86" s="22" t="e">
        <f aca="false">AND(#REF!,"AAAAAHre/aU=")</f>
        <v>#VALUE!</v>
      </c>
      <c r="FK86" s="22" t="e">
        <f aca="false">AND(#REF!,"AAAAAHre/aY=")</f>
        <v>#VALUE!</v>
      </c>
      <c r="FL86" s="22" t="e">
        <f aca="false">AND(#REF!,"AAAAAHre/ac=")</f>
        <v>#VALUE!</v>
      </c>
      <c r="FM86" s="22" t="e">
        <f aca="false">AND(#REF!,"AAAAAHre/ag=")</f>
        <v>#VALUE!</v>
      </c>
      <c r="FN86" s="22" t="e">
        <f aca="false">AND(#REF!,"AAAAAHre/ak=")</f>
        <v>#VALUE!</v>
      </c>
      <c r="FO86" s="22" t="e">
        <f aca="false">AND(#REF!,"AAAAAHre/ao=")</f>
        <v>#VALUE!</v>
      </c>
      <c r="FP86" s="22" t="e">
        <f aca="false">AND(#REF!,"AAAAAHre/as=")</f>
        <v>#VALUE!</v>
      </c>
      <c r="FQ86" s="22" t="e">
        <f aca="false">AND(#REF!,"AAAAAHre/aw=")</f>
        <v>#VALUE!</v>
      </c>
      <c r="FR86" s="22" t="e">
        <f aca="false">IF(#REF!,"AAAAAHre/a0=",0)</f>
        <v>#REF!</v>
      </c>
      <c r="FS86" s="22" t="e">
        <f aca="false">AND(#REF!,"AAAAAHre/a4=")</f>
        <v>#VALUE!</v>
      </c>
      <c r="FT86" s="22" t="e">
        <f aca="false">AND(#REF!,"AAAAAHre/a8=")</f>
        <v>#VALUE!</v>
      </c>
      <c r="FU86" s="22" t="e">
        <f aca="false">AND(#REF!,"AAAAAHre/bA=")</f>
        <v>#VALUE!</v>
      </c>
      <c r="FV86" s="22" t="e">
        <f aca="false">AND(#REF!,"AAAAAHre/bE=")</f>
        <v>#VALUE!</v>
      </c>
      <c r="FW86" s="22" t="e">
        <f aca="false">AND(#REF!,"AAAAAHre/bI=")</f>
        <v>#VALUE!</v>
      </c>
      <c r="FX86" s="22" t="e">
        <f aca="false">AND(#REF!,"AAAAAHre/bM=")</f>
        <v>#VALUE!</v>
      </c>
      <c r="FY86" s="22" t="e">
        <f aca="false">AND(#REF!,"AAAAAHre/bQ=")</f>
        <v>#VALUE!</v>
      </c>
      <c r="FZ86" s="22" t="e">
        <f aca="false">AND(#REF!,"AAAAAHre/bU=")</f>
        <v>#VALUE!</v>
      </c>
      <c r="GA86" s="22" t="e">
        <f aca="false">IF(#REF!,"AAAAAHre/bY=",0)</f>
        <v>#REF!</v>
      </c>
      <c r="GB86" s="22" t="e">
        <f aca="false">AND(#REF!,"AAAAAHre/bc=")</f>
        <v>#VALUE!</v>
      </c>
      <c r="GC86" s="22" t="e">
        <f aca="false">AND(#REF!,"AAAAAHre/bg=")</f>
        <v>#VALUE!</v>
      </c>
      <c r="GD86" s="22" t="e">
        <f aca="false">AND(#REF!,"AAAAAHre/bk=")</f>
        <v>#VALUE!</v>
      </c>
      <c r="GE86" s="22" t="e">
        <f aca="false">AND(#REF!,"AAAAAHre/bo=")</f>
        <v>#VALUE!</v>
      </c>
      <c r="GF86" s="22" t="e">
        <f aca="false">AND(#REF!,"AAAAAHre/bs=")</f>
        <v>#VALUE!</v>
      </c>
      <c r="GG86" s="22" t="e">
        <f aca="false">AND(#REF!,"AAAAAHre/bw=")</f>
        <v>#VALUE!</v>
      </c>
      <c r="GH86" s="22" t="e">
        <f aca="false">AND(#REF!,"AAAAAHre/b0=")</f>
        <v>#VALUE!</v>
      </c>
      <c r="GI86" s="22" t="e">
        <f aca="false">AND(#REF!,"AAAAAHre/b4=")</f>
        <v>#VALUE!</v>
      </c>
      <c r="GJ86" s="22" t="e">
        <f aca="false">IF(#REF!,"AAAAAHre/b8=",0)</f>
        <v>#REF!</v>
      </c>
      <c r="GK86" s="22" t="e">
        <f aca="false">AND(#REF!,"AAAAAHre/cA=")</f>
        <v>#VALUE!</v>
      </c>
      <c r="GL86" s="22" t="e">
        <f aca="false">AND(#REF!,"AAAAAHre/cE=")</f>
        <v>#VALUE!</v>
      </c>
      <c r="GM86" s="22" t="e">
        <f aca="false">AND(#REF!,"AAAAAHre/cI=")</f>
        <v>#VALUE!</v>
      </c>
      <c r="GN86" s="22" t="e">
        <f aca="false">AND(#REF!,"AAAAAHre/cM=")</f>
        <v>#VALUE!</v>
      </c>
      <c r="GO86" s="22" t="e">
        <f aca="false">AND(#REF!,"AAAAAHre/cQ=")</f>
        <v>#VALUE!</v>
      </c>
      <c r="GP86" s="22" t="e">
        <f aca="false">AND(#REF!,"AAAAAHre/cU=")</f>
        <v>#VALUE!</v>
      </c>
      <c r="GQ86" s="22" t="e">
        <f aca="false">AND(#REF!,"AAAAAHre/cY=")</f>
        <v>#VALUE!</v>
      </c>
      <c r="GR86" s="22" t="e">
        <f aca="false">AND(#REF!,"AAAAAHre/cc=")</f>
        <v>#VALUE!</v>
      </c>
      <c r="GS86" s="22" t="e">
        <f aca="false">IF(#REF!,"AAAAAHre/cg=",0)</f>
        <v>#REF!</v>
      </c>
      <c r="GT86" s="22" t="e">
        <f aca="false">AND(#REF!,"AAAAAHre/ck=")</f>
        <v>#VALUE!</v>
      </c>
      <c r="GU86" s="22" t="e">
        <f aca="false">AND(#REF!,"AAAAAHre/co=")</f>
        <v>#VALUE!</v>
      </c>
      <c r="GV86" s="22" t="e">
        <f aca="false">AND(#REF!,"AAAAAHre/cs=")</f>
        <v>#VALUE!</v>
      </c>
      <c r="GW86" s="22" t="e">
        <f aca="false">AND(#REF!,"AAAAAHre/cw=")</f>
        <v>#VALUE!</v>
      </c>
      <c r="GX86" s="22" t="e">
        <f aca="false">AND(#REF!,"AAAAAHre/c0=")</f>
        <v>#VALUE!</v>
      </c>
      <c r="GY86" s="22" t="e">
        <f aca="false">AND(#REF!,"AAAAAHre/c4=")</f>
        <v>#VALUE!</v>
      </c>
      <c r="GZ86" s="22" t="e">
        <f aca="false">AND(#REF!,"AAAAAHre/c8=")</f>
        <v>#VALUE!</v>
      </c>
      <c r="HA86" s="22" t="e">
        <f aca="false">AND(#REF!,"AAAAAHre/dA=")</f>
        <v>#VALUE!</v>
      </c>
      <c r="HB86" s="22" t="e">
        <f aca="false">IF(#REF!,"AAAAAHre/dE=",0)</f>
        <v>#REF!</v>
      </c>
      <c r="HC86" s="22" t="e">
        <f aca="false">AND(#REF!,"AAAAAHre/dI=")</f>
        <v>#VALUE!</v>
      </c>
      <c r="HD86" s="22" t="e">
        <f aca="false">AND(#REF!,"AAAAAHre/dM=")</f>
        <v>#VALUE!</v>
      </c>
      <c r="HE86" s="22" t="e">
        <f aca="false">AND(#REF!,"AAAAAHre/dQ=")</f>
        <v>#VALUE!</v>
      </c>
      <c r="HF86" s="22" t="e">
        <f aca="false">AND(#REF!,"AAAAAHre/dU=")</f>
        <v>#VALUE!</v>
      </c>
      <c r="HG86" s="22" t="e">
        <f aca="false">AND(#REF!,"AAAAAHre/dY=")</f>
        <v>#VALUE!</v>
      </c>
      <c r="HH86" s="22" t="e">
        <f aca="false">AND(#REF!,"AAAAAHre/dc=")</f>
        <v>#VALUE!</v>
      </c>
      <c r="HI86" s="22" t="e">
        <f aca="false">AND(#REF!,"AAAAAHre/dg=")</f>
        <v>#VALUE!</v>
      </c>
      <c r="HJ86" s="22" t="e">
        <f aca="false">AND(#REF!,"AAAAAHre/dk=")</f>
        <v>#VALUE!</v>
      </c>
      <c r="HK86" s="22" t="e">
        <f aca="false">IF(#REF!,"AAAAAHre/do=",0)</f>
        <v>#REF!</v>
      </c>
      <c r="HL86" s="22" t="e">
        <f aca="false">AND(#REF!,"AAAAAHre/ds=")</f>
        <v>#VALUE!</v>
      </c>
      <c r="HM86" s="22" t="e">
        <f aca="false">AND(#REF!,"AAAAAHre/dw=")</f>
        <v>#VALUE!</v>
      </c>
      <c r="HN86" s="22" t="e">
        <f aca="false">AND(#REF!,"AAAAAHre/d0=")</f>
        <v>#VALUE!</v>
      </c>
      <c r="HO86" s="22" t="e">
        <f aca="false">AND(#REF!,"AAAAAHre/d4=")</f>
        <v>#VALUE!</v>
      </c>
      <c r="HP86" s="22" t="e">
        <f aca="false">AND(#REF!,"AAAAAHre/d8=")</f>
        <v>#VALUE!</v>
      </c>
      <c r="HQ86" s="22" t="e">
        <f aca="false">AND(#REF!,"AAAAAHre/eA=")</f>
        <v>#VALUE!</v>
      </c>
      <c r="HR86" s="22" t="e">
        <f aca="false">AND(#REF!,"AAAAAHre/eE=")</f>
        <v>#VALUE!</v>
      </c>
      <c r="HS86" s="22" t="e">
        <f aca="false">AND(#REF!,"AAAAAHre/eI=")</f>
        <v>#VALUE!</v>
      </c>
      <c r="HT86" s="22" t="e">
        <f aca="false">IF(#REF!,"AAAAAHre/eM=",0)</f>
        <v>#REF!</v>
      </c>
      <c r="HU86" s="22" t="e">
        <f aca="false">AND(#REF!,"AAAAAHre/eQ=")</f>
        <v>#VALUE!</v>
      </c>
      <c r="HV86" s="22" t="e">
        <f aca="false">AND(#REF!,"AAAAAHre/eU=")</f>
        <v>#VALUE!</v>
      </c>
      <c r="HW86" s="22" t="e">
        <f aca="false">AND(#REF!,"AAAAAHre/eY=")</f>
        <v>#VALUE!</v>
      </c>
      <c r="HX86" s="22" t="e">
        <f aca="false">AND(#REF!,"AAAAAHre/ec=")</f>
        <v>#VALUE!</v>
      </c>
      <c r="HY86" s="22" t="e">
        <f aca="false">AND(#REF!,"AAAAAHre/eg=")</f>
        <v>#VALUE!</v>
      </c>
      <c r="HZ86" s="22" t="e">
        <f aca="false">AND(#REF!,"AAAAAHre/ek=")</f>
        <v>#VALUE!</v>
      </c>
      <c r="IA86" s="22" t="e">
        <f aca="false">AND(#REF!,"AAAAAHre/eo=")</f>
        <v>#VALUE!</v>
      </c>
      <c r="IB86" s="22" t="e">
        <f aca="false">AND(#REF!,"AAAAAHre/es=")</f>
        <v>#VALUE!</v>
      </c>
      <c r="IC86" s="22" t="e">
        <f aca="false">IF(#REF!,"AAAAAHre/ew=",0)</f>
        <v>#REF!</v>
      </c>
      <c r="ID86" s="22" t="e">
        <f aca="false">AND(#REF!,"AAAAAHre/e0=")</f>
        <v>#VALUE!</v>
      </c>
      <c r="IE86" s="22" t="e">
        <f aca="false">AND(#REF!,"AAAAAHre/e4=")</f>
        <v>#VALUE!</v>
      </c>
      <c r="IF86" s="22" t="e">
        <f aca="false">AND(#REF!,"AAAAAHre/e8=")</f>
        <v>#VALUE!</v>
      </c>
      <c r="IG86" s="22" t="e">
        <f aca="false">AND(#REF!,"AAAAAHre/fA=")</f>
        <v>#VALUE!</v>
      </c>
      <c r="IH86" s="22" t="e">
        <f aca="false">AND(#REF!,"AAAAAHre/fE=")</f>
        <v>#VALUE!</v>
      </c>
      <c r="II86" s="22" t="e">
        <f aca="false">AND(#REF!,"AAAAAHre/fI=")</f>
        <v>#VALUE!</v>
      </c>
      <c r="IJ86" s="22" t="e">
        <f aca="false">AND(#REF!,"AAAAAHre/fM=")</f>
        <v>#VALUE!</v>
      </c>
      <c r="IK86" s="22" t="e">
        <f aca="false">AND(#REF!,"AAAAAHre/fQ=")</f>
        <v>#VALUE!</v>
      </c>
      <c r="IL86" s="22" t="e">
        <f aca="false">IF(#REF!,"AAAAAHre/fU=",0)</f>
        <v>#REF!</v>
      </c>
      <c r="IM86" s="22" t="e">
        <f aca="false">AND(#REF!,"AAAAAHre/fY=")</f>
        <v>#VALUE!</v>
      </c>
      <c r="IN86" s="22" t="e">
        <f aca="false">AND(#REF!,"AAAAAHre/fc=")</f>
        <v>#VALUE!</v>
      </c>
      <c r="IO86" s="22" t="e">
        <f aca="false">AND(#REF!,"AAAAAHre/fg=")</f>
        <v>#VALUE!</v>
      </c>
      <c r="IP86" s="22" t="e">
        <f aca="false">AND(#REF!,"AAAAAHre/fk=")</f>
        <v>#VALUE!</v>
      </c>
      <c r="IQ86" s="22" t="e">
        <f aca="false">AND(#REF!,"AAAAAHre/fo=")</f>
        <v>#VALUE!</v>
      </c>
      <c r="IR86" s="22" t="e">
        <f aca="false">AND(#REF!,"AAAAAHre/fs=")</f>
        <v>#VALUE!</v>
      </c>
      <c r="IS86" s="22" t="e">
        <f aca="false">AND(#REF!,"AAAAAHre/fw=")</f>
        <v>#VALUE!</v>
      </c>
      <c r="IT86" s="22" t="e">
        <f aca="false">AND(#REF!,"AAAAAHre/f0=")</f>
        <v>#VALUE!</v>
      </c>
      <c r="IU86" s="22" t="e">
        <f aca="false">IF(#REF!,"AAAAAHre/f4=",0)</f>
        <v>#REF!</v>
      </c>
      <c r="IV86" s="22" t="e">
        <f aca="false">AND(#REF!,"AAAAAHre/f8=")</f>
        <v>#VALUE!</v>
      </c>
    </row>
    <row r="87" customFormat="false" ht="12.75" hidden="false" customHeight="false" outlineLevel="0" collapsed="false">
      <c r="A87" s="22" t="e">
        <f aca="false">AND(#REF!,"AAAAAF///wA=")</f>
        <v>#VALUE!</v>
      </c>
      <c r="B87" s="22" t="e">
        <f aca="false">AND(#REF!,"AAAAAF///wE=")</f>
        <v>#VALUE!</v>
      </c>
      <c r="C87" s="22" t="e">
        <f aca="false">AND(#REF!,"AAAAAF///wI=")</f>
        <v>#VALUE!</v>
      </c>
      <c r="D87" s="22" t="e">
        <f aca="false">AND(#REF!,"AAAAAF///wM=")</f>
        <v>#VALUE!</v>
      </c>
      <c r="E87" s="22" t="e">
        <f aca="false">AND(#REF!,"AAAAAF///wQ=")</f>
        <v>#VALUE!</v>
      </c>
      <c r="F87" s="22" t="e">
        <f aca="false">AND(#REF!,"AAAAAF///wU=")</f>
        <v>#VALUE!</v>
      </c>
      <c r="G87" s="22" t="e">
        <f aca="false">AND(#REF!,"AAAAAF///wY=")</f>
        <v>#VALUE!</v>
      </c>
      <c r="H87" s="22" t="e">
        <f aca="false">IF(#REF!,"AAAAAF///wc=",0)</f>
        <v>#REF!</v>
      </c>
      <c r="I87" s="22" t="e">
        <f aca="false">AND(#REF!,"AAAAAF///wg=")</f>
        <v>#VALUE!</v>
      </c>
      <c r="J87" s="22" t="e">
        <f aca="false">AND(#REF!,"AAAAAF///wk=")</f>
        <v>#VALUE!</v>
      </c>
      <c r="K87" s="22" t="e">
        <f aca="false">AND(#REF!,"AAAAAF///wo=")</f>
        <v>#VALUE!</v>
      </c>
      <c r="L87" s="22" t="e">
        <f aca="false">AND(#REF!,"AAAAAF///ws=")</f>
        <v>#VALUE!</v>
      </c>
      <c r="M87" s="22" t="e">
        <f aca="false">AND(#REF!,"AAAAAF///ww=")</f>
        <v>#VALUE!</v>
      </c>
      <c r="N87" s="22" t="e">
        <f aca="false">AND(#REF!,"AAAAAF///w0=")</f>
        <v>#VALUE!</v>
      </c>
      <c r="O87" s="22" t="e">
        <f aca="false">AND(#REF!,"AAAAAF///w4=")</f>
        <v>#VALUE!</v>
      </c>
      <c r="P87" s="22" t="e">
        <f aca="false">AND(#REF!,"AAAAAF///w8=")</f>
        <v>#VALUE!</v>
      </c>
      <c r="Q87" s="22" t="e">
        <f aca="false">IF(#REF!,"AAAAAF///xA=",0)</f>
        <v>#REF!</v>
      </c>
      <c r="R87" s="22" t="e">
        <f aca="false">AND(#REF!,"AAAAAF///xE=")</f>
        <v>#VALUE!</v>
      </c>
      <c r="S87" s="22" t="e">
        <f aca="false">AND(#REF!,"AAAAAF///xI=")</f>
        <v>#VALUE!</v>
      </c>
      <c r="T87" s="22" t="e">
        <f aca="false">AND(#REF!,"AAAAAF///xM=")</f>
        <v>#VALUE!</v>
      </c>
      <c r="U87" s="22" t="e">
        <f aca="false">AND(#REF!,"AAAAAF///xQ=")</f>
        <v>#VALUE!</v>
      </c>
      <c r="V87" s="22" t="e">
        <f aca="false">AND(#REF!,"AAAAAF///xU=")</f>
        <v>#VALUE!</v>
      </c>
      <c r="W87" s="22" t="e">
        <f aca="false">AND(#REF!,"AAAAAF///xY=")</f>
        <v>#VALUE!</v>
      </c>
      <c r="X87" s="22" t="e">
        <f aca="false">AND(#REF!,"AAAAAF///xc=")</f>
        <v>#VALUE!</v>
      </c>
      <c r="Y87" s="22" t="e">
        <f aca="false">AND(#REF!,"AAAAAF///xg=")</f>
        <v>#VALUE!</v>
      </c>
      <c r="Z87" s="22" t="e">
        <f aca="false">IF(#REF!,"AAAAAF///xk=",0)</f>
        <v>#REF!</v>
      </c>
      <c r="AA87" s="22" t="e">
        <f aca="false">AND(#REF!,"AAAAAF///xo=")</f>
        <v>#VALUE!</v>
      </c>
      <c r="AB87" s="22" t="e">
        <f aca="false">AND(#REF!,"AAAAAF///xs=")</f>
        <v>#VALUE!</v>
      </c>
      <c r="AC87" s="22" t="e">
        <f aca="false">AND(#REF!,"AAAAAF///xw=")</f>
        <v>#VALUE!</v>
      </c>
      <c r="AD87" s="22" t="e">
        <f aca="false">AND(#REF!,"AAAAAF///x0=")</f>
        <v>#VALUE!</v>
      </c>
      <c r="AE87" s="22" t="e">
        <f aca="false">AND(#REF!,"AAAAAF///x4=")</f>
        <v>#VALUE!</v>
      </c>
      <c r="AF87" s="22" t="e">
        <f aca="false">AND(#REF!,"AAAAAF///x8=")</f>
        <v>#VALUE!</v>
      </c>
      <c r="AG87" s="22" t="e">
        <f aca="false">AND(#REF!,"AAAAAF///yA=")</f>
        <v>#VALUE!</v>
      </c>
      <c r="AH87" s="22" t="e">
        <f aca="false">AND(#REF!,"AAAAAF///yE=")</f>
        <v>#VALUE!</v>
      </c>
      <c r="AI87" s="22" t="e">
        <f aca="false">IF(#REF!,"AAAAAF///yI=",0)</f>
        <v>#REF!</v>
      </c>
      <c r="AJ87" s="22" t="e">
        <f aca="false">AND(#REF!,"AAAAAF///yM=")</f>
        <v>#VALUE!</v>
      </c>
      <c r="AK87" s="22" t="e">
        <f aca="false">AND(#REF!,"AAAAAF///yQ=")</f>
        <v>#VALUE!</v>
      </c>
      <c r="AL87" s="22" t="e">
        <f aca="false">AND(#REF!,"AAAAAF///yU=")</f>
        <v>#VALUE!</v>
      </c>
      <c r="AM87" s="22" t="e">
        <f aca="false">AND(#REF!,"AAAAAF///yY=")</f>
        <v>#VALUE!</v>
      </c>
      <c r="AN87" s="22" t="e">
        <f aca="false">AND(#REF!,"AAAAAF///yc=")</f>
        <v>#VALUE!</v>
      </c>
      <c r="AO87" s="22" t="e">
        <f aca="false">AND(#REF!,"AAAAAF///yg=")</f>
        <v>#VALUE!</v>
      </c>
      <c r="AP87" s="22" t="e">
        <f aca="false">AND(#REF!,"AAAAAF///yk=")</f>
        <v>#VALUE!</v>
      </c>
      <c r="AQ87" s="22" t="e">
        <f aca="false">AND(#REF!,"AAAAAF///yo=")</f>
        <v>#VALUE!</v>
      </c>
      <c r="AR87" s="22" t="e">
        <f aca="false">IF(#REF!,"AAAAAF///ys=",0)</f>
        <v>#REF!</v>
      </c>
      <c r="AS87" s="22" t="e">
        <f aca="false">AND(#REF!,"AAAAAF///yw=")</f>
        <v>#VALUE!</v>
      </c>
      <c r="AT87" s="22" t="e">
        <f aca="false">AND(#REF!,"AAAAAF///y0=")</f>
        <v>#VALUE!</v>
      </c>
      <c r="AU87" s="22" t="e">
        <f aca="false">AND(#REF!,"AAAAAF///y4=")</f>
        <v>#VALUE!</v>
      </c>
      <c r="AV87" s="22" t="e">
        <f aca="false">AND(#REF!,"AAAAAF///y8=")</f>
        <v>#VALUE!</v>
      </c>
      <c r="AW87" s="22" t="e">
        <f aca="false">AND(#REF!,"AAAAAF///zA=")</f>
        <v>#VALUE!</v>
      </c>
      <c r="AX87" s="22" t="e">
        <f aca="false">AND(#REF!,"AAAAAF///zE=")</f>
        <v>#VALUE!</v>
      </c>
      <c r="AY87" s="22" t="e">
        <f aca="false">AND(#REF!,"AAAAAF///zI=")</f>
        <v>#VALUE!</v>
      </c>
      <c r="AZ87" s="22" t="e">
        <f aca="false">AND(#REF!,"AAAAAF///zM=")</f>
        <v>#VALUE!</v>
      </c>
      <c r="BA87" s="22" t="e">
        <f aca="false">IF(#REF!,"AAAAAF///zQ=",0)</f>
        <v>#REF!</v>
      </c>
      <c r="BB87" s="22" t="e">
        <f aca="false">AND(#REF!,"AAAAAF///zU=")</f>
        <v>#VALUE!</v>
      </c>
      <c r="BC87" s="22" t="e">
        <f aca="false">AND(#REF!,"AAAAAF///zY=")</f>
        <v>#VALUE!</v>
      </c>
      <c r="BD87" s="22" t="e">
        <f aca="false">AND(#REF!,"AAAAAF///zc=")</f>
        <v>#VALUE!</v>
      </c>
      <c r="BE87" s="22" t="e">
        <f aca="false">AND(#REF!,"AAAAAF///zg=")</f>
        <v>#VALUE!</v>
      </c>
      <c r="BF87" s="22" t="e">
        <f aca="false">AND(#REF!,"AAAAAF///zk=")</f>
        <v>#VALUE!</v>
      </c>
      <c r="BG87" s="22" t="e">
        <f aca="false">AND(#REF!,"AAAAAF///zo=")</f>
        <v>#VALUE!</v>
      </c>
      <c r="BH87" s="22" t="e">
        <f aca="false">AND(#REF!,"AAAAAF///zs=")</f>
        <v>#VALUE!</v>
      </c>
      <c r="BI87" s="22" t="e">
        <f aca="false">AND(#REF!,"AAAAAF///zw=")</f>
        <v>#VALUE!</v>
      </c>
      <c r="BJ87" s="22" t="e">
        <f aca="false">IF(#REF!,"AAAAAF///z0=",0)</f>
        <v>#REF!</v>
      </c>
      <c r="BK87" s="22" t="e">
        <f aca="false">AND(#REF!,"AAAAAF///z4=")</f>
        <v>#VALUE!</v>
      </c>
      <c r="BL87" s="22" t="e">
        <f aca="false">AND(#REF!,"AAAAAF///z8=")</f>
        <v>#VALUE!</v>
      </c>
      <c r="BM87" s="22" t="e">
        <f aca="false">AND(#REF!,"AAAAAF///0A=")</f>
        <v>#VALUE!</v>
      </c>
      <c r="BN87" s="22" t="e">
        <f aca="false">AND(#REF!,"AAAAAF///0E=")</f>
        <v>#VALUE!</v>
      </c>
      <c r="BO87" s="22" t="e">
        <f aca="false">AND(#REF!,"AAAAAF///0I=")</f>
        <v>#VALUE!</v>
      </c>
      <c r="BP87" s="22" t="e">
        <f aca="false">AND(#REF!,"AAAAAF///0M=")</f>
        <v>#VALUE!</v>
      </c>
      <c r="BQ87" s="22" t="e">
        <f aca="false">AND(#REF!,"AAAAAF///0Q=")</f>
        <v>#VALUE!</v>
      </c>
      <c r="BR87" s="22" t="e">
        <f aca="false">AND(#REF!,"AAAAAF///0U=")</f>
        <v>#VALUE!</v>
      </c>
      <c r="BS87" s="22" t="e">
        <f aca="false">IF(#REF!,"AAAAAF///0Y=",0)</f>
        <v>#REF!</v>
      </c>
      <c r="BT87" s="22" t="e">
        <f aca="false">AND(#REF!,"AAAAAF///0c=")</f>
        <v>#VALUE!</v>
      </c>
      <c r="BU87" s="22" t="e">
        <f aca="false">AND(#REF!,"AAAAAF///0g=")</f>
        <v>#VALUE!</v>
      </c>
      <c r="BV87" s="22" t="e">
        <f aca="false">AND(#REF!,"AAAAAF///0k=")</f>
        <v>#VALUE!</v>
      </c>
      <c r="BW87" s="22" t="e">
        <f aca="false">AND(#REF!,"AAAAAF///0o=")</f>
        <v>#VALUE!</v>
      </c>
      <c r="BX87" s="22" t="e">
        <f aca="false">AND(#REF!,"AAAAAF///0s=")</f>
        <v>#VALUE!</v>
      </c>
      <c r="BY87" s="22" t="e">
        <f aca="false">AND(#REF!,"AAAAAF///0w=")</f>
        <v>#VALUE!</v>
      </c>
      <c r="BZ87" s="22" t="e">
        <f aca="false">AND(#REF!,"AAAAAF///00=")</f>
        <v>#VALUE!</v>
      </c>
      <c r="CA87" s="22" t="e">
        <f aca="false">AND(#REF!,"AAAAAF///04=")</f>
        <v>#VALUE!</v>
      </c>
      <c r="CB87" s="22" t="e">
        <f aca="false">IF(#REF!,"AAAAAF///08=",0)</f>
        <v>#REF!</v>
      </c>
      <c r="CC87" s="22" t="e">
        <f aca="false">AND(#REF!,"AAAAAF///1A=")</f>
        <v>#VALUE!</v>
      </c>
      <c r="CD87" s="22" t="e">
        <f aca="false">AND(#REF!,"AAAAAF///1E=")</f>
        <v>#VALUE!</v>
      </c>
      <c r="CE87" s="22" t="e">
        <f aca="false">AND(#REF!,"AAAAAF///1I=")</f>
        <v>#VALUE!</v>
      </c>
      <c r="CF87" s="22" t="e">
        <f aca="false">AND(#REF!,"AAAAAF///1M=")</f>
        <v>#VALUE!</v>
      </c>
      <c r="CG87" s="22" t="e">
        <f aca="false">AND(#REF!,"AAAAAF///1Q=")</f>
        <v>#VALUE!</v>
      </c>
      <c r="CH87" s="22" t="e">
        <f aca="false">AND(#REF!,"AAAAAF///1U=")</f>
        <v>#VALUE!</v>
      </c>
      <c r="CI87" s="22" t="e">
        <f aca="false">AND(#REF!,"AAAAAF///1Y=")</f>
        <v>#VALUE!</v>
      </c>
      <c r="CJ87" s="22" t="e">
        <f aca="false">AND(#REF!,"AAAAAF///1c=")</f>
        <v>#VALUE!</v>
      </c>
      <c r="CK87" s="22" t="e">
        <f aca="false">IF(#REF!,"AAAAAF///1g=",0)</f>
        <v>#REF!</v>
      </c>
      <c r="CL87" s="22" t="e">
        <f aca="false">AND(#REF!,"AAAAAF///1k=")</f>
        <v>#VALUE!</v>
      </c>
      <c r="CM87" s="22" t="e">
        <f aca="false">AND(#REF!,"AAAAAF///1o=")</f>
        <v>#VALUE!</v>
      </c>
      <c r="CN87" s="22" t="e">
        <f aca="false">AND(#REF!,"AAAAAF///1s=")</f>
        <v>#VALUE!</v>
      </c>
      <c r="CO87" s="22" t="e">
        <f aca="false">AND(#REF!,"AAAAAF///1w=")</f>
        <v>#VALUE!</v>
      </c>
      <c r="CP87" s="22" t="e">
        <f aca="false">AND(#REF!,"AAAAAF///10=")</f>
        <v>#VALUE!</v>
      </c>
      <c r="CQ87" s="22" t="e">
        <f aca="false">AND(#REF!,"AAAAAF///14=")</f>
        <v>#VALUE!</v>
      </c>
      <c r="CR87" s="22" t="e">
        <f aca="false">AND(#REF!,"AAAAAF///18=")</f>
        <v>#VALUE!</v>
      </c>
      <c r="CS87" s="22" t="e">
        <f aca="false">AND(#REF!,"AAAAAF///2A=")</f>
        <v>#VALUE!</v>
      </c>
      <c r="CT87" s="22" t="e">
        <f aca="false">IF(#REF!,"AAAAAF///2E=",0)</f>
        <v>#REF!</v>
      </c>
      <c r="CU87" s="22" t="e">
        <f aca="false">AND(#REF!,"AAAAAF///2I=")</f>
        <v>#VALUE!</v>
      </c>
      <c r="CV87" s="22" t="e">
        <f aca="false">AND(#REF!,"AAAAAF///2M=")</f>
        <v>#VALUE!</v>
      </c>
      <c r="CW87" s="22" t="e">
        <f aca="false">AND(#REF!,"AAAAAF///2Q=")</f>
        <v>#VALUE!</v>
      </c>
      <c r="CX87" s="22" t="e">
        <f aca="false">AND(#REF!,"AAAAAF///2U=")</f>
        <v>#VALUE!</v>
      </c>
      <c r="CY87" s="22" t="e">
        <f aca="false">AND(#REF!,"AAAAAF///2Y=")</f>
        <v>#VALUE!</v>
      </c>
      <c r="CZ87" s="22" t="e">
        <f aca="false">AND(#REF!,"AAAAAF///2c=")</f>
        <v>#VALUE!</v>
      </c>
      <c r="DA87" s="22" t="e">
        <f aca="false">AND(#REF!,"AAAAAF///2g=")</f>
        <v>#VALUE!</v>
      </c>
      <c r="DB87" s="22" t="e">
        <f aca="false">AND(#REF!,"AAAAAF///2k=")</f>
        <v>#VALUE!</v>
      </c>
      <c r="DC87" s="22" t="e">
        <f aca="false">IF(#REF!,"AAAAAF///2o=",0)</f>
        <v>#REF!</v>
      </c>
      <c r="DD87" s="22" t="e">
        <f aca="false">AND(#REF!,"AAAAAF///2s=")</f>
        <v>#VALUE!</v>
      </c>
      <c r="DE87" s="22" t="e">
        <f aca="false">AND(#REF!,"AAAAAF///2w=")</f>
        <v>#VALUE!</v>
      </c>
      <c r="DF87" s="22" t="e">
        <f aca="false">AND(#REF!,"AAAAAF///20=")</f>
        <v>#VALUE!</v>
      </c>
      <c r="DG87" s="22" t="e">
        <f aca="false">AND(#REF!,"AAAAAF///24=")</f>
        <v>#VALUE!</v>
      </c>
      <c r="DH87" s="22" t="e">
        <f aca="false">AND(#REF!,"AAAAAF///28=")</f>
        <v>#VALUE!</v>
      </c>
      <c r="DI87" s="22" t="e">
        <f aca="false">AND(#REF!,"AAAAAF///3A=")</f>
        <v>#VALUE!</v>
      </c>
      <c r="DJ87" s="22" t="e">
        <f aca="false">AND(#REF!,"AAAAAF///3E=")</f>
        <v>#VALUE!</v>
      </c>
      <c r="DK87" s="22" t="e">
        <f aca="false">AND(#REF!,"AAAAAF///3I=")</f>
        <v>#VALUE!</v>
      </c>
      <c r="DL87" s="22" t="e">
        <f aca="false">IF(#REF!,"AAAAAF///3M=",0)</f>
        <v>#REF!</v>
      </c>
      <c r="DM87" s="22" t="e">
        <f aca="false">AND(#REF!,"AAAAAF///3Q=")</f>
        <v>#VALUE!</v>
      </c>
      <c r="DN87" s="22" t="e">
        <f aca="false">AND(#REF!,"AAAAAF///3U=")</f>
        <v>#VALUE!</v>
      </c>
      <c r="DO87" s="22" t="e">
        <f aca="false">AND(#REF!,"AAAAAF///3Y=")</f>
        <v>#VALUE!</v>
      </c>
      <c r="DP87" s="22" t="e">
        <f aca="false">AND(#REF!,"AAAAAF///3c=")</f>
        <v>#VALUE!</v>
      </c>
      <c r="DQ87" s="22" t="e">
        <f aca="false">AND(#REF!,"AAAAAF///3g=")</f>
        <v>#VALUE!</v>
      </c>
      <c r="DR87" s="22" t="e">
        <f aca="false">AND(#REF!,"AAAAAF///3k=")</f>
        <v>#VALUE!</v>
      </c>
      <c r="DS87" s="22" t="e">
        <f aca="false">AND(#REF!,"AAAAAF///3o=")</f>
        <v>#VALUE!</v>
      </c>
      <c r="DT87" s="22" t="e">
        <f aca="false">AND(#REF!,"AAAAAF///3s=")</f>
        <v>#VALUE!</v>
      </c>
      <c r="DU87" s="22" t="e">
        <f aca="false">IF(#REF!,"AAAAAF///3w=",0)</f>
        <v>#REF!</v>
      </c>
      <c r="DV87" s="22" t="e">
        <f aca="false">AND(#REF!,"AAAAAF///30=")</f>
        <v>#VALUE!</v>
      </c>
      <c r="DW87" s="22" t="e">
        <f aca="false">AND(#REF!,"AAAAAF///34=")</f>
        <v>#VALUE!</v>
      </c>
      <c r="DX87" s="22" t="e">
        <f aca="false">AND(#REF!,"AAAAAF///38=")</f>
        <v>#VALUE!</v>
      </c>
      <c r="DY87" s="22" t="e">
        <f aca="false">AND(#REF!,"AAAAAF///4A=")</f>
        <v>#VALUE!</v>
      </c>
      <c r="DZ87" s="22" t="e">
        <f aca="false">AND(#REF!,"AAAAAF///4E=")</f>
        <v>#VALUE!</v>
      </c>
      <c r="EA87" s="22" t="e">
        <f aca="false">AND(#REF!,"AAAAAF///4I=")</f>
        <v>#VALUE!</v>
      </c>
      <c r="EB87" s="22" t="e">
        <f aca="false">AND(#REF!,"AAAAAF///4M=")</f>
        <v>#VALUE!</v>
      </c>
      <c r="EC87" s="22" t="e">
        <f aca="false">AND(#REF!,"AAAAAF///4Q=")</f>
        <v>#VALUE!</v>
      </c>
      <c r="ED87" s="22" t="e">
        <f aca="false">IF(#REF!,"AAAAAF///4U=",0)</f>
        <v>#REF!</v>
      </c>
      <c r="EE87" s="22" t="e">
        <f aca="false">AND(#REF!,"AAAAAF///4Y=")</f>
        <v>#VALUE!</v>
      </c>
      <c r="EF87" s="22" t="e">
        <f aca="false">AND(#REF!,"AAAAAF///4c=")</f>
        <v>#VALUE!</v>
      </c>
      <c r="EG87" s="22" t="e">
        <f aca="false">AND(#REF!,"AAAAAF///4g=")</f>
        <v>#VALUE!</v>
      </c>
      <c r="EH87" s="22" t="e">
        <f aca="false">AND(#REF!,"AAAAAF///4k=")</f>
        <v>#VALUE!</v>
      </c>
      <c r="EI87" s="22" t="e">
        <f aca="false">AND(#REF!,"AAAAAF///4o=")</f>
        <v>#VALUE!</v>
      </c>
      <c r="EJ87" s="22" t="e">
        <f aca="false">AND(#REF!,"AAAAAF///4s=")</f>
        <v>#VALUE!</v>
      </c>
      <c r="EK87" s="22" t="e">
        <f aca="false">AND(#REF!,"AAAAAF///4w=")</f>
        <v>#VALUE!</v>
      </c>
      <c r="EL87" s="22" t="e">
        <f aca="false">AND(#REF!,"AAAAAF///40=")</f>
        <v>#VALUE!</v>
      </c>
      <c r="EM87" s="22" t="e">
        <f aca="false">IF(#REF!,"AAAAAF///44=",0)</f>
        <v>#REF!</v>
      </c>
      <c r="EN87" s="22" t="e">
        <f aca="false">AND(#REF!,"AAAAAF///48=")</f>
        <v>#VALUE!</v>
      </c>
      <c r="EO87" s="22" t="e">
        <f aca="false">AND(#REF!,"AAAAAF///5A=")</f>
        <v>#VALUE!</v>
      </c>
      <c r="EP87" s="22" t="e">
        <f aca="false">AND(#REF!,"AAAAAF///5E=")</f>
        <v>#VALUE!</v>
      </c>
      <c r="EQ87" s="22" t="e">
        <f aca="false">AND(#REF!,"AAAAAF///5I=")</f>
        <v>#VALUE!</v>
      </c>
      <c r="ER87" s="22" t="e">
        <f aca="false">AND(#REF!,"AAAAAF///5M=")</f>
        <v>#VALUE!</v>
      </c>
      <c r="ES87" s="22" t="e">
        <f aca="false">AND(#REF!,"AAAAAF///5Q=")</f>
        <v>#VALUE!</v>
      </c>
      <c r="ET87" s="22" t="e">
        <f aca="false">AND(#REF!,"AAAAAF///5U=")</f>
        <v>#VALUE!</v>
      </c>
      <c r="EU87" s="22" t="e">
        <f aca="false">AND(#REF!,"AAAAAF///5Y=")</f>
        <v>#VALUE!</v>
      </c>
      <c r="EV87" s="22" t="e">
        <f aca="false">IF(#REF!,"AAAAAF///5c=",0)</f>
        <v>#REF!</v>
      </c>
      <c r="EW87" s="22" t="e">
        <f aca="false">AND(#REF!,"AAAAAF///5g=")</f>
        <v>#VALUE!</v>
      </c>
      <c r="EX87" s="22" t="e">
        <f aca="false">AND(#REF!,"AAAAAF///5k=")</f>
        <v>#VALUE!</v>
      </c>
      <c r="EY87" s="22" t="e">
        <f aca="false">AND(#REF!,"AAAAAF///5o=")</f>
        <v>#VALUE!</v>
      </c>
      <c r="EZ87" s="22" t="e">
        <f aca="false">AND(#REF!,"AAAAAF///5s=")</f>
        <v>#VALUE!</v>
      </c>
      <c r="FA87" s="22" t="e">
        <f aca="false">AND(#REF!,"AAAAAF///5w=")</f>
        <v>#VALUE!</v>
      </c>
      <c r="FB87" s="22" t="e">
        <f aca="false">AND(#REF!,"AAAAAF///50=")</f>
        <v>#VALUE!</v>
      </c>
      <c r="FC87" s="22" t="e">
        <f aca="false">AND(#REF!,"AAAAAF///54=")</f>
        <v>#VALUE!</v>
      </c>
      <c r="FD87" s="22" t="e">
        <f aca="false">AND(#REF!,"AAAAAF///58=")</f>
        <v>#VALUE!</v>
      </c>
      <c r="FE87" s="22" t="e">
        <f aca="false">IF(#REF!,"AAAAAF///6A=",0)</f>
        <v>#REF!</v>
      </c>
      <c r="FF87" s="22" t="e">
        <f aca="false">AND(#REF!,"AAAAAF///6E=")</f>
        <v>#VALUE!</v>
      </c>
      <c r="FG87" s="22" t="e">
        <f aca="false">AND(#REF!,"AAAAAF///6I=")</f>
        <v>#VALUE!</v>
      </c>
      <c r="FH87" s="22" t="e">
        <f aca="false">AND(#REF!,"AAAAAF///6M=")</f>
        <v>#VALUE!</v>
      </c>
      <c r="FI87" s="22" t="e">
        <f aca="false">AND(#REF!,"AAAAAF///6Q=")</f>
        <v>#VALUE!</v>
      </c>
      <c r="FJ87" s="22" t="e">
        <f aca="false">AND(#REF!,"AAAAAF///6U=")</f>
        <v>#VALUE!</v>
      </c>
      <c r="FK87" s="22" t="e">
        <f aca="false">AND(#REF!,"AAAAAF///6Y=")</f>
        <v>#VALUE!</v>
      </c>
      <c r="FL87" s="22" t="e">
        <f aca="false">AND(#REF!,"AAAAAF///6c=")</f>
        <v>#VALUE!</v>
      </c>
      <c r="FM87" s="22" t="e">
        <f aca="false">AND(#REF!,"AAAAAF///6g=")</f>
        <v>#VALUE!</v>
      </c>
      <c r="FN87" s="22" t="e">
        <f aca="false">IF(#REF!,"AAAAAF///6k=",0)</f>
        <v>#REF!</v>
      </c>
      <c r="FO87" s="22" t="e">
        <f aca="false">AND(#REF!,"AAAAAF///6o=")</f>
        <v>#VALUE!</v>
      </c>
      <c r="FP87" s="22" t="e">
        <f aca="false">AND(#REF!,"AAAAAF///6s=")</f>
        <v>#VALUE!</v>
      </c>
      <c r="FQ87" s="22" t="e">
        <f aca="false">AND(#REF!,"AAAAAF///6w=")</f>
        <v>#VALUE!</v>
      </c>
      <c r="FR87" s="22" t="e">
        <f aca="false">AND(#REF!,"AAAAAF///60=")</f>
        <v>#VALUE!</v>
      </c>
      <c r="FS87" s="22" t="e">
        <f aca="false">AND(#REF!,"AAAAAF///64=")</f>
        <v>#VALUE!</v>
      </c>
      <c r="FT87" s="22" t="e">
        <f aca="false">AND(#REF!,"AAAAAF///68=")</f>
        <v>#VALUE!</v>
      </c>
      <c r="FU87" s="22" t="e">
        <f aca="false">AND(#REF!,"AAAAAF///7A=")</f>
        <v>#VALUE!</v>
      </c>
      <c r="FV87" s="22" t="e">
        <f aca="false">AND(#REF!,"AAAAAF///7E=")</f>
        <v>#VALUE!</v>
      </c>
      <c r="FW87" s="22" t="e">
        <f aca="false">IF(#REF!,"AAAAAF///7I=",0)</f>
        <v>#REF!</v>
      </c>
      <c r="FX87" s="22" t="e">
        <f aca="false">AND(#REF!,"AAAAAF///7M=")</f>
        <v>#VALUE!</v>
      </c>
      <c r="FY87" s="22" t="e">
        <f aca="false">AND(#REF!,"AAAAAF///7Q=")</f>
        <v>#VALUE!</v>
      </c>
      <c r="FZ87" s="22" t="e">
        <f aca="false">AND(#REF!,"AAAAAF///7U=")</f>
        <v>#VALUE!</v>
      </c>
      <c r="GA87" s="22" t="e">
        <f aca="false">AND(#REF!,"AAAAAF///7Y=")</f>
        <v>#VALUE!</v>
      </c>
      <c r="GB87" s="22" t="e">
        <f aca="false">AND(#REF!,"AAAAAF///7c=")</f>
        <v>#VALUE!</v>
      </c>
      <c r="GC87" s="22" t="e">
        <f aca="false">AND(#REF!,"AAAAAF///7g=")</f>
        <v>#VALUE!</v>
      </c>
      <c r="GD87" s="22" t="e">
        <f aca="false">AND(#REF!,"AAAAAF///7k=")</f>
        <v>#VALUE!</v>
      </c>
      <c r="GE87" s="22" t="e">
        <f aca="false">AND(#REF!,"AAAAAF///7o=")</f>
        <v>#VALUE!</v>
      </c>
      <c r="GF87" s="22" t="e">
        <f aca="false">IF(#REF!,"AAAAAF///7s=",0)</f>
        <v>#REF!</v>
      </c>
      <c r="GG87" s="22" t="e">
        <f aca="false">AND(#REF!,"AAAAAF///7w=")</f>
        <v>#VALUE!</v>
      </c>
      <c r="GH87" s="22" t="e">
        <f aca="false">AND(#REF!,"AAAAAF///70=")</f>
        <v>#VALUE!</v>
      </c>
      <c r="GI87" s="22" t="e">
        <f aca="false">AND(#REF!,"AAAAAF///74=")</f>
        <v>#VALUE!</v>
      </c>
      <c r="GJ87" s="22" t="e">
        <f aca="false">AND(#REF!,"AAAAAF///78=")</f>
        <v>#VALUE!</v>
      </c>
      <c r="GK87" s="22" t="e">
        <f aca="false">AND(#REF!,"AAAAAF///8A=")</f>
        <v>#VALUE!</v>
      </c>
      <c r="GL87" s="22" t="e">
        <f aca="false">AND(#REF!,"AAAAAF///8E=")</f>
        <v>#VALUE!</v>
      </c>
      <c r="GM87" s="22" t="e">
        <f aca="false">AND(#REF!,"AAAAAF///8I=")</f>
        <v>#VALUE!</v>
      </c>
      <c r="GN87" s="22" t="e">
        <f aca="false">AND(#REF!,"AAAAAF///8M=")</f>
        <v>#VALUE!</v>
      </c>
      <c r="GO87" s="22" t="e">
        <f aca="false">IF(#REF!,"AAAAAF///8Q=",0)</f>
        <v>#REF!</v>
      </c>
      <c r="GP87" s="22" t="e">
        <f aca="false">AND(#REF!,"AAAAAF///8U=")</f>
        <v>#VALUE!</v>
      </c>
      <c r="GQ87" s="22" t="e">
        <f aca="false">AND(#REF!,"AAAAAF///8Y=")</f>
        <v>#VALUE!</v>
      </c>
      <c r="GR87" s="22" t="e">
        <f aca="false">AND(#REF!,"AAAAAF///8c=")</f>
        <v>#VALUE!</v>
      </c>
      <c r="GS87" s="22" t="e">
        <f aca="false">AND(#REF!,"AAAAAF///8g=")</f>
        <v>#VALUE!</v>
      </c>
      <c r="GT87" s="22" t="e">
        <f aca="false">AND(#REF!,"AAAAAF///8k=")</f>
        <v>#VALUE!</v>
      </c>
      <c r="GU87" s="22" t="e">
        <f aca="false">AND(#REF!,"AAAAAF///8o=")</f>
        <v>#VALUE!</v>
      </c>
      <c r="GV87" s="22" t="e">
        <f aca="false">AND(#REF!,"AAAAAF///8s=")</f>
        <v>#VALUE!</v>
      </c>
      <c r="GW87" s="22" t="e">
        <f aca="false">AND(#REF!,"AAAAAF///8w=")</f>
        <v>#VALUE!</v>
      </c>
      <c r="GX87" s="22" t="e">
        <f aca="false">IF(#REF!,"AAAAAF///80=",0)</f>
        <v>#REF!</v>
      </c>
      <c r="GY87" s="22" t="e">
        <f aca="false">AND(#REF!,"AAAAAF///84=")</f>
        <v>#VALUE!</v>
      </c>
      <c r="GZ87" s="22" t="e">
        <f aca="false">AND(#REF!,"AAAAAF///88=")</f>
        <v>#VALUE!</v>
      </c>
      <c r="HA87" s="22" t="e">
        <f aca="false">AND(#REF!,"AAAAAF///9A=")</f>
        <v>#VALUE!</v>
      </c>
      <c r="HB87" s="22" t="e">
        <f aca="false">AND(#REF!,"AAAAAF///9E=")</f>
        <v>#VALUE!</v>
      </c>
      <c r="HC87" s="22" t="e">
        <f aca="false">AND(#REF!,"AAAAAF///9I=")</f>
        <v>#VALUE!</v>
      </c>
      <c r="HD87" s="22" t="e">
        <f aca="false">AND(#REF!,"AAAAAF///9M=")</f>
        <v>#VALUE!</v>
      </c>
      <c r="HE87" s="22" t="e">
        <f aca="false">AND(#REF!,"AAAAAF///9Q=")</f>
        <v>#VALUE!</v>
      </c>
      <c r="HF87" s="22" t="e">
        <f aca="false">AND(#REF!,"AAAAAF///9U=")</f>
        <v>#VALUE!</v>
      </c>
      <c r="HG87" s="22" t="e">
        <f aca="false">IF(#REF!,"AAAAAF///9Y=",0)</f>
        <v>#REF!</v>
      </c>
      <c r="HH87" s="22" t="e">
        <f aca="false">AND(#REF!,"AAAAAF///9c=")</f>
        <v>#VALUE!</v>
      </c>
      <c r="HI87" s="22" t="e">
        <f aca="false">AND(#REF!,"AAAAAF///9g=")</f>
        <v>#VALUE!</v>
      </c>
      <c r="HJ87" s="22" t="e">
        <f aca="false">AND(#REF!,"AAAAAF///9k=")</f>
        <v>#VALUE!</v>
      </c>
      <c r="HK87" s="22" t="e">
        <f aca="false">AND(#REF!,"AAAAAF///9o=")</f>
        <v>#VALUE!</v>
      </c>
      <c r="HL87" s="22" t="e">
        <f aca="false">AND(#REF!,"AAAAAF///9s=")</f>
        <v>#VALUE!</v>
      </c>
      <c r="HM87" s="22" t="e">
        <f aca="false">AND(#REF!,"AAAAAF///9w=")</f>
        <v>#VALUE!</v>
      </c>
      <c r="HN87" s="22" t="e">
        <f aca="false">AND(#REF!,"AAAAAF///90=")</f>
        <v>#VALUE!</v>
      </c>
      <c r="HO87" s="22" t="e">
        <f aca="false">AND(#REF!,"AAAAAF///94=")</f>
        <v>#VALUE!</v>
      </c>
      <c r="HP87" s="22" t="e">
        <f aca="false">IF(#REF!,"AAAAAF///98=",0)</f>
        <v>#REF!</v>
      </c>
      <c r="HQ87" s="22" t="e">
        <f aca="false">AND(#REF!,"AAAAAF///+A=")</f>
        <v>#VALUE!</v>
      </c>
      <c r="HR87" s="22" t="e">
        <f aca="false">AND(#REF!,"AAAAAF///+E=")</f>
        <v>#VALUE!</v>
      </c>
      <c r="HS87" s="22" t="e">
        <f aca="false">AND(#REF!,"AAAAAF///+I=")</f>
        <v>#VALUE!</v>
      </c>
      <c r="HT87" s="22" t="e">
        <f aca="false">AND(#REF!,"AAAAAF///+M=")</f>
        <v>#VALUE!</v>
      </c>
      <c r="HU87" s="22" t="e">
        <f aca="false">AND(#REF!,"AAAAAF///+Q=")</f>
        <v>#VALUE!</v>
      </c>
      <c r="HV87" s="22" t="e">
        <f aca="false">AND(#REF!,"AAAAAF///+U=")</f>
        <v>#VALUE!</v>
      </c>
      <c r="HW87" s="22" t="e">
        <f aca="false">AND(#REF!,"AAAAAF///+Y=")</f>
        <v>#VALUE!</v>
      </c>
      <c r="HX87" s="22" t="e">
        <f aca="false">AND(#REF!,"AAAAAF///+c=")</f>
        <v>#VALUE!</v>
      </c>
      <c r="HY87" s="22" t="e">
        <f aca="false">IF(#REF!,"AAAAAF///+g=",0)</f>
        <v>#REF!</v>
      </c>
      <c r="HZ87" s="22" t="e">
        <f aca="false">AND(#REF!,"AAAAAF///+k=")</f>
        <v>#VALUE!</v>
      </c>
      <c r="IA87" s="22" t="e">
        <f aca="false">AND(#REF!,"AAAAAF///+o=")</f>
        <v>#VALUE!</v>
      </c>
      <c r="IB87" s="22" t="e">
        <f aca="false">AND(#REF!,"AAAAAF///+s=")</f>
        <v>#VALUE!</v>
      </c>
      <c r="IC87" s="22" t="e">
        <f aca="false">AND(#REF!,"AAAAAF///+w=")</f>
        <v>#VALUE!</v>
      </c>
      <c r="ID87" s="22" t="e">
        <f aca="false">AND(#REF!,"AAAAAF///+0=")</f>
        <v>#VALUE!</v>
      </c>
      <c r="IE87" s="22" t="e">
        <f aca="false">AND(#REF!,"AAAAAF///+4=")</f>
        <v>#VALUE!</v>
      </c>
      <c r="IF87" s="22" t="e">
        <f aca="false">AND(#REF!,"AAAAAF///+8=")</f>
        <v>#VALUE!</v>
      </c>
      <c r="IG87" s="22" t="e">
        <f aca="false">AND(#REF!,"AAAAAF////A=")</f>
        <v>#VALUE!</v>
      </c>
      <c r="IH87" s="22" t="e">
        <f aca="false">IF(#REF!,"AAAAAF////E=",0)</f>
        <v>#REF!</v>
      </c>
      <c r="II87" s="22" t="e">
        <f aca="false">AND(#REF!,"AAAAAF////I=")</f>
        <v>#VALUE!</v>
      </c>
      <c r="IJ87" s="22" t="e">
        <f aca="false">AND(#REF!,"AAAAAF////M=")</f>
        <v>#VALUE!</v>
      </c>
      <c r="IK87" s="22" t="e">
        <f aca="false">AND(#REF!,"AAAAAF////Q=")</f>
        <v>#VALUE!</v>
      </c>
      <c r="IL87" s="22" t="e">
        <f aca="false">AND(#REF!,"AAAAAF////U=")</f>
        <v>#VALUE!</v>
      </c>
      <c r="IM87" s="22" t="e">
        <f aca="false">AND(#REF!,"AAAAAF////Y=")</f>
        <v>#VALUE!</v>
      </c>
      <c r="IN87" s="22" t="e">
        <f aca="false">AND(#REF!,"AAAAAF////c=")</f>
        <v>#VALUE!</v>
      </c>
      <c r="IO87" s="22" t="e">
        <f aca="false">AND(#REF!,"AAAAAF////g=")</f>
        <v>#VALUE!</v>
      </c>
      <c r="IP87" s="22" t="e">
        <f aca="false">AND(#REF!,"AAAAAF////k=")</f>
        <v>#VALUE!</v>
      </c>
      <c r="IQ87" s="22" t="e">
        <f aca="false">IF(#REF!,"AAAAAF////o=",0)</f>
        <v>#REF!</v>
      </c>
      <c r="IR87" s="22" t="e">
        <f aca="false">AND(#REF!,"AAAAAF////s=")</f>
        <v>#VALUE!</v>
      </c>
      <c r="IS87" s="22" t="e">
        <f aca="false">AND(#REF!,"AAAAAF////w=")</f>
        <v>#VALUE!</v>
      </c>
      <c r="IT87" s="22" t="e">
        <f aca="false">AND(#REF!,"AAAAAF////0=")</f>
        <v>#VALUE!</v>
      </c>
      <c r="IU87" s="22" t="e">
        <f aca="false">AND(#REF!,"AAAAAF////4=")</f>
        <v>#VALUE!</v>
      </c>
      <c r="IV87" s="22" t="e">
        <f aca="false">AND(#REF!,"AAAAAF////8=")</f>
        <v>#VALUE!</v>
      </c>
    </row>
    <row r="88" customFormat="false" ht="12.75" hidden="false" customHeight="false" outlineLevel="0" collapsed="false">
      <c r="A88" s="22" t="e">
        <f aca="false">AND(#REF!,"AAAAAD+v/AA=")</f>
        <v>#VALUE!</v>
      </c>
      <c r="B88" s="22" t="e">
        <f aca="false">AND(#REF!,"AAAAAD+v/AE=")</f>
        <v>#VALUE!</v>
      </c>
      <c r="C88" s="22" t="e">
        <f aca="false">AND(#REF!,"AAAAAD+v/AI=")</f>
        <v>#VALUE!</v>
      </c>
      <c r="D88" s="22" t="e">
        <f aca="false">IF(#REF!,"AAAAAD+v/AM=",0)</f>
        <v>#REF!</v>
      </c>
      <c r="E88" s="22" t="e">
        <f aca="false">AND(#REF!,"AAAAAD+v/AQ=")</f>
        <v>#VALUE!</v>
      </c>
      <c r="F88" s="22" t="e">
        <f aca="false">AND(#REF!,"AAAAAD+v/AU=")</f>
        <v>#VALUE!</v>
      </c>
      <c r="G88" s="22" t="e">
        <f aca="false">AND(#REF!,"AAAAAD+v/AY=")</f>
        <v>#VALUE!</v>
      </c>
      <c r="H88" s="22" t="e">
        <f aca="false">AND(#REF!,"AAAAAD+v/Ac=")</f>
        <v>#VALUE!</v>
      </c>
      <c r="I88" s="22" t="e">
        <f aca="false">AND(#REF!,"AAAAAD+v/Ag=")</f>
        <v>#VALUE!</v>
      </c>
      <c r="J88" s="22" t="e">
        <f aca="false">AND(#REF!,"AAAAAD+v/Ak=")</f>
        <v>#VALUE!</v>
      </c>
      <c r="K88" s="22" t="e">
        <f aca="false">AND(#REF!,"AAAAAD+v/Ao=")</f>
        <v>#VALUE!</v>
      </c>
      <c r="L88" s="22" t="e">
        <f aca="false">AND(#REF!,"AAAAAD+v/As=")</f>
        <v>#VALUE!</v>
      </c>
      <c r="M88" s="22" t="e">
        <f aca="false">IF(#REF!,"AAAAAD+v/Aw=",0)</f>
        <v>#REF!</v>
      </c>
      <c r="N88" s="22" t="e">
        <f aca="false">AND(#REF!,"AAAAAD+v/A0=")</f>
        <v>#VALUE!</v>
      </c>
      <c r="O88" s="22" t="e">
        <f aca="false">AND(#REF!,"AAAAAD+v/A4=")</f>
        <v>#VALUE!</v>
      </c>
      <c r="P88" s="22" t="e">
        <f aca="false">AND(#REF!,"AAAAAD+v/A8=")</f>
        <v>#VALUE!</v>
      </c>
      <c r="Q88" s="22" t="e">
        <f aca="false">AND(#REF!,"AAAAAD+v/BA=")</f>
        <v>#VALUE!</v>
      </c>
      <c r="R88" s="22" t="e">
        <f aca="false">AND(#REF!,"AAAAAD+v/BE=")</f>
        <v>#VALUE!</v>
      </c>
      <c r="S88" s="22" t="e">
        <f aca="false">AND(#REF!,"AAAAAD+v/BI=")</f>
        <v>#VALUE!</v>
      </c>
      <c r="T88" s="22" t="e">
        <f aca="false">AND(#REF!,"AAAAAD+v/BM=")</f>
        <v>#VALUE!</v>
      </c>
      <c r="U88" s="22" t="e">
        <f aca="false">AND(#REF!,"AAAAAD+v/BQ=")</f>
        <v>#VALUE!</v>
      </c>
      <c r="V88" s="22" t="e">
        <f aca="false">IF(#REF!,"AAAAAD+v/BU=",0)</f>
        <v>#REF!</v>
      </c>
      <c r="W88" s="22" t="e">
        <f aca="false">AND(#REF!,"AAAAAD+v/BY=")</f>
        <v>#VALUE!</v>
      </c>
      <c r="X88" s="22" t="e">
        <f aca="false">AND(#REF!,"AAAAAD+v/Bc=")</f>
        <v>#VALUE!</v>
      </c>
      <c r="Y88" s="22" t="e">
        <f aca="false">AND(#REF!,"AAAAAD+v/Bg=")</f>
        <v>#VALUE!</v>
      </c>
      <c r="Z88" s="22" t="e">
        <f aca="false">AND(#REF!,"AAAAAD+v/Bk=")</f>
        <v>#VALUE!</v>
      </c>
      <c r="AA88" s="22" t="e">
        <f aca="false">AND(#REF!,"AAAAAD+v/Bo=")</f>
        <v>#VALUE!</v>
      </c>
      <c r="AB88" s="22" t="e">
        <f aca="false">AND(#REF!,"AAAAAD+v/Bs=")</f>
        <v>#VALUE!</v>
      </c>
      <c r="AC88" s="22" t="e">
        <f aca="false">AND(#REF!,"AAAAAD+v/Bw=")</f>
        <v>#VALUE!</v>
      </c>
      <c r="AD88" s="22" t="e">
        <f aca="false">AND(#REF!,"AAAAAD+v/B0=")</f>
        <v>#VALUE!</v>
      </c>
      <c r="AE88" s="22" t="e">
        <f aca="false">IF(#REF!,"AAAAAD+v/B4=",0)</f>
        <v>#REF!</v>
      </c>
      <c r="AF88" s="22" t="e">
        <f aca="false">AND(#REF!,"AAAAAD+v/B8=")</f>
        <v>#VALUE!</v>
      </c>
      <c r="AG88" s="22" t="e">
        <f aca="false">AND(#REF!,"AAAAAD+v/CA=")</f>
        <v>#VALUE!</v>
      </c>
      <c r="AH88" s="22" t="e">
        <f aca="false">AND(#REF!,"AAAAAD+v/CE=")</f>
        <v>#VALUE!</v>
      </c>
      <c r="AI88" s="22" t="e">
        <f aca="false">AND(#REF!,"AAAAAD+v/CI=")</f>
        <v>#VALUE!</v>
      </c>
      <c r="AJ88" s="22" t="e">
        <f aca="false">AND(#REF!,"AAAAAD+v/CM=")</f>
        <v>#VALUE!</v>
      </c>
      <c r="AK88" s="22" t="e">
        <f aca="false">AND(#REF!,"AAAAAD+v/CQ=")</f>
        <v>#VALUE!</v>
      </c>
      <c r="AL88" s="22" t="e">
        <f aca="false">AND(#REF!,"AAAAAD+v/CU=")</f>
        <v>#VALUE!</v>
      </c>
      <c r="AM88" s="22" t="e">
        <f aca="false">AND(#REF!,"AAAAAD+v/CY=")</f>
        <v>#VALUE!</v>
      </c>
      <c r="AN88" s="22" t="e">
        <f aca="false">IF(#REF!,"AAAAAD+v/Cc=",0)</f>
        <v>#REF!</v>
      </c>
      <c r="AO88" s="22" t="e">
        <f aca="false">AND(#REF!,"AAAAAD+v/Cg=")</f>
        <v>#VALUE!</v>
      </c>
      <c r="AP88" s="22" t="e">
        <f aca="false">AND(#REF!,"AAAAAD+v/Ck=")</f>
        <v>#VALUE!</v>
      </c>
      <c r="AQ88" s="22" t="e">
        <f aca="false">AND(#REF!,"AAAAAD+v/Co=")</f>
        <v>#VALUE!</v>
      </c>
      <c r="AR88" s="22" t="e">
        <f aca="false">AND(#REF!,"AAAAAD+v/Cs=")</f>
        <v>#VALUE!</v>
      </c>
      <c r="AS88" s="22" t="e">
        <f aca="false">AND(#REF!,"AAAAAD+v/Cw=")</f>
        <v>#VALUE!</v>
      </c>
      <c r="AT88" s="22" t="e">
        <f aca="false">AND(#REF!,"AAAAAD+v/C0=")</f>
        <v>#VALUE!</v>
      </c>
      <c r="AU88" s="22" t="e">
        <f aca="false">AND(#REF!,"AAAAAD+v/C4=")</f>
        <v>#VALUE!</v>
      </c>
      <c r="AV88" s="22" t="e">
        <f aca="false">AND(#REF!,"AAAAAD+v/C8=")</f>
        <v>#VALUE!</v>
      </c>
      <c r="AW88" s="22" t="e">
        <f aca="false">IF(#REF!,"AAAAAD+v/DA=",0)</f>
        <v>#REF!</v>
      </c>
      <c r="AX88" s="22" t="e">
        <f aca="false">AND(#REF!,"AAAAAD+v/DE=")</f>
        <v>#VALUE!</v>
      </c>
      <c r="AY88" s="22" t="e">
        <f aca="false">AND(#REF!,"AAAAAD+v/DI=")</f>
        <v>#VALUE!</v>
      </c>
      <c r="AZ88" s="22" t="e">
        <f aca="false">AND(#REF!,"AAAAAD+v/DM=")</f>
        <v>#VALUE!</v>
      </c>
      <c r="BA88" s="22" t="e">
        <f aca="false">AND(#REF!,"AAAAAD+v/DQ=")</f>
        <v>#VALUE!</v>
      </c>
      <c r="BB88" s="22" t="e">
        <f aca="false">AND(#REF!,"AAAAAD+v/DU=")</f>
        <v>#VALUE!</v>
      </c>
      <c r="BC88" s="22" t="e">
        <f aca="false">AND(#REF!,"AAAAAD+v/DY=")</f>
        <v>#VALUE!</v>
      </c>
      <c r="BD88" s="22" t="e">
        <f aca="false">AND(#REF!,"AAAAAD+v/Dc=")</f>
        <v>#VALUE!</v>
      </c>
      <c r="BE88" s="22" t="e">
        <f aca="false">AND(#REF!,"AAAAAD+v/Dg=")</f>
        <v>#VALUE!</v>
      </c>
      <c r="BF88" s="22" t="e">
        <f aca="false">IF(#REF!,"AAAAAD+v/Dk=",0)</f>
        <v>#REF!</v>
      </c>
      <c r="BG88" s="22" t="e">
        <f aca="false">AND(#REF!,"AAAAAD+v/Do=")</f>
        <v>#VALUE!</v>
      </c>
      <c r="BH88" s="22" t="e">
        <f aca="false">AND(#REF!,"AAAAAD+v/Ds=")</f>
        <v>#VALUE!</v>
      </c>
      <c r="BI88" s="22" t="e">
        <f aca="false">AND(#REF!,"AAAAAD+v/Dw=")</f>
        <v>#VALUE!</v>
      </c>
      <c r="BJ88" s="22" t="e">
        <f aca="false">AND(#REF!,"AAAAAD+v/D0=")</f>
        <v>#VALUE!</v>
      </c>
      <c r="BK88" s="22" t="e">
        <f aca="false">AND(#REF!,"AAAAAD+v/D4=")</f>
        <v>#VALUE!</v>
      </c>
      <c r="BL88" s="22" t="e">
        <f aca="false">AND(#REF!,"AAAAAD+v/D8=")</f>
        <v>#VALUE!</v>
      </c>
      <c r="BM88" s="22" t="e">
        <f aca="false">AND(#REF!,"AAAAAD+v/EA=")</f>
        <v>#VALUE!</v>
      </c>
      <c r="BN88" s="22" t="e">
        <f aca="false">AND(#REF!,"AAAAAD+v/EE=")</f>
        <v>#VALUE!</v>
      </c>
      <c r="BO88" s="22" t="e">
        <f aca="false">IF(#REF!,"AAAAAD+v/EI=",0)</f>
        <v>#REF!</v>
      </c>
      <c r="BP88" s="22" t="e">
        <f aca="false">AND(#REF!,"AAAAAD+v/EM=")</f>
        <v>#VALUE!</v>
      </c>
      <c r="BQ88" s="22" t="e">
        <f aca="false">AND(#REF!,"AAAAAD+v/EQ=")</f>
        <v>#VALUE!</v>
      </c>
      <c r="BR88" s="22" t="e">
        <f aca="false">AND(#REF!,"AAAAAD+v/EU=")</f>
        <v>#VALUE!</v>
      </c>
      <c r="BS88" s="22" t="e">
        <f aca="false">AND(#REF!,"AAAAAD+v/EY=")</f>
        <v>#VALUE!</v>
      </c>
      <c r="BT88" s="22" t="e">
        <f aca="false">AND(#REF!,"AAAAAD+v/Ec=")</f>
        <v>#VALUE!</v>
      </c>
      <c r="BU88" s="22" t="e">
        <f aca="false">AND(#REF!,"AAAAAD+v/Eg=")</f>
        <v>#VALUE!</v>
      </c>
      <c r="BV88" s="22" t="e">
        <f aca="false">AND(#REF!,"AAAAAD+v/Ek=")</f>
        <v>#VALUE!</v>
      </c>
      <c r="BW88" s="22" t="e">
        <f aca="false">AND(#REF!,"AAAAAD+v/Eo=")</f>
        <v>#VALUE!</v>
      </c>
      <c r="BX88" s="22" t="e">
        <f aca="false">IF(#REF!,"AAAAAD+v/Es=",0)</f>
        <v>#REF!</v>
      </c>
      <c r="BY88" s="22" t="e">
        <f aca="false">AND(#REF!,"AAAAAD+v/Ew=")</f>
        <v>#VALUE!</v>
      </c>
      <c r="BZ88" s="22" t="e">
        <f aca="false">AND(#REF!,"AAAAAD+v/E0=")</f>
        <v>#VALUE!</v>
      </c>
      <c r="CA88" s="22" t="e">
        <f aca="false">AND(#REF!,"AAAAAD+v/E4=")</f>
        <v>#VALUE!</v>
      </c>
      <c r="CB88" s="22" t="e">
        <f aca="false">AND(#REF!,"AAAAAD+v/E8=")</f>
        <v>#VALUE!</v>
      </c>
      <c r="CC88" s="22" t="e">
        <f aca="false">AND(#REF!,"AAAAAD+v/FA=")</f>
        <v>#VALUE!</v>
      </c>
      <c r="CD88" s="22" t="e">
        <f aca="false">AND(#REF!,"AAAAAD+v/FE=")</f>
        <v>#VALUE!</v>
      </c>
      <c r="CE88" s="22" t="e">
        <f aca="false">AND(#REF!,"AAAAAD+v/FI=")</f>
        <v>#VALUE!</v>
      </c>
      <c r="CF88" s="22" t="e">
        <f aca="false">AND(#REF!,"AAAAAD+v/FM=")</f>
        <v>#VALUE!</v>
      </c>
      <c r="CG88" s="22" t="e">
        <f aca="false">IF(#REF!,"AAAAAD+v/FQ=",0)</f>
        <v>#REF!</v>
      </c>
      <c r="CH88" s="22" t="e">
        <f aca="false">AND(#REF!,"AAAAAD+v/FU=")</f>
        <v>#VALUE!</v>
      </c>
      <c r="CI88" s="22" t="e">
        <f aca="false">AND(#REF!,"AAAAAD+v/FY=")</f>
        <v>#VALUE!</v>
      </c>
      <c r="CJ88" s="22" t="e">
        <f aca="false">AND(#REF!,"AAAAAD+v/Fc=")</f>
        <v>#VALUE!</v>
      </c>
      <c r="CK88" s="22" t="e">
        <f aca="false">AND(#REF!,"AAAAAD+v/Fg=")</f>
        <v>#VALUE!</v>
      </c>
      <c r="CL88" s="22" t="e">
        <f aca="false">AND(#REF!,"AAAAAD+v/Fk=")</f>
        <v>#VALUE!</v>
      </c>
      <c r="CM88" s="22" t="e">
        <f aca="false">AND(#REF!,"AAAAAD+v/Fo=")</f>
        <v>#VALUE!</v>
      </c>
      <c r="CN88" s="22" t="e">
        <f aca="false">AND(#REF!,"AAAAAD+v/Fs=")</f>
        <v>#VALUE!</v>
      </c>
      <c r="CO88" s="22" t="e">
        <f aca="false">AND(#REF!,"AAAAAD+v/Fw=")</f>
        <v>#VALUE!</v>
      </c>
      <c r="CP88" s="22" t="e">
        <f aca="false">IF(#REF!,"AAAAAD+v/F0=",0)</f>
        <v>#REF!</v>
      </c>
      <c r="CQ88" s="22" t="e">
        <f aca="false">AND(#REF!,"AAAAAD+v/F4=")</f>
        <v>#VALUE!</v>
      </c>
      <c r="CR88" s="22" t="e">
        <f aca="false">AND(#REF!,"AAAAAD+v/F8=")</f>
        <v>#VALUE!</v>
      </c>
      <c r="CS88" s="22" t="e">
        <f aca="false">AND(#REF!,"AAAAAD+v/GA=")</f>
        <v>#VALUE!</v>
      </c>
      <c r="CT88" s="22" t="e">
        <f aca="false">AND(#REF!,"AAAAAD+v/GE=")</f>
        <v>#VALUE!</v>
      </c>
      <c r="CU88" s="22" t="e">
        <f aca="false">AND(#REF!,"AAAAAD+v/GI=")</f>
        <v>#VALUE!</v>
      </c>
      <c r="CV88" s="22" t="e">
        <f aca="false">AND(#REF!,"AAAAAD+v/GM=")</f>
        <v>#VALUE!</v>
      </c>
      <c r="CW88" s="22" t="e">
        <f aca="false">AND(#REF!,"AAAAAD+v/GQ=")</f>
        <v>#VALUE!</v>
      </c>
      <c r="CX88" s="22" t="e">
        <f aca="false">AND(#REF!,"AAAAAD+v/GU=")</f>
        <v>#VALUE!</v>
      </c>
      <c r="CY88" s="22" t="e">
        <f aca="false">IF(#REF!,"AAAAAD+v/GY=",0)</f>
        <v>#REF!</v>
      </c>
      <c r="CZ88" s="22" t="e">
        <f aca="false">AND(#REF!,"AAAAAD+v/Gc=")</f>
        <v>#VALUE!</v>
      </c>
      <c r="DA88" s="22" t="e">
        <f aca="false">AND(#REF!,"AAAAAD+v/Gg=")</f>
        <v>#VALUE!</v>
      </c>
      <c r="DB88" s="22" t="e">
        <f aca="false">AND(#REF!,"AAAAAD+v/Gk=")</f>
        <v>#VALUE!</v>
      </c>
      <c r="DC88" s="22" t="e">
        <f aca="false">AND(#REF!,"AAAAAD+v/Go=")</f>
        <v>#VALUE!</v>
      </c>
      <c r="DD88" s="22" t="e">
        <f aca="false">AND(#REF!,"AAAAAD+v/Gs=")</f>
        <v>#VALUE!</v>
      </c>
      <c r="DE88" s="22" t="e">
        <f aca="false">AND(#REF!,"AAAAAD+v/Gw=")</f>
        <v>#VALUE!</v>
      </c>
      <c r="DF88" s="22" t="e">
        <f aca="false">AND(#REF!,"AAAAAD+v/G0=")</f>
        <v>#VALUE!</v>
      </c>
      <c r="DG88" s="22" t="e">
        <f aca="false">AND(#REF!,"AAAAAD+v/G4=")</f>
        <v>#VALUE!</v>
      </c>
      <c r="DH88" s="22" t="e">
        <f aca="false">IF(#REF!,"AAAAAD+v/G8=",0)</f>
        <v>#REF!</v>
      </c>
      <c r="DI88" s="22" t="e">
        <f aca="false">AND(#REF!,"AAAAAD+v/HA=")</f>
        <v>#VALUE!</v>
      </c>
      <c r="DJ88" s="22" t="e">
        <f aca="false">AND(#REF!,"AAAAAD+v/HE=")</f>
        <v>#VALUE!</v>
      </c>
      <c r="DK88" s="22" t="e">
        <f aca="false">AND(#REF!,"AAAAAD+v/HI=")</f>
        <v>#VALUE!</v>
      </c>
      <c r="DL88" s="22" t="e">
        <f aca="false">AND(#REF!,"AAAAAD+v/HM=")</f>
        <v>#VALUE!</v>
      </c>
      <c r="DM88" s="22" t="e">
        <f aca="false">AND(#REF!,"AAAAAD+v/HQ=")</f>
        <v>#VALUE!</v>
      </c>
      <c r="DN88" s="22" t="e">
        <f aca="false">AND(#REF!,"AAAAAD+v/HU=")</f>
        <v>#VALUE!</v>
      </c>
      <c r="DO88" s="22" t="e">
        <f aca="false">AND(#REF!,"AAAAAD+v/HY=")</f>
        <v>#VALUE!</v>
      </c>
      <c r="DP88" s="22" t="e">
        <f aca="false">AND(#REF!,"AAAAAD+v/Hc=")</f>
        <v>#VALUE!</v>
      </c>
      <c r="DQ88" s="22" t="e">
        <f aca="false">IF(#REF!,"AAAAAD+v/Hg=",0)</f>
        <v>#REF!</v>
      </c>
      <c r="DR88" s="22" t="e">
        <f aca="false">AND(#REF!,"AAAAAD+v/Hk=")</f>
        <v>#VALUE!</v>
      </c>
      <c r="DS88" s="22" t="e">
        <f aca="false">AND(#REF!,"AAAAAD+v/Ho=")</f>
        <v>#VALUE!</v>
      </c>
      <c r="DT88" s="22" t="e">
        <f aca="false">AND(#REF!,"AAAAAD+v/Hs=")</f>
        <v>#VALUE!</v>
      </c>
      <c r="DU88" s="22" t="e">
        <f aca="false">AND(#REF!,"AAAAAD+v/Hw=")</f>
        <v>#VALUE!</v>
      </c>
      <c r="DV88" s="22" t="e">
        <f aca="false">AND(#REF!,"AAAAAD+v/H0=")</f>
        <v>#VALUE!</v>
      </c>
      <c r="DW88" s="22" t="e">
        <f aca="false">AND(#REF!,"AAAAAD+v/H4=")</f>
        <v>#VALUE!</v>
      </c>
      <c r="DX88" s="22" t="e">
        <f aca="false">AND(#REF!,"AAAAAD+v/H8=")</f>
        <v>#VALUE!</v>
      </c>
      <c r="DY88" s="22" t="e">
        <f aca="false">AND(#REF!,"AAAAAD+v/IA=")</f>
        <v>#VALUE!</v>
      </c>
      <c r="DZ88" s="22" t="e">
        <f aca="false">IF(#REF!,"AAAAAD+v/IE=",0)</f>
        <v>#REF!</v>
      </c>
      <c r="EA88" s="22" t="e">
        <f aca="false">AND(#REF!,"AAAAAD+v/II=")</f>
        <v>#VALUE!</v>
      </c>
      <c r="EB88" s="22" t="e">
        <f aca="false">AND(#REF!,"AAAAAD+v/IM=")</f>
        <v>#VALUE!</v>
      </c>
      <c r="EC88" s="22" t="e">
        <f aca="false">AND(#REF!,"AAAAAD+v/IQ=")</f>
        <v>#VALUE!</v>
      </c>
      <c r="ED88" s="22" t="e">
        <f aca="false">AND(#REF!,"AAAAAD+v/IU=")</f>
        <v>#VALUE!</v>
      </c>
      <c r="EE88" s="22" t="e">
        <f aca="false">AND(#REF!,"AAAAAD+v/IY=")</f>
        <v>#VALUE!</v>
      </c>
      <c r="EF88" s="22" t="e">
        <f aca="false">AND(#REF!,"AAAAAD+v/Ic=")</f>
        <v>#VALUE!</v>
      </c>
      <c r="EG88" s="22" t="e">
        <f aca="false">AND(#REF!,"AAAAAD+v/Ig=")</f>
        <v>#VALUE!</v>
      </c>
      <c r="EH88" s="22" t="e">
        <f aca="false">AND(#REF!,"AAAAAD+v/Ik=")</f>
        <v>#VALUE!</v>
      </c>
      <c r="EI88" s="22" t="e">
        <f aca="false">IF(#REF!,"AAAAAD+v/Io=",0)</f>
        <v>#REF!</v>
      </c>
      <c r="EJ88" s="22" t="e">
        <f aca="false">AND(#REF!,"AAAAAD+v/Is=")</f>
        <v>#VALUE!</v>
      </c>
      <c r="EK88" s="22" t="e">
        <f aca="false">AND(#REF!,"AAAAAD+v/Iw=")</f>
        <v>#VALUE!</v>
      </c>
      <c r="EL88" s="22" t="e">
        <f aca="false">AND(#REF!,"AAAAAD+v/I0=")</f>
        <v>#VALUE!</v>
      </c>
      <c r="EM88" s="22" t="e">
        <f aca="false">AND(#REF!,"AAAAAD+v/I4=")</f>
        <v>#VALUE!</v>
      </c>
      <c r="EN88" s="22" t="e">
        <f aca="false">AND(#REF!,"AAAAAD+v/I8=")</f>
        <v>#VALUE!</v>
      </c>
      <c r="EO88" s="22" t="e">
        <f aca="false">AND(#REF!,"AAAAAD+v/JA=")</f>
        <v>#VALUE!</v>
      </c>
      <c r="EP88" s="22" t="e">
        <f aca="false">AND(#REF!,"AAAAAD+v/JE=")</f>
        <v>#VALUE!</v>
      </c>
      <c r="EQ88" s="22" t="e">
        <f aca="false">AND(#REF!,"AAAAAD+v/JI=")</f>
        <v>#VALUE!</v>
      </c>
      <c r="ER88" s="22" t="e">
        <f aca="false">IF(#REF!,"AAAAAD+v/JM=",0)</f>
        <v>#REF!</v>
      </c>
      <c r="ES88" s="22" t="e">
        <f aca="false">AND(#REF!,"AAAAAD+v/JQ=")</f>
        <v>#VALUE!</v>
      </c>
      <c r="ET88" s="22" t="e">
        <f aca="false">AND(#REF!,"AAAAAD+v/JU=")</f>
        <v>#VALUE!</v>
      </c>
      <c r="EU88" s="22" t="e">
        <f aca="false">AND(#REF!,"AAAAAD+v/JY=")</f>
        <v>#VALUE!</v>
      </c>
      <c r="EV88" s="22" t="e">
        <f aca="false">AND(#REF!,"AAAAAD+v/Jc=")</f>
        <v>#VALUE!</v>
      </c>
      <c r="EW88" s="22" t="e">
        <f aca="false">AND(#REF!,"AAAAAD+v/Jg=")</f>
        <v>#VALUE!</v>
      </c>
      <c r="EX88" s="22" t="e">
        <f aca="false">AND(#REF!,"AAAAAD+v/Jk=")</f>
        <v>#VALUE!</v>
      </c>
      <c r="EY88" s="22" t="e">
        <f aca="false">AND(#REF!,"AAAAAD+v/Jo=")</f>
        <v>#VALUE!</v>
      </c>
      <c r="EZ88" s="22" t="e">
        <f aca="false">AND(#REF!,"AAAAAD+v/Js=")</f>
        <v>#VALUE!</v>
      </c>
      <c r="FA88" s="22" t="e">
        <f aca="false">IF(#REF!,"AAAAAD+v/Jw=",0)</f>
        <v>#REF!</v>
      </c>
      <c r="FB88" s="22" t="e">
        <f aca="false">AND(#REF!,"AAAAAD+v/J0=")</f>
        <v>#VALUE!</v>
      </c>
      <c r="FC88" s="22" t="e">
        <f aca="false">AND(#REF!,"AAAAAD+v/J4=")</f>
        <v>#VALUE!</v>
      </c>
      <c r="FD88" s="22" t="e">
        <f aca="false">AND(#REF!,"AAAAAD+v/J8=")</f>
        <v>#VALUE!</v>
      </c>
      <c r="FE88" s="22" t="e">
        <f aca="false">AND(#REF!,"AAAAAD+v/KA=")</f>
        <v>#VALUE!</v>
      </c>
      <c r="FF88" s="22" t="e">
        <f aca="false">AND(#REF!,"AAAAAD+v/KE=")</f>
        <v>#VALUE!</v>
      </c>
      <c r="FG88" s="22" t="e">
        <f aca="false">AND(#REF!,"AAAAAD+v/KI=")</f>
        <v>#VALUE!</v>
      </c>
      <c r="FH88" s="22" t="e">
        <f aca="false">AND(#REF!,"AAAAAD+v/KM=")</f>
        <v>#VALUE!</v>
      </c>
      <c r="FI88" s="22" t="e">
        <f aca="false">AND(#REF!,"AAAAAD+v/KQ=")</f>
        <v>#VALUE!</v>
      </c>
      <c r="FJ88" s="22" t="e">
        <f aca="false">IF(#REF!,"AAAAAD+v/KU=",0)</f>
        <v>#REF!</v>
      </c>
      <c r="FK88" s="22" t="e">
        <f aca="false">AND(#REF!,"AAAAAD+v/KY=")</f>
        <v>#VALUE!</v>
      </c>
      <c r="FL88" s="22" t="e">
        <f aca="false">AND(#REF!,"AAAAAD+v/Kc=")</f>
        <v>#VALUE!</v>
      </c>
      <c r="FM88" s="22" t="e">
        <f aca="false">AND(#REF!,"AAAAAD+v/Kg=")</f>
        <v>#VALUE!</v>
      </c>
      <c r="FN88" s="22" t="e">
        <f aca="false">AND(#REF!,"AAAAAD+v/Kk=")</f>
        <v>#VALUE!</v>
      </c>
      <c r="FO88" s="22" t="e">
        <f aca="false">AND(#REF!,"AAAAAD+v/Ko=")</f>
        <v>#VALUE!</v>
      </c>
      <c r="FP88" s="22" t="e">
        <f aca="false">AND(#REF!,"AAAAAD+v/Ks=")</f>
        <v>#VALUE!</v>
      </c>
      <c r="FQ88" s="22" t="e">
        <f aca="false">AND(#REF!,"AAAAAD+v/Kw=")</f>
        <v>#VALUE!</v>
      </c>
      <c r="FR88" s="22" t="e">
        <f aca="false">AND(#REF!,"AAAAAD+v/K0=")</f>
        <v>#VALUE!</v>
      </c>
      <c r="FS88" s="22" t="e">
        <f aca="false">IF(#REF!,"AAAAAD+v/K4=",0)</f>
        <v>#REF!</v>
      </c>
      <c r="FT88" s="22" t="e">
        <f aca="false">AND(#REF!,"AAAAAD+v/K8=")</f>
        <v>#VALUE!</v>
      </c>
      <c r="FU88" s="22" t="e">
        <f aca="false">AND(#REF!,"AAAAAD+v/LA=")</f>
        <v>#VALUE!</v>
      </c>
      <c r="FV88" s="22" t="e">
        <f aca="false">AND(#REF!,"AAAAAD+v/LE=")</f>
        <v>#VALUE!</v>
      </c>
      <c r="FW88" s="22" t="e">
        <f aca="false">AND(#REF!,"AAAAAD+v/LI=")</f>
        <v>#VALUE!</v>
      </c>
      <c r="FX88" s="22" t="e">
        <f aca="false">AND(#REF!,"AAAAAD+v/LM=")</f>
        <v>#VALUE!</v>
      </c>
      <c r="FY88" s="22" t="e">
        <f aca="false">AND(#REF!,"AAAAAD+v/LQ=")</f>
        <v>#VALUE!</v>
      </c>
      <c r="FZ88" s="22" t="e">
        <f aca="false">AND(#REF!,"AAAAAD+v/LU=")</f>
        <v>#VALUE!</v>
      </c>
      <c r="GA88" s="22" t="e">
        <f aca="false">AND(#REF!,"AAAAAD+v/LY=")</f>
        <v>#VALUE!</v>
      </c>
      <c r="GB88" s="22" t="e">
        <f aca="false">IF(#REF!,"AAAAAD+v/Lc=",0)</f>
        <v>#REF!</v>
      </c>
      <c r="GC88" s="22" t="e">
        <f aca="false">AND(#REF!,"AAAAAD+v/Lg=")</f>
        <v>#VALUE!</v>
      </c>
      <c r="GD88" s="22" t="e">
        <f aca="false">AND(#REF!,"AAAAAD+v/Lk=")</f>
        <v>#VALUE!</v>
      </c>
      <c r="GE88" s="22" t="e">
        <f aca="false">AND(#REF!,"AAAAAD+v/Lo=")</f>
        <v>#VALUE!</v>
      </c>
      <c r="GF88" s="22" t="e">
        <f aca="false">AND(#REF!,"AAAAAD+v/Ls=")</f>
        <v>#VALUE!</v>
      </c>
      <c r="GG88" s="22" t="e">
        <f aca="false">AND(#REF!,"AAAAAD+v/Lw=")</f>
        <v>#VALUE!</v>
      </c>
      <c r="GH88" s="22" t="e">
        <f aca="false">AND(#REF!,"AAAAAD+v/L0=")</f>
        <v>#VALUE!</v>
      </c>
      <c r="GI88" s="22" t="e">
        <f aca="false">AND(#REF!,"AAAAAD+v/L4=")</f>
        <v>#VALUE!</v>
      </c>
      <c r="GJ88" s="22" t="e">
        <f aca="false">AND(#REF!,"AAAAAD+v/L8=")</f>
        <v>#VALUE!</v>
      </c>
      <c r="GK88" s="22" t="e">
        <f aca="false">IF(#REF!,"AAAAAD+v/MA=",0)</f>
        <v>#REF!</v>
      </c>
      <c r="GL88" s="22" t="e">
        <f aca="false">AND(#REF!,"AAAAAD+v/ME=")</f>
        <v>#VALUE!</v>
      </c>
      <c r="GM88" s="22" t="e">
        <f aca="false">AND(#REF!,"AAAAAD+v/MI=")</f>
        <v>#VALUE!</v>
      </c>
      <c r="GN88" s="22" t="e">
        <f aca="false">AND(#REF!,"AAAAAD+v/MM=")</f>
        <v>#VALUE!</v>
      </c>
      <c r="GO88" s="22" t="e">
        <f aca="false">AND(#REF!,"AAAAAD+v/MQ=")</f>
        <v>#VALUE!</v>
      </c>
      <c r="GP88" s="22" t="e">
        <f aca="false">AND(#REF!,"AAAAAD+v/MU=")</f>
        <v>#VALUE!</v>
      </c>
      <c r="GQ88" s="22" t="e">
        <f aca="false">AND(#REF!,"AAAAAD+v/MY=")</f>
        <v>#VALUE!</v>
      </c>
      <c r="GR88" s="22" t="e">
        <f aca="false">AND(#REF!,"AAAAAD+v/Mc=")</f>
        <v>#VALUE!</v>
      </c>
      <c r="GS88" s="22" t="e">
        <f aca="false">AND(#REF!,"AAAAAD+v/Mg=")</f>
        <v>#VALUE!</v>
      </c>
      <c r="GT88" s="22" t="e">
        <f aca="false">IF(#REF!,"AAAAAD+v/Mk=",0)</f>
        <v>#REF!</v>
      </c>
      <c r="GU88" s="22" t="e">
        <f aca="false">AND(#REF!,"AAAAAD+v/Mo=")</f>
        <v>#VALUE!</v>
      </c>
      <c r="GV88" s="22" t="e">
        <f aca="false">AND(#REF!,"AAAAAD+v/Ms=")</f>
        <v>#VALUE!</v>
      </c>
      <c r="GW88" s="22" t="e">
        <f aca="false">AND(#REF!,"AAAAAD+v/Mw=")</f>
        <v>#VALUE!</v>
      </c>
      <c r="GX88" s="22" t="e">
        <f aca="false">AND(#REF!,"AAAAAD+v/M0=")</f>
        <v>#VALUE!</v>
      </c>
      <c r="GY88" s="22" t="e">
        <f aca="false">AND(#REF!,"AAAAAD+v/M4=")</f>
        <v>#VALUE!</v>
      </c>
      <c r="GZ88" s="22" t="e">
        <f aca="false">AND(#REF!,"AAAAAD+v/M8=")</f>
        <v>#VALUE!</v>
      </c>
      <c r="HA88" s="22" t="e">
        <f aca="false">AND(#REF!,"AAAAAD+v/NA=")</f>
        <v>#VALUE!</v>
      </c>
      <c r="HB88" s="22" t="e">
        <f aca="false">AND(#REF!,"AAAAAD+v/NE=")</f>
        <v>#VALUE!</v>
      </c>
      <c r="HC88" s="22" t="e">
        <f aca="false">IF(#REF!,"AAAAAD+v/NI=",0)</f>
        <v>#REF!</v>
      </c>
      <c r="HD88" s="22" t="e">
        <f aca="false">AND(#REF!,"AAAAAD+v/NM=")</f>
        <v>#VALUE!</v>
      </c>
      <c r="HE88" s="22" t="e">
        <f aca="false">AND(#REF!,"AAAAAD+v/NQ=")</f>
        <v>#VALUE!</v>
      </c>
      <c r="HF88" s="22" t="e">
        <f aca="false">AND(#REF!,"AAAAAD+v/NU=")</f>
        <v>#VALUE!</v>
      </c>
      <c r="HG88" s="22" t="e">
        <f aca="false">AND(#REF!,"AAAAAD+v/NY=")</f>
        <v>#VALUE!</v>
      </c>
      <c r="HH88" s="22" t="e">
        <f aca="false">AND(#REF!,"AAAAAD+v/Nc=")</f>
        <v>#VALUE!</v>
      </c>
      <c r="HI88" s="22" t="e">
        <f aca="false">AND(#REF!,"AAAAAD+v/Ng=")</f>
        <v>#VALUE!</v>
      </c>
      <c r="HJ88" s="22" t="e">
        <f aca="false">AND(#REF!,"AAAAAD+v/Nk=")</f>
        <v>#VALUE!</v>
      </c>
      <c r="HK88" s="22" t="e">
        <f aca="false">AND(#REF!,"AAAAAD+v/No=")</f>
        <v>#VALUE!</v>
      </c>
      <c r="HL88" s="22" t="e">
        <f aca="false">IF(#REF!,"AAAAAD+v/Ns=",0)</f>
        <v>#REF!</v>
      </c>
      <c r="HM88" s="22" t="e">
        <f aca="false">AND(#REF!,"AAAAAD+v/Nw=")</f>
        <v>#VALUE!</v>
      </c>
      <c r="HN88" s="22" t="e">
        <f aca="false">AND(#REF!,"AAAAAD+v/N0=")</f>
        <v>#VALUE!</v>
      </c>
      <c r="HO88" s="22" t="e">
        <f aca="false">AND(#REF!,"AAAAAD+v/N4=")</f>
        <v>#VALUE!</v>
      </c>
      <c r="HP88" s="22" t="e">
        <f aca="false">AND(#REF!,"AAAAAD+v/N8=")</f>
        <v>#VALUE!</v>
      </c>
      <c r="HQ88" s="22" t="e">
        <f aca="false">AND(#REF!,"AAAAAD+v/OA=")</f>
        <v>#VALUE!</v>
      </c>
      <c r="HR88" s="22" t="e">
        <f aca="false">AND(#REF!,"AAAAAD+v/OE=")</f>
        <v>#VALUE!</v>
      </c>
      <c r="HS88" s="22" t="e">
        <f aca="false">AND(#REF!,"AAAAAD+v/OI=")</f>
        <v>#VALUE!</v>
      </c>
      <c r="HT88" s="22" t="e">
        <f aca="false">AND(#REF!,"AAAAAD+v/OM=")</f>
        <v>#VALUE!</v>
      </c>
      <c r="HU88" s="22" t="e">
        <f aca="false">IF(#REF!,"AAAAAD+v/OQ=",0)</f>
        <v>#REF!</v>
      </c>
      <c r="HV88" s="22" t="e">
        <f aca="false">AND(#REF!,"AAAAAD+v/OU=")</f>
        <v>#VALUE!</v>
      </c>
      <c r="HW88" s="22" t="e">
        <f aca="false">AND(#REF!,"AAAAAD+v/OY=")</f>
        <v>#VALUE!</v>
      </c>
      <c r="HX88" s="22" t="e">
        <f aca="false">AND(#REF!,"AAAAAD+v/Oc=")</f>
        <v>#VALUE!</v>
      </c>
      <c r="HY88" s="22" t="e">
        <f aca="false">AND(#REF!,"AAAAAD+v/Og=")</f>
        <v>#VALUE!</v>
      </c>
      <c r="HZ88" s="22" t="e">
        <f aca="false">AND(#REF!,"AAAAAD+v/Ok=")</f>
        <v>#VALUE!</v>
      </c>
      <c r="IA88" s="22" t="e">
        <f aca="false">AND(#REF!,"AAAAAD+v/Oo=")</f>
        <v>#VALUE!</v>
      </c>
      <c r="IB88" s="22" t="e">
        <f aca="false">AND(#REF!,"AAAAAD+v/Os=")</f>
        <v>#VALUE!</v>
      </c>
      <c r="IC88" s="22" t="e">
        <f aca="false">AND(#REF!,"AAAAAD+v/Ow=")</f>
        <v>#VALUE!</v>
      </c>
      <c r="ID88" s="22" t="e">
        <f aca="false">IF(#REF!,"AAAAAD+v/O0=",0)</f>
        <v>#REF!</v>
      </c>
      <c r="IE88" s="22" t="e">
        <f aca="false">AND(#REF!,"AAAAAD+v/O4=")</f>
        <v>#VALUE!</v>
      </c>
      <c r="IF88" s="22" t="e">
        <f aca="false">AND(#REF!,"AAAAAD+v/O8=")</f>
        <v>#VALUE!</v>
      </c>
      <c r="IG88" s="22" t="e">
        <f aca="false">AND(#REF!,"AAAAAD+v/PA=")</f>
        <v>#VALUE!</v>
      </c>
      <c r="IH88" s="22" t="e">
        <f aca="false">AND(#REF!,"AAAAAD+v/PE=")</f>
        <v>#VALUE!</v>
      </c>
      <c r="II88" s="22" t="e">
        <f aca="false">AND(#REF!,"AAAAAD+v/PI=")</f>
        <v>#VALUE!</v>
      </c>
      <c r="IJ88" s="22" t="e">
        <f aca="false">AND(#REF!,"AAAAAD+v/PM=")</f>
        <v>#VALUE!</v>
      </c>
      <c r="IK88" s="22" t="e">
        <f aca="false">AND(#REF!,"AAAAAD+v/PQ=")</f>
        <v>#VALUE!</v>
      </c>
      <c r="IL88" s="22" t="e">
        <f aca="false">AND(#REF!,"AAAAAD+v/PU=")</f>
        <v>#VALUE!</v>
      </c>
      <c r="IM88" s="22" t="e">
        <f aca="false">IF(#REF!,"AAAAAD+v/PY=",0)</f>
        <v>#REF!</v>
      </c>
      <c r="IN88" s="22" t="e">
        <f aca="false">AND(#REF!,"AAAAAD+v/Pc=")</f>
        <v>#VALUE!</v>
      </c>
      <c r="IO88" s="22" t="e">
        <f aca="false">AND(#REF!,"AAAAAD+v/Pg=")</f>
        <v>#VALUE!</v>
      </c>
      <c r="IP88" s="22" t="e">
        <f aca="false">AND(#REF!,"AAAAAD+v/Pk=")</f>
        <v>#VALUE!</v>
      </c>
      <c r="IQ88" s="22" t="e">
        <f aca="false">AND(#REF!,"AAAAAD+v/Po=")</f>
        <v>#VALUE!</v>
      </c>
      <c r="IR88" s="22" t="e">
        <f aca="false">AND(#REF!,"AAAAAD+v/Ps=")</f>
        <v>#VALUE!</v>
      </c>
      <c r="IS88" s="22" t="e">
        <f aca="false">AND(#REF!,"AAAAAD+v/Pw=")</f>
        <v>#VALUE!</v>
      </c>
      <c r="IT88" s="22" t="e">
        <f aca="false">AND(#REF!,"AAAAAD+v/P0=")</f>
        <v>#VALUE!</v>
      </c>
      <c r="IU88" s="22" t="e">
        <f aca="false">AND(#REF!,"AAAAAD+v/P4=")</f>
        <v>#VALUE!</v>
      </c>
      <c r="IV88" s="22" t="e">
        <f aca="false">IF(#REF!,"AAAAAD+v/P8=",0)</f>
        <v>#REF!</v>
      </c>
    </row>
    <row r="89" customFormat="false" ht="12.75" hidden="false" customHeight="false" outlineLevel="0" collapsed="false">
      <c r="A89" s="22" t="e">
        <f aca="false">AND(#REF!,"AAAAAG9v/wA=")</f>
        <v>#VALUE!</v>
      </c>
      <c r="B89" s="22" t="e">
        <f aca="false">AND(#REF!,"AAAAAG9v/wE=")</f>
        <v>#VALUE!</v>
      </c>
      <c r="C89" s="22" t="e">
        <f aca="false">AND(#REF!,"AAAAAG9v/wI=")</f>
        <v>#VALUE!</v>
      </c>
      <c r="D89" s="22" t="e">
        <f aca="false">AND(#REF!,"AAAAAG9v/wM=")</f>
        <v>#VALUE!</v>
      </c>
      <c r="E89" s="22" t="e">
        <f aca="false">AND(#REF!,"AAAAAG9v/wQ=")</f>
        <v>#VALUE!</v>
      </c>
      <c r="F89" s="22" t="e">
        <f aca="false">AND(#REF!,"AAAAAG9v/wU=")</f>
        <v>#VALUE!</v>
      </c>
      <c r="G89" s="22" t="e">
        <f aca="false">AND(#REF!,"AAAAAG9v/wY=")</f>
        <v>#VALUE!</v>
      </c>
      <c r="H89" s="22" t="e">
        <f aca="false">AND(#REF!,"AAAAAG9v/wc=")</f>
        <v>#VALUE!</v>
      </c>
      <c r="I89" s="22" t="e">
        <f aca="false">IF(#REF!,"AAAAAG9v/wg=",0)</f>
        <v>#REF!</v>
      </c>
      <c r="J89" s="22" t="e">
        <f aca="false">AND(#REF!,"AAAAAG9v/wk=")</f>
        <v>#VALUE!</v>
      </c>
      <c r="K89" s="22" t="e">
        <f aca="false">AND(#REF!,"AAAAAG9v/wo=")</f>
        <v>#VALUE!</v>
      </c>
      <c r="L89" s="22" t="e">
        <f aca="false">AND(#REF!,"AAAAAG9v/ws=")</f>
        <v>#VALUE!</v>
      </c>
      <c r="M89" s="22" t="e">
        <f aca="false">AND(#REF!,"AAAAAG9v/ww=")</f>
        <v>#VALUE!</v>
      </c>
      <c r="N89" s="22" t="e">
        <f aca="false">AND(#REF!,"AAAAAG9v/w0=")</f>
        <v>#VALUE!</v>
      </c>
      <c r="O89" s="22" t="e">
        <f aca="false">AND(#REF!,"AAAAAG9v/w4=")</f>
        <v>#VALUE!</v>
      </c>
      <c r="P89" s="22" t="e">
        <f aca="false">AND(#REF!,"AAAAAG9v/w8=")</f>
        <v>#VALUE!</v>
      </c>
      <c r="Q89" s="22" t="e">
        <f aca="false">AND(#REF!,"AAAAAG9v/xA=")</f>
        <v>#VALUE!</v>
      </c>
      <c r="R89" s="22" t="e">
        <f aca="false">IF(#REF!,"AAAAAG9v/xE=",0)</f>
        <v>#REF!</v>
      </c>
      <c r="S89" s="22" t="e">
        <f aca="false">AND(#REF!,"AAAAAG9v/xI=")</f>
        <v>#VALUE!</v>
      </c>
      <c r="T89" s="22" t="e">
        <f aca="false">AND(#REF!,"AAAAAG9v/xM=")</f>
        <v>#VALUE!</v>
      </c>
      <c r="U89" s="22" t="e">
        <f aca="false">AND(#REF!,"AAAAAG9v/xQ=")</f>
        <v>#VALUE!</v>
      </c>
      <c r="V89" s="22" t="e">
        <f aca="false">AND(#REF!,"AAAAAG9v/xU=")</f>
        <v>#VALUE!</v>
      </c>
      <c r="W89" s="22" t="e">
        <f aca="false">AND(#REF!,"AAAAAG9v/xY=")</f>
        <v>#VALUE!</v>
      </c>
      <c r="X89" s="22" t="e">
        <f aca="false">AND(#REF!,"AAAAAG9v/xc=")</f>
        <v>#VALUE!</v>
      </c>
      <c r="Y89" s="22" t="e">
        <f aca="false">AND(#REF!,"AAAAAG9v/xg=")</f>
        <v>#VALUE!</v>
      </c>
      <c r="Z89" s="22" t="e">
        <f aca="false">AND(#REF!,"AAAAAG9v/xk=")</f>
        <v>#VALUE!</v>
      </c>
      <c r="AA89" s="22" t="e">
        <f aca="false">IF(#REF!,"AAAAAG9v/xo=",0)</f>
        <v>#REF!</v>
      </c>
      <c r="AB89" s="22" t="e">
        <f aca="false">AND(#REF!,"AAAAAG9v/xs=")</f>
        <v>#VALUE!</v>
      </c>
      <c r="AC89" s="22" t="e">
        <f aca="false">AND(#REF!,"AAAAAG9v/xw=")</f>
        <v>#VALUE!</v>
      </c>
      <c r="AD89" s="22" t="e">
        <f aca="false">AND(#REF!,"AAAAAG9v/x0=")</f>
        <v>#VALUE!</v>
      </c>
      <c r="AE89" s="22" t="e">
        <f aca="false">AND(#REF!,"AAAAAG9v/x4=")</f>
        <v>#VALUE!</v>
      </c>
      <c r="AF89" s="22" t="e">
        <f aca="false">AND(#REF!,"AAAAAG9v/x8=")</f>
        <v>#VALUE!</v>
      </c>
      <c r="AG89" s="22" t="e">
        <f aca="false">AND(#REF!,"AAAAAG9v/yA=")</f>
        <v>#VALUE!</v>
      </c>
      <c r="AH89" s="22" t="e">
        <f aca="false">AND(#REF!,"AAAAAG9v/yE=")</f>
        <v>#VALUE!</v>
      </c>
      <c r="AI89" s="22" t="e">
        <f aca="false">AND(#REF!,"AAAAAG9v/yI=")</f>
        <v>#VALUE!</v>
      </c>
      <c r="AJ89" s="22" t="e">
        <f aca="false">IF(#REF!,"AAAAAG9v/yM=",0)</f>
        <v>#REF!</v>
      </c>
      <c r="AK89" s="22" t="e">
        <f aca="false">AND(#REF!,"AAAAAG9v/yQ=")</f>
        <v>#VALUE!</v>
      </c>
      <c r="AL89" s="22" t="e">
        <f aca="false">AND(#REF!,"AAAAAG9v/yU=")</f>
        <v>#VALUE!</v>
      </c>
      <c r="AM89" s="22" t="e">
        <f aca="false">AND(#REF!,"AAAAAG9v/yY=")</f>
        <v>#VALUE!</v>
      </c>
      <c r="AN89" s="22" t="e">
        <f aca="false">AND(#REF!,"AAAAAG9v/yc=")</f>
        <v>#VALUE!</v>
      </c>
      <c r="AO89" s="22" t="e">
        <f aca="false">AND(#REF!,"AAAAAG9v/yg=")</f>
        <v>#VALUE!</v>
      </c>
      <c r="AP89" s="22" t="e">
        <f aca="false">AND(#REF!,"AAAAAG9v/yk=")</f>
        <v>#VALUE!</v>
      </c>
      <c r="AQ89" s="22" t="e">
        <f aca="false">AND(#REF!,"AAAAAG9v/yo=")</f>
        <v>#VALUE!</v>
      </c>
      <c r="AR89" s="22" t="e">
        <f aca="false">AND(#REF!,"AAAAAG9v/ys=")</f>
        <v>#VALUE!</v>
      </c>
      <c r="AS89" s="22" t="e">
        <f aca="false">IF(#REF!,"AAAAAG9v/yw=",0)</f>
        <v>#REF!</v>
      </c>
      <c r="AT89" s="22" t="e">
        <f aca="false">AND(#REF!,"AAAAAG9v/y0=")</f>
        <v>#VALUE!</v>
      </c>
      <c r="AU89" s="22" t="e">
        <f aca="false">AND(#REF!,"AAAAAG9v/y4=")</f>
        <v>#VALUE!</v>
      </c>
      <c r="AV89" s="22" t="e">
        <f aca="false">AND(#REF!,"AAAAAG9v/y8=")</f>
        <v>#VALUE!</v>
      </c>
      <c r="AW89" s="22" t="e">
        <f aca="false">AND(#REF!,"AAAAAG9v/zA=")</f>
        <v>#VALUE!</v>
      </c>
      <c r="AX89" s="22" t="e">
        <f aca="false">AND(#REF!,"AAAAAG9v/zE=")</f>
        <v>#VALUE!</v>
      </c>
      <c r="AY89" s="22" t="e">
        <f aca="false">AND(#REF!,"AAAAAG9v/zI=")</f>
        <v>#VALUE!</v>
      </c>
      <c r="AZ89" s="22" t="e">
        <f aca="false">AND(#REF!,"AAAAAG9v/zM=")</f>
        <v>#VALUE!</v>
      </c>
      <c r="BA89" s="22" t="e">
        <f aca="false">AND(#REF!,"AAAAAG9v/zQ=")</f>
        <v>#VALUE!</v>
      </c>
      <c r="BB89" s="22" t="e">
        <f aca="false">IF(#REF!,"AAAAAG9v/zU=",0)</f>
        <v>#REF!</v>
      </c>
      <c r="BC89" s="22" t="e">
        <f aca="false">AND(#REF!,"AAAAAG9v/zY=")</f>
        <v>#VALUE!</v>
      </c>
      <c r="BD89" s="22" t="e">
        <f aca="false">AND(#REF!,"AAAAAG9v/zc=")</f>
        <v>#VALUE!</v>
      </c>
      <c r="BE89" s="22" t="e">
        <f aca="false">AND(#REF!,"AAAAAG9v/zg=")</f>
        <v>#VALUE!</v>
      </c>
      <c r="BF89" s="22" t="e">
        <f aca="false">AND(#REF!,"AAAAAG9v/zk=")</f>
        <v>#VALUE!</v>
      </c>
      <c r="BG89" s="22" t="e">
        <f aca="false">AND(#REF!,"AAAAAG9v/zo=")</f>
        <v>#VALUE!</v>
      </c>
      <c r="BH89" s="22" t="e">
        <f aca="false">AND(#REF!,"AAAAAG9v/zs=")</f>
        <v>#VALUE!</v>
      </c>
      <c r="BI89" s="22" t="e">
        <f aca="false">AND(#REF!,"AAAAAG9v/zw=")</f>
        <v>#VALUE!</v>
      </c>
      <c r="BJ89" s="22" t="e">
        <f aca="false">AND(#REF!,"AAAAAG9v/z0=")</f>
        <v>#VALUE!</v>
      </c>
      <c r="BK89" s="22" t="e">
        <f aca="false">IF(#REF!,"AAAAAG9v/z4=",0)</f>
        <v>#REF!</v>
      </c>
      <c r="BL89" s="22" t="e">
        <f aca="false">AND(#REF!,"AAAAAG9v/z8=")</f>
        <v>#VALUE!</v>
      </c>
      <c r="BM89" s="22" t="e">
        <f aca="false">AND(#REF!,"AAAAAG9v/0A=")</f>
        <v>#VALUE!</v>
      </c>
      <c r="BN89" s="22" t="e">
        <f aca="false">AND(#REF!,"AAAAAG9v/0E=")</f>
        <v>#VALUE!</v>
      </c>
      <c r="BO89" s="22" t="e">
        <f aca="false">AND(#REF!,"AAAAAG9v/0I=")</f>
        <v>#VALUE!</v>
      </c>
      <c r="BP89" s="22" t="e">
        <f aca="false">AND(#REF!,"AAAAAG9v/0M=")</f>
        <v>#VALUE!</v>
      </c>
      <c r="BQ89" s="22" t="e">
        <f aca="false">AND(#REF!,"AAAAAG9v/0Q=")</f>
        <v>#VALUE!</v>
      </c>
      <c r="BR89" s="22" t="e">
        <f aca="false">AND(#REF!,"AAAAAG9v/0U=")</f>
        <v>#VALUE!</v>
      </c>
      <c r="BS89" s="22" t="e">
        <f aca="false">AND(#REF!,"AAAAAG9v/0Y=")</f>
        <v>#VALUE!</v>
      </c>
      <c r="BT89" s="22" t="e">
        <f aca="false">IF(#REF!,"AAAAAG9v/0c=",0)</f>
        <v>#REF!</v>
      </c>
      <c r="BU89" s="22" t="e">
        <f aca="false">AND(#REF!,"AAAAAG9v/0g=")</f>
        <v>#VALUE!</v>
      </c>
      <c r="BV89" s="22" t="e">
        <f aca="false">AND(#REF!,"AAAAAG9v/0k=")</f>
        <v>#VALUE!</v>
      </c>
      <c r="BW89" s="22" t="e">
        <f aca="false">AND(#REF!,"AAAAAG9v/0o=")</f>
        <v>#VALUE!</v>
      </c>
      <c r="BX89" s="22" t="e">
        <f aca="false">AND(#REF!,"AAAAAG9v/0s=")</f>
        <v>#VALUE!</v>
      </c>
      <c r="BY89" s="22" t="e">
        <f aca="false">AND(#REF!,"AAAAAG9v/0w=")</f>
        <v>#VALUE!</v>
      </c>
      <c r="BZ89" s="22" t="e">
        <f aca="false">AND(#REF!,"AAAAAG9v/00=")</f>
        <v>#VALUE!</v>
      </c>
      <c r="CA89" s="22" t="e">
        <f aca="false">AND(#REF!,"AAAAAG9v/04=")</f>
        <v>#VALUE!</v>
      </c>
      <c r="CB89" s="22" t="e">
        <f aca="false">AND(#REF!,"AAAAAG9v/08=")</f>
        <v>#VALUE!</v>
      </c>
      <c r="CC89" s="22" t="e">
        <f aca="false">IF(#REF!,"AAAAAG9v/1A=",0)</f>
        <v>#REF!</v>
      </c>
      <c r="CD89" s="22" t="e">
        <f aca="false">AND(#REF!,"AAAAAG9v/1E=")</f>
        <v>#VALUE!</v>
      </c>
      <c r="CE89" s="22" t="e">
        <f aca="false">AND(#REF!,"AAAAAG9v/1I=")</f>
        <v>#VALUE!</v>
      </c>
      <c r="CF89" s="22" t="e">
        <f aca="false">AND(#REF!,"AAAAAG9v/1M=")</f>
        <v>#VALUE!</v>
      </c>
      <c r="CG89" s="22" t="e">
        <f aca="false">AND(#REF!,"AAAAAG9v/1Q=")</f>
        <v>#VALUE!</v>
      </c>
      <c r="CH89" s="22" t="e">
        <f aca="false">AND(#REF!,"AAAAAG9v/1U=")</f>
        <v>#VALUE!</v>
      </c>
      <c r="CI89" s="22" t="e">
        <f aca="false">AND(#REF!,"AAAAAG9v/1Y=")</f>
        <v>#VALUE!</v>
      </c>
      <c r="CJ89" s="22" t="e">
        <f aca="false">AND(#REF!,"AAAAAG9v/1c=")</f>
        <v>#VALUE!</v>
      </c>
      <c r="CK89" s="22" t="e">
        <f aca="false">AND(#REF!,"AAAAAG9v/1g=")</f>
        <v>#VALUE!</v>
      </c>
      <c r="CL89" s="22" t="e">
        <f aca="false">IF(#REF!,"AAAAAG9v/1k=",0)</f>
        <v>#REF!</v>
      </c>
      <c r="CM89" s="22" t="e">
        <f aca="false">AND(#REF!,"AAAAAG9v/1o=")</f>
        <v>#VALUE!</v>
      </c>
      <c r="CN89" s="22" t="e">
        <f aca="false">AND(#REF!,"AAAAAG9v/1s=")</f>
        <v>#VALUE!</v>
      </c>
      <c r="CO89" s="22" t="e">
        <f aca="false">AND(#REF!,"AAAAAG9v/1w=")</f>
        <v>#VALUE!</v>
      </c>
      <c r="CP89" s="22" t="e">
        <f aca="false">AND(#REF!,"AAAAAG9v/10=")</f>
        <v>#VALUE!</v>
      </c>
      <c r="CQ89" s="22" t="e">
        <f aca="false">AND(#REF!,"AAAAAG9v/14=")</f>
        <v>#VALUE!</v>
      </c>
      <c r="CR89" s="22" t="e">
        <f aca="false">AND(#REF!,"AAAAAG9v/18=")</f>
        <v>#VALUE!</v>
      </c>
      <c r="CS89" s="22" t="e">
        <f aca="false">AND(#REF!,"AAAAAG9v/2A=")</f>
        <v>#VALUE!</v>
      </c>
      <c r="CT89" s="22" t="e">
        <f aca="false">AND(#REF!,"AAAAAG9v/2E=")</f>
        <v>#VALUE!</v>
      </c>
      <c r="CU89" s="22" t="e">
        <f aca="false">IF(#REF!,"AAAAAG9v/2I=",0)</f>
        <v>#REF!</v>
      </c>
      <c r="CV89" s="22" t="e">
        <f aca="false">AND(#REF!,"AAAAAG9v/2M=")</f>
        <v>#VALUE!</v>
      </c>
      <c r="CW89" s="22" t="e">
        <f aca="false">AND(#REF!,"AAAAAG9v/2Q=")</f>
        <v>#VALUE!</v>
      </c>
      <c r="CX89" s="22" t="e">
        <f aca="false">AND(#REF!,"AAAAAG9v/2U=")</f>
        <v>#VALUE!</v>
      </c>
      <c r="CY89" s="22" t="e">
        <f aca="false">AND(#REF!,"AAAAAG9v/2Y=")</f>
        <v>#VALUE!</v>
      </c>
      <c r="CZ89" s="22" t="e">
        <f aca="false">AND(#REF!,"AAAAAG9v/2c=")</f>
        <v>#VALUE!</v>
      </c>
      <c r="DA89" s="22" t="e">
        <f aca="false">AND(#REF!,"AAAAAG9v/2g=")</f>
        <v>#VALUE!</v>
      </c>
      <c r="DB89" s="22" t="e">
        <f aca="false">AND(#REF!,"AAAAAG9v/2k=")</f>
        <v>#VALUE!</v>
      </c>
      <c r="DC89" s="22" t="e">
        <f aca="false">AND(#REF!,"AAAAAG9v/2o=")</f>
        <v>#VALUE!</v>
      </c>
      <c r="DD89" s="22" t="e">
        <f aca="false">IF(#REF!,"AAAAAG9v/2s=",0)</f>
        <v>#REF!</v>
      </c>
      <c r="DE89" s="22" t="e">
        <f aca="false">AND(#REF!,"AAAAAG9v/2w=")</f>
        <v>#VALUE!</v>
      </c>
      <c r="DF89" s="22" t="e">
        <f aca="false">AND(#REF!,"AAAAAG9v/20=")</f>
        <v>#VALUE!</v>
      </c>
      <c r="DG89" s="22" t="e">
        <f aca="false">AND(#REF!,"AAAAAG9v/24=")</f>
        <v>#VALUE!</v>
      </c>
      <c r="DH89" s="22" t="e">
        <f aca="false">AND(#REF!,"AAAAAG9v/28=")</f>
        <v>#VALUE!</v>
      </c>
      <c r="DI89" s="22" t="e">
        <f aca="false">AND(#REF!,"AAAAAG9v/3A=")</f>
        <v>#VALUE!</v>
      </c>
      <c r="DJ89" s="22" t="e">
        <f aca="false">AND(#REF!,"AAAAAG9v/3E=")</f>
        <v>#VALUE!</v>
      </c>
      <c r="DK89" s="22" t="e">
        <f aca="false">AND(#REF!,"AAAAAG9v/3I=")</f>
        <v>#VALUE!</v>
      </c>
      <c r="DL89" s="22" t="e">
        <f aca="false">AND(#REF!,"AAAAAG9v/3M=")</f>
        <v>#VALUE!</v>
      </c>
      <c r="DM89" s="22" t="e">
        <f aca="false">IF(#REF!,"AAAAAG9v/3Q=",0)</f>
        <v>#REF!</v>
      </c>
      <c r="DN89" s="22" t="e">
        <f aca="false">AND(#REF!,"AAAAAG9v/3U=")</f>
        <v>#VALUE!</v>
      </c>
      <c r="DO89" s="22" t="e">
        <f aca="false">AND(#REF!,"AAAAAG9v/3Y=")</f>
        <v>#VALUE!</v>
      </c>
      <c r="DP89" s="22" t="e">
        <f aca="false">AND(#REF!,"AAAAAG9v/3c=")</f>
        <v>#VALUE!</v>
      </c>
      <c r="DQ89" s="22" t="e">
        <f aca="false">AND(#REF!,"AAAAAG9v/3g=")</f>
        <v>#VALUE!</v>
      </c>
      <c r="DR89" s="22" t="e">
        <f aca="false">AND(#REF!,"AAAAAG9v/3k=")</f>
        <v>#VALUE!</v>
      </c>
      <c r="DS89" s="22" t="e">
        <f aca="false">AND(#REF!,"AAAAAG9v/3o=")</f>
        <v>#VALUE!</v>
      </c>
      <c r="DT89" s="22" t="e">
        <f aca="false">AND(#REF!,"AAAAAG9v/3s=")</f>
        <v>#VALUE!</v>
      </c>
      <c r="DU89" s="22" t="e">
        <f aca="false">AND(#REF!,"AAAAAG9v/3w=")</f>
        <v>#VALUE!</v>
      </c>
      <c r="DV89" s="22" t="e">
        <f aca="false">IF(#REF!,"AAAAAG9v/30=",0)</f>
        <v>#REF!</v>
      </c>
      <c r="DW89" s="22" t="e">
        <f aca="false">AND(#REF!,"AAAAAG9v/34=")</f>
        <v>#VALUE!</v>
      </c>
      <c r="DX89" s="22" t="e">
        <f aca="false">AND(#REF!,"AAAAAG9v/38=")</f>
        <v>#VALUE!</v>
      </c>
      <c r="DY89" s="22" t="e">
        <f aca="false">AND(#REF!,"AAAAAG9v/4A=")</f>
        <v>#VALUE!</v>
      </c>
      <c r="DZ89" s="22" t="e">
        <f aca="false">AND(#REF!,"AAAAAG9v/4E=")</f>
        <v>#VALUE!</v>
      </c>
      <c r="EA89" s="22" t="e">
        <f aca="false">AND(#REF!,"AAAAAG9v/4I=")</f>
        <v>#VALUE!</v>
      </c>
      <c r="EB89" s="22" t="e">
        <f aca="false">AND(#REF!,"AAAAAG9v/4M=")</f>
        <v>#VALUE!</v>
      </c>
      <c r="EC89" s="22" t="e">
        <f aca="false">AND(#REF!,"AAAAAG9v/4Q=")</f>
        <v>#VALUE!</v>
      </c>
      <c r="ED89" s="22" t="e">
        <f aca="false">AND(#REF!,"AAAAAG9v/4U=")</f>
        <v>#VALUE!</v>
      </c>
      <c r="EE89" s="22" t="e">
        <f aca="false">IF(#REF!,"AAAAAG9v/4Y=",0)</f>
        <v>#REF!</v>
      </c>
      <c r="EF89" s="22" t="e">
        <f aca="false">AND(#REF!,"AAAAAG9v/4c=")</f>
        <v>#VALUE!</v>
      </c>
      <c r="EG89" s="22" t="e">
        <f aca="false">AND(#REF!,"AAAAAG9v/4g=")</f>
        <v>#VALUE!</v>
      </c>
      <c r="EH89" s="22" t="e">
        <f aca="false">AND(#REF!,"AAAAAG9v/4k=")</f>
        <v>#VALUE!</v>
      </c>
      <c r="EI89" s="22" t="e">
        <f aca="false">AND(#REF!,"AAAAAG9v/4o=")</f>
        <v>#VALUE!</v>
      </c>
      <c r="EJ89" s="22" t="e">
        <f aca="false">AND(#REF!,"AAAAAG9v/4s=")</f>
        <v>#VALUE!</v>
      </c>
      <c r="EK89" s="22" t="e">
        <f aca="false">AND(#REF!,"AAAAAG9v/4w=")</f>
        <v>#VALUE!</v>
      </c>
      <c r="EL89" s="22" t="e">
        <f aca="false">AND(#REF!,"AAAAAG9v/40=")</f>
        <v>#VALUE!</v>
      </c>
      <c r="EM89" s="22" t="e">
        <f aca="false">AND(#REF!,"AAAAAG9v/44=")</f>
        <v>#VALUE!</v>
      </c>
      <c r="EN89" s="22" t="e">
        <f aca="false">IF(#REF!,"AAAAAG9v/48=",0)</f>
        <v>#REF!</v>
      </c>
      <c r="EO89" s="22" t="e">
        <f aca="false">AND(#REF!,"AAAAAG9v/5A=")</f>
        <v>#VALUE!</v>
      </c>
      <c r="EP89" s="22" t="e">
        <f aca="false">AND(#REF!,"AAAAAG9v/5E=")</f>
        <v>#VALUE!</v>
      </c>
      <c r="EQ89" s="22" t="e">
        <f aca="false">AND(#REF!,"AAAAAG9v/5I=")</f>
        <v>#VALUE!</v>
      </c>
      <c r="ER89" s="22" t="e">
        <f aca="false">AND(#REF!,"AAAAAG9v/5M=")</f>
        <v>#VALUE!</v>
      </c>
      <c r="ES89" s="22" t="e">
        <f aca="false">AND(#REF!,"AAAAAG9v/5Q=")</f>
        <v>#VALUE!</v>
      </c>
      <c r="ET89" s="22" t="e">
        <f aca="false">AND(#REF!,"AAAAAG9v/5U=")</f>
        <v>#VALUE!</v>
      </c>
      <c r="EU89" s="22" t="e">
        <f aca="false">AND(#REF!,"AAAAAG9v/5Y=")</f>
        <v>#VALUE!</v>
      </c>
      <c r="EV89" s="22" t="e">
        <f aca="false">AND(#REF!,"AAAAAG9v/5c=")</f>
        <v>#VALUE!</v>
      </c>
      <c r="EW89" s="22" t="e">
        <f aca="false">IF(#REF!,"AAAAAG9v/5g=",0)</f>
        <v>#REF!</v>
      </c>
      <c r="EX89" s="22" t="e">
        <f aca="false">AND(#REF!,"AAAAAG9v/5k=")</f>
        <v>#VALUE!</v>
      </c>
      <c r="EY89" s="22" t="e">
        <f aca="false">AND(#REF!,"AAAAAG9v/5o=")</f>
        <v>#VALUE!</v>
      </c>
      <c r="EZ89" s="22" t="e">
        <f aca="false">AND(#REF!,"AAAAAG9v/5s=")</f>
        <v>#VALUE!</v>
      </c>
      <c r="FA89" s="22" t="e">
        <f aca="false">AND(#REF!,"AAAAAG9v/5w=")</f>
        <v>#VALUE!</v>
      </c>
      <c r="FB89" s="22" t="e">
        <f aca="false">AND(#REF!,"AAAAAG9v/50=")</f>
        <v>#VALUE!</v>
      </c>
      <c r="FC89" s="22" t="e">
        <f aca="false">AND(#REF!,"AAAAAG9v/54=")</f>
        <v>#VALUE!</v>
      </c>
      <c r="FD89" s="22" t="e">
        <f aca="false">AND(#REF!,"AAAAAG9v/58=")</f>
        <v>#VALUE!</v>
      </c>
      <c r="FE89" s="22" t="e">
        <f aca="false">AND(#REF!,"AAAAAG9v/6A=")</f>
        <v>#VALUE!</v>
      </c>
      <c r="FF89" s="22" t="e">
        <f aca="false">IF(#REF!,"AAAAAG9v/6E=",0)</f>
        <v>#REF!</v>
      </c>
      <c r="FG89" s="22" t="e">
        <f aca="false">AND(#REF!,"AAAAAG9v/6I=")</f>
        <v>#VALUE!</v>
      </c>
      <c r="FH89" s="22" t="e">
        <f aca="false">AND(#REF!,"AAAAAG9v/6M=")</f>
        <v>#VALUE!</v>
      </c>
      <c r="FI89" s="22" t="e">
        <f aca="false">AND(#REF!,"AAAAAG9v/6Q=")</f>
        <v>#VALUE!</v>
      </c>
      <c r="FJ89" s="22" t="e">
        <f aca="false">AND(#REF!,"AAAAAG9v/6U=")</f>
        <v>#VALUE!</v>
      </c>
      <c r="FK89" s="22" t="e">
        <f aca="false">AND(#REF!,"AAAAAG9v/6Y=")</f>
        <v>#VALUE!</v>
      </c>
      <c r="FL89" s="22" t="e">
        <f aca="false">AND(#REF!,"AAAAAG9v/6c=")</f>
        <v>#VALUE!</v>
      </c>
      <c r="FM89" s="22" t="e">
        <f aca="false">AND(#REF!,"AAAAAG9v/6g=")</f>
        <v>#VALUE!</v>
      </c>
      <c r="FN89" s="22" t="e">
        <f aca="false">AND(#REF!,"AAAAAG9v/6k=")</f>
        <v>#VALUE!</v>
      </c>
      <c r="FO89" s="22" t="e">
        <f aca="false">IF(#REF!,"AAAAAG9v/6o=",0)</f>
        <v>#REF!</v>
      </c>
      <c r="FP89" s="22" t="e">
        <f aca="false">AND(#REF!,"AAAAAG9v/6s=")</f>
        <v>#VALUE!</v>
      </c>
      <c r="FQ89" s="22" t="e">
        <f aca="false">AND(#REF!,"AAAAAG9v/6w=")</f>
        <v>#VALUE!</v>
      </c>
      <c r="FR89" s="22" t="e">
        <f aca="false">AND(#REF!,"AAAAAG9v/60=")</f>
        <v>#VALUE!</v>
      </c>
      <c r="FS89" s="22" t="e">
        <f aca="false">AND(#REF!,"AAAAAG9v/64=")</f>
        <v>#VALUE!</v>
      </c>
      <c r="FT89" s="22" t="e">
        <f aca="false">AND(#REF!,"AAAAAG9v/68=")</f>
        <v>#VALUE!</v>
      </c>
      <c r="FU89" s="22" t="e">
        <f aca="false">AND(#REF!,"AAAAAG9v/7A=")</f>
        <v>#VALUE!</v>
      </c>
      <c r="FV89" s="22" t="e">
        <f aca="false">AND(#REF!,"AAAAAG9v/7E=")</f>
        <v>#VALUE!</v>
      </c>
      <c r="FW89" s="22" t="e">
        <f aca="false">AND(#REF!,"AAAAAG9v/7I=")</f>
        <v>#VALUE!</v>
      </c>
      <c r="FX89" s="22" t="e">
        <f aca="false">IF(#REF!,"AAAAAG9v/7M=",0)</f>
        <v>#REF!</v>
      </c>
      <c r="FY89" s="22" t="e">
        <f aca="false">AND(#REF!,"AAAAAG9v/7Q=")</f>
        <v>#VALUE!</v>
      </c>
      <c r="FZ89" s="22" t="e">
        <f aca="false">AND(#REF!,"AAAAAG9v/7U=")</f>
        <v>#VALUE!</v>
      </c>
      <c r="GA89" s="22" t="e">
        <f aca="false">AND(#REF!,"AAAAAG9v/7Y=")</f>
        <v>#VALUE!</v>
      </c>
      <c r="GB89" s="22" t="e">
        <f aca="false">AND(#REF!,"AAAAAG9v/7c=")</f>
        <v>#VALUE!</v>
      </c>
      <c r="GC89" s="22" t="e">
        <f aca="false">AND(#REF!,"AAAAAG9v/7g=")</f>
        <v>#VALUE!</v>
      </c>
      <c r="GD89" s="22" t="e">
        <f aca="false">AND(#REF!,"AAAAAG9v/7k=")</f>
        <v>#VALUE!</v>
      </c>
      <c r="GE89" s="22" t="e">
        <f aca="false">AND(#REF!,"AAAAAG9v/7o=")</f>
        <v>#VALUE!</v>
      </c>
      <c r="GF89" s="22" t="e">
        <f aca="false">AND(#REF!,"AAAAAG9v/7s=")</f>
        <v>#VALUE!</v>
      </c>
      <c r="GG89" s="22" t="e">
        <f aca="false">IF(#REF!,"AAAAAG9v/7w=",0)</f>
        <v>#REF!</v>
      </c>
      <c r="GH89" s="22" t="e">
        <f aca="false">AND(#REF!,"AAAAAG9v/70=")</f>
        <v>#VALUE!</v>
      </c>
      <c r="GI89" s="22" t="e">
        <f aca="false">AND(#REF!,"AAAAAG9v/74=")</f>
        <v>#VALUE!</v>
      </c>
      <c r="GJ89" s="22" t="e">
        <f aca="false">AND(#REF!,"AAAAAG9v/78=")</f>
        <v>#VALUE!</v>
      </c>
      <c r="GK89" s="22" t="e">
        <f aca="false">AND(#REF!,"AAAAAG9v/8A=")</f>
        <v>#VALUE!</v>
      </c>
      <c r="GL89" s="22" t="e">
        <f aca="false">AND(#REF!,"AAAAAG9v/8E=")</f>
        <v>#VALUE!</v>
      </c>
      <c r="GM89" s="22" t="e">
        <f aca="false">AND(#REF!,"AAAAAG9v/8I=")</f>
        <v>#VALUE!</v>
      </c>
      <c r="GN89" s="22" t="e">
        <f aca="false">AND(#REF!,"AAAAAG9v/8M=")</f>
        <v>#VALUE!</v>
      </c>
      <c r="GO89" s="22" t="e">
        <f aca="false">AND(#REF!,"AAAAAG9v/8Q=")</f>
        <v>#VALUE!</v>
      </c>
      <c r="GP89" s="22" t="e">
        <f aca="false">IF(#REF!,"AAAAAG9v/8U=",0)</f>
        <v>#REF!</v>
      </c>
      <c r="GQ89" s="22" t="e">
        <f aca="false">AND(#REF!,"AAAAAG9v/8Y=")</f>
        <v>#VALUE!</v>
      </c>
      <c r="GR89" s="22" t="e">
        <f aca="false">AND(#REF!,"AAAAAG9v/8c=")</f>
        <v>#VALUE!</v>
      </c>
      <c r="GS89" s="22" t="e">
        <f aca="false">AND(#REF!,"AAAAAG9v/8g=")</f>
        <v>#VALUE!</v>
      </c>
      <c r="GT89" s="22" t="e">
        <f aca="false">AND(#REF!,"AAAAAG9v/8k=")</f>
        <v>#VALUE!</v>
      </c>
      <c r="GU89" s="22" t="e">
        <f aca="false">AND(#REF!,"AAAAAG9v/8o=")</f>
        <v>#VALUE!</v>
      </c>
      <c r="GV89" s="22" t="e">
        <f aca="false">AND(#REF!,"AAAAAG9v/8s=")</f>
        <v>#VALUE!</v>
      </c>
      <c r="GW89" s="22" t="e">
        <f aca="false">AND(#REF!,"AAAAAG9v/8w=")</f>
        <v>#VALUE!</v>
      </c>
      <c r="GX89" s="22" t="e">
        <f aca="false">AND(#REF!,"AAAAAG9v/80=")</f>
        <v>#VALUE!</v>
      </c>
      <c r="GY89" s="22" t="e">
        <f aca="false">IF(#REF!,"AAAAAG9v/84=",0)</f>
        <v>#REF!</v>
      </c>
      <c r="GZ89" s="22" t="e">
        <f aca="false">AND(#REF!,"AAAAAG9v/88=")</f>
        <v>#VALUE!</v>
      </c>
      <c r="HA89" s="22" t="e">
        <f aca="false">AND(#REF!,"AAAAAG9v/9A=")</f>
        <v>#VALUE!</v>
      </c>
      <c r="HB89" s="22" t="e">
        <f aca="false">AND(#REF!,"AAAAAG9v/9E=")</f>
        <v>#VALUE!</v>
      </c>
      <c r="HC89" s="22" t="e">
        <f aca="false">AND(#REF!,"AAAAAG9v/9I=")</f>
        <v>#VALUE!</v>
      </c>
      <c r="HD89" s="22" t="e">
        <f aca="false">AND(#REF!,"AAAAAG9v/9M=")</f>
        <v>#VALUE!</v>
      </c>
      <c r="HE89" s="22" t="e">
        <f aca="false">AND(#REF!,"AAAAAG9v/9Q=")</f>
        <v>#VALUE!</v>
      </c>
      <c r="HF89" s="22" t="e">
        <f aca="false">AND(#REF!,"AAAAAG9v/9U=")</f>
        <v>#VALUE!</v>
      </c>
      <c r="HG89" s="22" t="e">
        <f aca="false">AND(#REF!,"AAAAAG9v/9Y=")</f>
        <v>#VALUE!</v>
      </c>
      <c r="HH89" s="22" t="e">
        <f aca="false">IF(#REF!,"AAAAAG9v/9c=",0)</f>
        <v>#REF!</v>
      </c>
      <c r="HI89" s="22" t="e">
        <f aca="false">AND(#REF!,"AAAAAG9v/9g=")</f>
        <v>#VALUE!</v>
      </c>
      <c r="HJ89" s="22" t="e">
        <f aca="false">AND(#REF!,"AAAAAG9v/9k=")</f>
        <v>#VALUE!</v>
      </c>
      <c r="HK89" s="22" t="e">
        <f aca="false">AND(#REF!,"AAAAAG9v/9o=")</f>
        <v>#VALUE!</v>
      </c>
      <c r="HL89" s="22" t="e">
        <f aca="false">AND(#REF!,"AAAAAG9v/9s=")</f>
        <v>#VALUE!</v>
      </c>
      <c r="HM89" s="22" t="e">
        <f aca="false">AND(#REF!,"AAAAAG9v/9w=")</f>
        <v>#VALUE!</v>
      </c>
      <c r="HN89" s="22" t="e">
        <f aca="false">AND(#REF!,"AAAAAG9v/90=")</f>
        <v>#VALUE!</v>
      </c>
      <c r="HO89" s="22" t="e">
        <f aca="false">AND(#REF!,"AAAAAG9v/94=")</f>
        <v>#VALUE!</v>
      </c>
      <c r="HP89" s="22" t="e">
        <f aca="false">AND(#REF!,"AAAAAG9v/98=")</f>
        <v>#VALUE!</v>
      </c>
      <c r="HQ89" s="22" t="e">
        <f aca="false">IF(#REF!,"AAAAAG9v/+A=",0)</f>
        <v>#REF!</v>
      </c>
      <c r="HR89" s="22" t="e">
        <f aca="false">AND(#REF!,"AAAAAG9v/+E=")</f>
        <v>#VALUE!</v>
      </c>
      <c r="HS89" s="22" t="e">
        <f aca="false">AND(#REF!,"AAAAAG9v/+I=")</f>
        <v>#VALUE!</v>
      </c>
      <c r="HT89" s="22" t="e">
        <f aca="false">AND(#REF!,"AAAAAG9v/+M=")</f>
        <v>#VALUE!</v>
      </c>
      <c r="HU89" s="22" t="e">
        <f aca="false">AND(#REF!,"AAAAAG9v/+Q=")</f>
        <v>#VALUE!</v>
      </c>
      <c r="HV89" s="22" t="e">
        <f aca="false">AND(#REF!,"AAAAAG9v/+U=")</f>
        <v>#VALUE!</v>
      </c>
      <c r="HW89" s="22" t="e">
        <f aca="false">AND(#REF!,"AAAAAG9v/+Y=")</f>
        <v>#VALUE!</v>
      </c>
      <c r="HX89" s="22" t="e">
        <f aca="false">AND(#REF!,"AAAAAG9v/+c=")</f>
        <v>#VALUE!</v>
      </c>
      <c r="HY89" s="22" t="e">
        <f aca="false">AND(#REF!,"AAAAAG9v/+g=")</f>
        <v>#VALUE!</v>
      </c>
      <c r="HZ89" s="22" t="e">
        <f aca="false">IF(#REF!,"AAAAAG9v/+k=",0)</f>
        <v>#REF!</v>
      </c>
      <c r="IA89" s="22" t="e">
        <f aca="false">AND(#REF!,"AAAAAG9v/+o=")</f>
        <v>#VALUE!</v>
      </c>
      <c r="IB89" s="22" t="e">
        <f aca="false">AND(#REF!,"AAAAAG9v/+s=")</f>
        <v>#VALUE!</v>
      </c>
      <c r="IC89" s="22" t="e">
        <f aca="false">AND(#REF!,"AAAAAG9v/+w=")</f>
        <v>#VALUE!</v>
      </c>
      <c r="ID89" s="22" t="e">
        <f aca="false">AND(#REF!,"AAAAAG9v/+0=")</f>
        <v>#VALUE!</v>
      </c>
      <c r="IE89" s="22" t="e">
        <f aca="false">AND(#REF!,"AAAAAG9v/+4=")</f>
        <v>#VALUE!</v>
      </c>
      <c r="IF89" s="22" t="e">
        <f aca="false">AND(#REF!,"AAAAAG9v/+8=")</f>
        <v>#VALUE!</v>
      </c>
      <c r="IG89" s="22" t="e">
        <f aca="false">AND(#REF!,"AAAAAG9v//A=")</f>
        <v>#VALUE!</v>
      </c>
      <c r="IH89" s="22" t="e">
        <f aca="false">AND(#REF!,"AAAAAG9v//E=")</f>
        <v>#VALUE!</v>
      </c>
      <c r="II89" s="22" t="e">
        <f aca="false">IF(#REF!,"AAAAAG9v//I=",0)</f>
        <v>#REF!</v>
      </c>
      <c r="IJ89" s="22" t="e">
        <f aca="false">AND(#REF!,"AAAAAG9v//M=")</f>
        <v>#VALUE!</v>
      </c>
      <c r="IK89" s="22" t="e">
        <f aca="false">AND(#REF!,"AAAAAG9v//Q=")</f>
        <v>#VALUE!</v>
      </c>
      <c r="IL89" s="22" t="e">
        <f aca="false">AND(#REF!,"AAAAAG9v//U=")</f>
        <v>#VALUE!</v>
      </c>
      <c r="IM89" s="22" t="e">
        <f aca="false">AND(#REF!,"AAAAAG9v//Y=")</f>
        <v>#VALUE!</v>
      </c>
      <c r="IN89" s="22" t="e">
        <f aca="false">AND(#REF!,"AAAAAG9v//c=")</f>
        <v>#VALUE!</v>
      </c>
      <c r="IO89" s="22" t="e">
        <f aca="false">AND(#REF!,"AAAAAG9v//g=")</f>
        <v>#VALUE!</v>
      </c>
      <c r="IP89" s="22" t="e">
        <f aca="false">AND(#REF!,"AAAAAG9v//k=")</f>
        <v>#VALUE!</v>
      </c>
      <c r="IQ89" s="22" t="e">
        <f aca="false">AND(#REF!,"AAAAAG9v//o=")</f>
        <v>#VALUE!</v>
      </c>
      <c r="IR89" s="22" t="e">
        <f aca="false">IF(#REF!,"AAAAAG9v//s=",0)</f>
        <v>#REF!</v>
      </c>
      <c r="IS89" s="22" t="e">
        <f aca="false">AND(#REF!,"AAAAAG9v//w=")</f>
        <v>#VALUE!</v>
      </c>
      <c r="IT89" s="22" t="e">
        <f aca="false">AND(#REF!,"AAAAAG9v//0=")</f>
        <v>#VALUE!</v>
      </c>
      <c r="IU89" s="22" t="e">
        <f aca="false">AND(#REF!,"AAAAAG9v//4=")</f>
        <v>#VALUE!</v>
      </c>
      <c r="IV89" s="22" t="e">
        <f aca="false">AND(#REF!,"AAAAAG9v//8=")</f>
        <v>#VALUE!</v>
      </c>
    </row>
    <row r="90" customFormat="false" ht="12.75" hidden="false" customHeight="false" outlineLevel="0" collapsed="false">
      <c r="A90" s="22" t="e">
        <f aca="false">AND(#REF!,"AAAAADnrqQA=")</f>
        <v>#VALUE!</v>
      </c>
      <c r="B90" s="22" t="e">
        <f aca="false">AND(#REF!,"AAAAADnrqQE=")</f>
        <v>#VALUE!</v>
      </c>
      <c r="C90" s="22" t="e">
        <f aca="false">AND(#REF!,"AAAAADnrqQI=")</f>
        <v>#VALUE!</v>
      </c>
      <c r="D90" s="22" t="e">
        <f aca="false">AND(#REF!,"AAAAADnrqQM=")</f>
        <v>#VALUE!</v>
      </c>
      <c r="E90" s="22" t="e">
        <f aca="false">IF(#REF!,"AAAAADnrqQQ=",0)</f>
        <v>#REF!</v>
      </c>
      <c r="F90" s="22" t="e">
        <f aca="false">AND(#REF!,"AAAAADnrqQU=")</f>
        <v>#VALUE!</v>
      </c>
      <c r="G90" s="22" t="e">
        <f aca="false">AND(#REF!,"AAAAADnrqQY=")</f>
        <v>#VALUE!</v>
      </c>
      <c r="H90" s="22" t="e">
        <f aca="false">AND(#REF!,"AAAAADnrqQc=")</f>
        <v>#VALUE!</v>
      </c>
      <c r="I90" s="22" t="e">
        <f aca="false">AND(#REF!,"AAAAADnrqQg=")</f>
        <v>#VALUE!</v>
      </c>
      <c r="J90" s="22" t="e">
        <f aca="false">AND(#REF!,"AAAAADnrqQk=")</f>
        <v>#VALUE!</v>
      </c>
      <c r="K90" s="22" t="e">
        <f aca="false">AND(#REF!,"AAAAADnrqQo=")</f>
        <v>#VALUE!</v>
      </c>
      <c r="L90" s="22" t="e">
        <f aca="false">AND(#REF!,"AAAAADnrqQs=")</f>
        <v>#VALUE!</v>
      </c>
      <c r="M90" s="22" t="e">
        <f aca="false">AND(#REF!,"AAAAADnrqQw=")</f>
        <v>#VALUE!</v>
      </c>
      <c r="N90" s="22" t="e">
        <f aca="false">IF(#REF!,"AAAAADnrqQ0=",0)</f>
        <v>#REF!</v>
      </c>
      <c r="O90" s="22" t="e">
        <f aca="false">AND(#REF!,"AAAAADnrqQ4=")</f>
        <v>#VALUE!</v>
      </c>
      <c r="P90" s="22" t="e">
        <f aca="false">AND(#REF!,"AAAAADnrqQ8=")</f>
        <v>#VALUE!</v>
      </c>
      <c r="Q90" s="22" t="e">
        <f aca="false">AND(#REF!,"AAAAADnrqRA=")</f>
        <v>#VALUE!</v>
      </c>
      <c r="R90" s="22" t="e">
        <f aca="false">AND(#REF!,"AAAAADnrqRE=")</f>
        <v>#VALUE!</v>
      </c>
      <c r="S90" s="22" t="e">
        <f aca="false">AND(#REF!,"AAAAADnrqRI=")</f>
        <v>#VALUE!</v>
      </c>
      <c r="T90" s="22" t="e">
        <f aca="false">AND(#REF!,"AAAAADnrqRM=")</f>
        <v>#VALUE!</v>
      </c>
      <c r="U90" s="22" t="e">
        <f aca="false">AND(#REF!,"AAAAADnrqRQ=")</f>
        <v>#VALUE!</v>
      </c>
      <c r="V90" s="22" t="e">
        <f aca="false">AND(#REF!,"AAAAADnrqRU=")</f>
        <v>#VALUE!</v>
      </c>
      <c r="W90" s="22" t="e">
        <f aca="false">IF(#REF!,"AAAAADnrqRY=",0)</f>
        <v>#REF!</v>
      </c>
      <c r="X90" s="22" t="e">
        <f aca="false">AND(#REF!,"AAAAADnrqRc=")</f>
        <v>#VALUE!</v>
      </c>
      <c r="Y90" s="22" t="e">
        <f aca="false">AND(#REF!,"AAAAADnrqRg=")</f>
        <v>#VALUE!</v>
      </c>
      <c r="Z90" s="22" t="e">
        <f aca="false">AND(#REF!,"AAAAADnrqRk=")</f>
        <v>#VALUE!</v>
      </c>
      <c r="AA90" s="22" t="e">
        <f aca="false">AND(#REF!,"AAAAADnrqRo=")</f>
        <v>#VALUE!</v>
      </c>
      <c r="AB90" s="22" t="e">
        <f aca="false">AND(#REF!,"AAAAADnrqRs=")</f>
        <v>#VALUE!</v>
      </c>
      <c r="AC90" s="22" t="e">
        <f aca="false">AND(#REF!,"AAAAADnrqRw=")</f>
        <v>#VALUE!</v>
      </c>
      <c r="AD90" s="22" t="e">
        <f aca="false">AND(#REF!,"AAAAADnrqR0=")</f>
        <v>#VALUE!</v>
      </c>
      <c r="AE90" s="22" t="e">
        <f aca="false">AND(#REF!,"AAAAADnrqR4=")</f>
        <v>#VALUE!</v>
      </c>
      <c r="AF90" s="22" t="e">
        <f aca="false">IF(#REF!,"AAAAADnrqR8=",0)</f>
        <v>#REF!</v>
      </c>
      <c r="AG90" s="22" t="e">
        <f aca="false">AND(#REF!,"AAAAADnrqSA=")</f>
        <v>#VALUE!</v>
      </c>
      <c r="AH90" s="22" t="e">
        <f aca="false">AND(#REF!,"AAAAADnrqSE=")</f>
        <v>#VALUE!</v>
      </c>
      <c r="AI90" s="22" t="e">
        <f aca="false">AND(#REF!,"AAAAADnrqSI=")</f>
        <v>#VALUE!</v>
      </c>
      <c r="AJ90" s="22" t="e">
        <f aca="false">AND(#REF!,"AAAAADnrqSM=")</f>
        <v>#VALUE!</v>
      </c>
      <c r="AK90" s="22" t="e">
        <f aca="false">AND(#REF!,"AAAAADnrqSQ=")</f>
        <v>#VALUE!</v>
      </c>
      <c r="AL90" s="22" t="e">
        <f aca="false">AND(#REF!,"AAAAADnrqSU=")</f>
        <v>#VALUE!</v>
      </c>
      <c r="AM90" s="22" t="e">
        <f aca="false">AND(#REF!,"AAAAADnrqSY=")</f>
        <v>#VALUE!</v>
      </c>
      <c r="AN90" s="22" t="e">
        <f aca="false">AND(#REF!,"AAAAADnrqSc=")</f>
        <v>#VALUE!</v>
      </c>
      <c r="AO90" s="22" t="e">
        <f aca="false">IF(#REF!,"AAAAADnrqSg=",0)</f>
        <v>#REF!</v>
      </c>
      <c r="AP90" s="22" t="e">
        <f aca="false">AND(#REF!,"AAAAADnrqSk=")</f>
        <v>#VALUE!</v>
      </c>
      <c r="AQ90" s="22" t="e">
        <f aca="false">AND(#REF!,"AAAAADnrqSo=")</f>
        <v>#VALUE!</v>
      </c>
      <c r="AR90" s="22" t="e">
        <f aca="false">AND(#REF!,"AAAAADnrqSs=")</f>
        <v>#VALUE!</v>
      </c>
      <c r="AS90" s="22" t="e">
        <f aca="false">AND(#REF!,"AAAAADnrqSw=")</f>
        <v>#VALUE!</v>
      </c>
      <c r="AT90" s="22" t="e">
        <f aca="false">AND(#REF!,"AAAAADnrqS0=")</f>
        <v>#VALUE!</v>
      </c>
      <c r="AU90" s="22" t="e">
        <f aca="false">AND(#REF!,"AAAAADnrqS4=")</f>
        <v>#VALUE!</v>
      </c>
      <c r="AV90" s="22" t="e">
        <f aca="false">AND(#REF!,"AAAAADnrqS8=")</f>
        <v>#VALUE!</v>
      </c>
      <c r="AW90" s="22" t="e">
        <f aca="false">AND(#REF!,"AAAAADnrqTA=")</f>
        <v>#VALUE!</v>
      </c>
      <c r="AX90" s="22" t="e">
        <f aca="false">IF(#REF!,"AAAAADnrqTE=",0)</f>
        <v>#REF!</v>
      </c>
      <c r="AY90" s="22" t="e">
        <f aca="false">AND(#REF!,"AAAAADnrqTI=")</f>
        <v>#VALUE!</v>
      </c>
      <c r="AZ90" s="22" t="e">
        <f aca="false">AND(#REF!,"AAAAADnrqTM=")</f>
        <v>#VALUE!</v>
      </c>
      <c r="BA90" s="22" t="e">
        <f aca="false">AND(#REF!,"AAAAADnrqTQ=")</f>
        <v>#VALUE!</v>
      </c>
      <c r="BB90" s="22" t="e">
        <f aca="false">AND(#REF!,"AAAAADnrqTU=")</f>
        <v>#VALUE!</v>
      </c>
      <c r="BC90" s="22" t="e">
        <f aca="false">AND(#REF!,"AAAAADnrqTY=")</f>
        <v>#VALUE!</v>
      </c>
      <c r="BD90" s="22" t="e">
        <f aca="false">AND(#REF!,"AAAAADnrqTc=")</f>
        <v>#VALUE!</v>
      </c>
      <c r="BE90" s="22" t="e">
        <f aca="false">AND(#REF!,"AAAAADnrqTg=")</f>
        <v>#VALUE!</v>
      </c>
      <c r="BF90" s="22" t="e">
        <f aca="false">AND(#REF!,"AAAAADnrqTk=")</f>
        <v>#VALUE!</v>
      </c>
      <c r="BG90" s="22" t="e">
        <f aca="false">IF(#REF!,"AAAAADnrqTo=",0)</f>
        <v>#REF!</v>
      </c>
      <c r="BH90" s="22" t="e">
        <f aca="false">AND(#REF!,"AAAAADnrqTs=")</f>
        <v>#VALUE!</v>
      </c>
      <c r="BI90" s="22" t="e">
        <f aca="false">AND(#REF!,"AAAAADnrqTw=")</f>
        <v>#VALUE!</v>
      </c>
      <c r="BJ90" s="22" t="e">
        <f aca="false">AND(#REF!,"AAAAADnrqT0=")</f>
        <v>#VALUE!</v>
      </c>
      <c r="BK90" s="22" t="e">
        <f aca="false">AND(#REF!,"AAAAADnrqT4=")</f>
        <v>#VALUE!</v>
      </c>
      <c r="BL90" s="22" t="e">
        <f aca="false">AND(#REF!,"AAAAADnrqT8=")</f>
        <v>#VALUE!</v>
      </c>
      <c r="BM90" s="22" t="e">
        <f aca="false">AND(#REF!,"AAAAADnrqUA=")</f>
        <v>#VALUE!</v>
      </c>
      <c r="BN90" s="22" t="e">
        <f aca="false">AND(#REF!,"AAAAADnrqUE=")</f>
        <v>#VALUE!</v>
      </c>
      <c r="BO90" s="22" t="e">
        <f aca="false">AND(#REF!,"AAAAADnrqUI=")</f>
        <v>#VALUE!</v>
      </c>
      <c r="BP90" s="22" t="e">
        <f aca="false">IF(#REF!,"AAAAADnrqUM=",0)</f>
        <v>#REF!</v>
      </c>
      <c r="BQ90" s="22" t="e">
        <f aca="false">AND(#REF!,"AAAAADnrqUQ=")</f>
        <v>#VALUE!</v>
      </c>
      <c r="BR90" s="22" t="e">
        <f aca="false">AND(#REF!,"AAAAADnrqUU=")</f>
        <v>#VALUE!</v>
      </c>
      <c r="BS90" s="22" t="e">
        <f aca="false">AND(#REF!,"AAAAADnrqUY=")</f>
        <v>#VALUE!</v>
      </c>
      <c r="BT90" s="22" t="e">
        <f aca="false">AND(#REF!,"AAAAADnrqUc=")</f>
        <v>#VALUE!</v>
      </c>
      <c r="BU90" s="22" t="e">
        <f aca="false">AND(#REF!,"AAAAADnrqUg=")</f>
        <v>#VALUE!</v>
      </c>
      <c r="BV90" s="22" t="e">
        <f aca="false">AND(#REF!,"AAAAADnrqUk=")</f>
        <v>#VALUE!</v>
      </c>
      <c r="BW90" s="22" t="e">
        <f aca="false">AND(#REF!,"AAAAADnrqUo=")</f>
        <v>#VALUE!</v>
      </c>
      <c r="BX90" s="22" t="e">
        <f aca="false">AND(#REF!,"AAAAADnrqUs=")</f>
        <v>#VALUE!</v>
      </c>
      <c r="BY90" s="22" t="e">
        <f aca="false">IF(#REF!,"AAAAADnrqUw=",0)</f>
        <v>#REF!</v>
      </c>
      <c r="BZ90" s="22" t="e">
        <f aca="false">AND(#REF!,"AAAAADnrqU0=")</f>
        <v>#VALUE!</v>
      </c>
      <c r="CA90" s="22" t="e">
        <f aca="false">AND(#REF!,"AAAAADnrqU4=")</f>
        <v>#VALUE!</v>
      </c>
      <c r="CB90" s="22" t="e">
        <f aca="false">AND(#REF!,"AAAAADnrqU8=")</f>
        <v>#VALUE!</v>
      </c>
      <c r="CC90" s="22" t="e">
        <f aca="false">AND(#REF!,"AAAAADnrqVA=")</f>
        <v>#VALUE!</v>
      </c>
      <c r="CD90" s="22" t="e">
        <f aca="false">AND(#REF!,"AAAAADnrqVE=")</f>
        <v>#VALUE!</v>
      </c>
      <c r="CE90" s="22" t="e">
        <f aca="false">AND(#REF!,"AAAAADnrqVI=")</f>
        <v>#VALUE!</v>
      </c>
      <c r="CF90" s="22" t="e">
        <f aca="false">AND(#REF!,"AAAAADnrqVM=")</f>
        <v>#VALUE!</v>
      </c>
      <c r="CG90" s="22" t="e">
        <f aca="false">AND(#REF!,"AAAAADnrqVQ=")</f>
        <v>#VALUE!</v>
      </c>
      <c r="CH90" s="22" t="e">
        <f aca="false">IF(#REF!,"AAAAADnrqVU=",0)</f>
        <v>#REF!</v>
      </c>
      <c r="CI90" s="22" t="e">
        <f aca="false">AND(#REF!,"AAAAADnrqVY=")</f>
        <v>#VALUE!</v>
      </c>
      <c r="CJ90" s="22" t="e">
        <f aca="false">AND(#REF!,"AAAAADnrqVc=")</f>
        <v>#VALUE!</v>
      </c>
      <c r="CK90" s="22" t="e">
        <f aca="false">AND(#REF!,"AAAAADnrqVg=")</f>
        <v>#VALUE!</v>
      </c>
      <c r="CL90" s="22" t="e">
        <f aca="false">AND(#REF!,"AAAAADnrqVk=")</f>
        <v>#VALUE!</v>
      </c>
      <c r="CM90" s="22" t="e">
        <f aca="false">AND(#REF!,"AAAAADnrqVo=")</f>
        <v>#VALUE!</v>
      </c>
      <c r="CN90" s="22" t="e">
        <f aca="false">AND(#REF!,"AAAAADnrqVs=")</f>
        <v>#VALUE!</v>
      </c>
      <c r="CO90" s="22" t="e">
        <f aca="false">AND(#REF!,"AAAAADnrqVw=")</f>
        <v>#VALUE!</v>
      </c>
      <c r="CP90" s="22" t="e">
        <f aca="false">AND(#REF!,"AAAAADnrqV0=")</f>
        <v>#VALUE!</v>
      </c>
      <c r="CQ90" s="22" t="e">
        <f aca="false">IF(#REF!,"AAAAADnrqV4=",0)</f>
        <v>#REF!</v>
      </c>
      <c r="CR90" s="22" t="e">
        <f aca="false">AND(#REF!,"AAAAADnrqV8=")</f>
        <v>#VALUE!</v>
      </c>
      <c r="CS90" s="22" t="e">
        <f aca="false">AND(#REF!,"AAAAADnrqWA=")</f>
        <v>#VALUE!</v>
      </c>
      <c r="CT90" s="22" t="e">
        <f aca="false">AND(#REF!,"AAAAADnrqWE=")</f>
        <v>#VALUE!</v>
      </c>
      <c r="CU90" s="22" t="e">
        <f aca="false">AND(#REF!,"AAAAADnrqWI=")</f>
        <v>#VALUE!</v>
      </c>
      <c r="CV90" s="22" t="e">
        <f aca="false">AND(#REF!,"AAAAADnrqWM=")</f>
        <v>#VALUE!</v>
      </c>
      <c r="CW90" s="22" t="e">
        <f aca="false">AND(#REF!,"AAAAADnrqWQ=")</f>
        <v>#VALUE!</v>
      </c>
      <c r="CX90" s="22" t="e">
        <f aca="false">AND(#REF!,"AAAAADnrqWU=")</f>
        <v>#VALUE!</v>
      </c>
      <c r="CY90" s="22" t="e">
        <f aca="false">AND(#REF!,"AAAAADnrqWY=")</f>
        <v>#VALUE!</v>
      </c>
      <c r="CZ90" s="22" t="e">
        <f aca="false">IF(#REF!,"AAAAADnrqWc=",0)</f>
        <v>#REF!</v>
      </c>
      <c r="DA90" s="22" t="e">
        <f aca="false">AND(#REF!,"AAAAADnrqWg=")</f>
        <v>#VALUE!</v>
      </c>
      <c r="DB90" s="22" t="e">
        <f aca="false">AND(#REF!,"AAAAADnrqWk=")</f>
        <v>#VALUE!</v>
      </c>
      <c r="DC90" s="22" t="e">
        <f aca="false">AND(#REF!,"AAAAADnrqWo=")</f>
        <v>#VALUE!</v>
      </c>
      <c r="DD90" s="22" t="e">
        <f aca="false">AND(#REF!,"AAAAADnrqWs=")</f>
        <v>#VALUE!</v>
      </c>
      <c r="DE90" s="22" t="e">
        <f aca="false">AND(#REF!,"AAAAADnrqWw=")</f>
        <v>#VALUE!</v>
      </c>
      <c r="DF90" s="22" t="e">
        <f aca="false">AND(#REF!,"AAAAADnrqW0=")</f>
        <v>#VALUE!</v>
      </c>
      <c r="DG90" s="22" t="e">
        <f aca="false">AND(#REF!,"AAAAADnrqW4=")</f>
        <v>#VALUE!</v>
      </c>
      <c r="DH90" s="22" t="e">
        <f aca="false">AND(#REF!,"AAAAADnrqW8=")</f>
        <v>#VALUE!</v>
      </c>
      <c r="DI90" s="22" t="e">
        <f aca="false">IF(#REF!,"AAAAADnrqXA=",0)</f>
        <v>#REF!</v>
      </c>
      <c r="DJ90" s="22" t="e">
        <f aca="false">AND(#REF!,"AAAAADnrqXE=")</f>
        <v>#VALUE!</v>
      </c>
      <c r="DK90" s="22" t="e">
        <f aca="false">AND(#REF!,"AAAAADnrqXI=")</f>
        <v>#VALUE!</v>
      </c>
      <c r="DL90" s="22" t="e">
        <f aca="false">AND(#REF!,"AAAAADnrqXM=")</f>
        <v>#VALUE!</v>
      </c>
      <c r="DM90" s="22" t="e">
        <f aca="false">AND(#REF!,"AAAAADnrqXQ=")</f>
        <v>#VALUE!</v>
      </c>
      <c r="DN90" s="22" t="e">
        <f aca="false">AND(#REF!,"AAAAADnrqXU=")</f>
        <v>#VALUE!</v>
      </c>
      <c r="DO90" s="22" t="e">
        <f aca="false">AND(#REF!,"AAAAADnrqXY=")</f>
        <v>#VALUE!</v>
      </c>
      <c r="DP90" s="22" t="e">
        <f aca="false">AND(#REF!,"AAAAADnrqXc=")</f>
        <v>#VALUE!</v>
      </c>
      <c r="DQ90" s="22" t="e">
        <f aca="false">AND(#REF!,"AAAAADnrqXg=")</f>
        <v>#VALUE!</v>
      </c>
      <c r="DR90" s="22" t="e">
        <f aca="false">IF(#REF!,"AAAAADnrqXk=",0)</f>
        <v>#REF!</v>
      </c>
      <c r="DS90" s="22" t="e">
        <f aca="false">AND(#REF!,"AAAAADnrqXo=")</f>
        <v>#VALUE!</v>
      </c>
      <c r="DT90" s="22" t="e">
        <f aca="false">AND(#REF!,"AAAAADnrqXs=")</f>
        <v>#VALUE!</v>
      </c>
      <c r="DU90" s="22" t="e">
        <f aca="false">AND(#REF!,"AAAAADnrqXw=")</f>
        <v>#VALUE!</v>
      </c>
      <c r="DV90" s="22" t="e">
        <f aca="false">AND(#REF!,"AAAAADnrqX0=")</f>
        <v>#VALUE!</v>
      </c>
      <c r="DW90" s="22" t="e">
        <f aca="false">AND(#REF!,"AAAAADnrqX4=")</f>
        <v>#VALUE!</v>
      </c>
      <c r="DX90" s="22" t="e">
        <f aca="false">AND(#REF!,"AAAAADnrqX8=")</f>
        <v>#VALUE!</v>
      </c>
      <c r="DY90" s="22" t="e">
        <f aca="false">AND(#REF!,"AAAAADnrqYA=")</f>
        <v>#VALUE!</v>
      </c>
      <c r="DZ90" s="22" t="e">
        <f aca="false">AND(#REF!,"AAAAADnrqYE=")</f>
        <v>#VALUE!</v>
      </c>
      <c r="EA90" s="22" t="e">
        <f aca="false">IF(#REF!,"AAAAADnrqYI=",0)</f>
        <v>#REF!</v>
      </c>
      <c r="EB90" s="22" t="e">
        <f aca="false">AND(#REF!,"AAAAADnrqYM=")</f>
        <v>#VALUE!</v>
      </c>
      <c r="EC90" s="22" t="e">
        <f aca="false">AND(#REF!,"AAAAADnrqYQ=")</f>
        <v>#VALUE!</v>
      </c>
      <c r="ED90" s="22" t="e">
        <f aca="false">AND(#REF!,"AAAAADnrqYU=")</f>
        <v>#VALUE!</v>
      </c>
      <c r="EE90" s="22" t="e">
        <f aca="false">AND(#REF!,"AAAAADnrqYY=")</f>
        <v>#VALUE!</v>
      </c>
      <c r="EF90" s="22" t="e">
        <f aca="false">AND(#REF!,"AAAAADnrqYc=")</f>
        <v>#VALUE!</v>
      </c>
      <c r="EG90" s="22" t="e">
        <f aca="false">AND(#REF!,"AAAAADnrqYg=")</f>
        <v>#VALUE!</v>
      </c>
      <c r="EH90" s="22" t="e">
        <f aca="false">AND(#REF!,"AAAAADnrqYk=")</f>
        <v>#VALUE!</v>
      </c>
      <c r="EI90" s="22" t="e">
        <f aca="false">AND(#REF!,"AAAAADnrqYo=")</f>
        <v>#VALUE!</v>
      </c>
      <c r="EJ90" s="22" t="e">
        <f aca="false">IF(#REF!,"AAAAADnrqYs=",0)</f>
        <v>#REF!</v>
      </c>
      <c r="EK90" s="22" t="e">
        <f aca="false">AND(#REF!,"AAAAADnrqYw=")</f>
        <v>#VALUE!</v>
      </c>
      <c r="EL90" s="22" t="e">
        <f aca="false">AND(#REF!,"AAAAADnrqY0=")</f>
        <v>#VALUE!</v>
      </c>
      <c r="EM90" s="22" t="e">
        <f aca="false">AND(#REF!,"AAAAADnrqY4=")</f>
        <v>#VALUE!</v>
      </c>
      <c r="EN90" s="22" t="e">
        <f aca="false">AND(#REF!,"AAAAADnrqY8=")</f>
        <v>#VALUE!</v>
      </c>
      <c r="EO90" s="22" t="e">
        <f aca="false">AND(#REF!,"AAAAADnrqZA=")</f>
        <v>#VALUE!</v>
      </c>
      <c r="EP90" s="22" t="e">
        <f aca="false">AND(#REF!,"AAAAADnrqZE=")</f>
        <v>#VALUE!</v>
      </c>
      <c r="EQ90" s="22" t="e">
        <f aca="false">AND(#REF!,"AAAAADnrqZI=")</f>
        <v>#VALUE!</v>
      </c>
      <c r="ER90" s="22" t="e">
        <f aca="false">AND(#REF!,"AAAAADnrqZM=")</f>
        <v>#VALUE!</v>
      </c>
      <c r="ES90" s="22" t="e">
        <f aca="false">IF(#REF!,"AAAAADnrqZQ=",0)</f>
        <v>#REF!</v>
      </c>
      <c r="ET90" s="22" t="e">
        <f aca="false">AND(#REF!,"AAAAADnrqZU=")</f>
        <v>#VALUE!</v>
      </c>
      <c r="EU90" s="22" t="e">
        <f aca="false">AND(#REF!,"AAAAADnrqZY=")</f>
        <v>#VALUE!</v>
      </c>
      <c r="EV90" s="22" t="e">
        <f aca="false">AND(#REF!,"AAAAADnrqZc=")</f>
        <v>#VALUE!</v>
      </c>
      <c r="EW90" s="22" t="e">
        <f aca="false">AND(#REF!,"AAAAADnrqZg=")</f>
        <v>#VALUE!</v>
      </c>
      <c r="EX90" s="22" t="e">
        <f aca="false">AND(#REF!,"AAAAADnrqZk=")</f>
        <v>#VALUE!</v>
      </c>
      <c r="EY90" s="22" t="e">
        <f aca="false">AND(#REF!,"AAAAADnrqZo=")</f>
        <v>#VALUE!</v>
      </c>
      <c r="EZ90" s="22" t="e">
        <f aca="false">AND(#REF!,"AAAAADnrqZs=")</f>
        <v>#VALUE!</v>
      </c>
      <c r="FA90" s="22" t="e">
        <f aca="false">AND(#REF!,"AAAAADnrqZw=")</f>
        <v>#VALUE!</v>
      </c>
      <c r="FB90" s="22" t="e">
        <f aca="false">IF(#REF!,"AAAAADnrqZ0=",0)</f>
        <v>#REF!</v>
      </c>
      <c r="FC90" s="22" t="e">
        <f aca="false">AND(#REF!,"AAAAADnrqZ4=")</f>
        <v>#VALUE!</v>
      </c>
      <c r="FD90" s="22" t="e">
        <f aca="false">AND(#REF!,"AAAAADnrqZ8=")</f>
        <v>#VALUE!</v>
      </c>
      <c r="FE90" s="22" t="e">
        <f aca="false">AND(#REF!,"AAAAADnrqaA=")</f>
        <v>#VALUE!</v>
      </c>
      <c r="FF90" s="22" t="e">
        <f aca="false">AND(#REF!,"AAAAADnrqaE=")</f>
        <v>#VALUE!</v>
      </c>
      <c r="FG90" s="22" t="e">
        <f aca="false">AND(#REF!,"AAAAADnrqaI=")</f>
        <v>#VALUE!</v>
      </c>
      <c r="FH90" s="22" t="e">
        <f aca="false">AND(#REF!,"AAAAADnrqaM=")</f>
        <v>#VALUE!</v>
      </c>
      <c r="FI90" s="22" t="e">
        <f aca="false">AND(#REF!,"AAAAADnrqaQ=")</f>
        <v>#VALUE!</v>
      </c>
      <c r="FJ90" s="22" t="e">
        <f aca="false">AND(#REF!,"AAAAADnrqaU=")</f>
        <v>#VALUE!</v>
      </c>
      <c r="FK90" s="22" t="e">
        <f aca="false">IF(#REF!,"AAAAADnrqaY=",0)</f>
        <v>#REF!</v>
      </c>
      <c r="FL90" s="22" t="e">
        <f aca="false">AND(#REF!,"AAAAADnrqac=")</f>
        <v>#VALUE!</v>
      </c>
      <c r="FM90" s="22" t="e">
        <f aca="false">AND(#REF!,"AAAAADnrqag=")</f>
        <v>#VALUE!</v>
      </c>
      <c r="FN90" s="22" t="e">
        <f aca="false">AND(#REF!,"AAAAADnrqak=")</f>
        <v>#VALUE!</v>
      </c>
      <c r="FO90" s="22" t="e">
        <f aca="false">AND(#REF!,"AAAAADnrqao=")</f>
        <v>#VALUE!</v>
      </c>
      <c r="FP90" s="22" t="e">
        <f aca="false">AND(#REF!,"AAAAADnrqas=")</f>
        <v>#VALUE!</v>
      </c>
      <c r="FQ90" s="22" t="e">
        <f aca="false">AND(#REF!,"AAAAADnrqaw=")</f>
        <v>#VALUE!</v>
      </c>
      <c r="FR90" s="22" t="e">
        <f aca="false">AND(#REF!,"AAAAADnrqa0=")</f>
        <v>#VALUE!</v>
      </c>
      <c r="FS90" s="22" t="e">
        <f aca="false">AND(#REF!,"AAAAADnrqa4=")</f>
        <v>#VALUE!</v>
      </c>
      <c r="FT90" s="22" t="e">
        <f aca="false">IF(#REF!,"AAAAADnrqa8=",0)</f>
        <v>#REF!</v>
      </c>
      <c r="FU90" s="22" t="e">
        <f aca="false">AND(#REF!,"AAAAADnrqbA=")</f>
        <v>#VALUE!</v>
      </c>
      <c r="FV90" s="22" t="e">
        <f aca="false">AND(#REF!,"AAAAADnrqbE=")</f>
        <v>#VALUE!</v>
      </c>
      <c r="FW90" s="22" t="e">
        <f aca="false">AND(#REF!,"AAAAADnrqbI=")</f>
        <v>#VALUE!</v>
      </c>
      <c r="FX90" s="22" t="e">
        <f aca="false">AND(#REF!,"AAAAADnrqbM=")</f>
        <v>#VALUE!</v>
      </c>
      <c r="FY90" s="22" t="e">
        <f aca="false">AND(#REF!,"AAAAADnrqbQ=")</f>
        <v>#VALUE!</v>
      </c>
      <c r="FZ90" s="22" t="e">
        <f aca="false">AND(#REF!,"AAAAADnrqbU=")</f>
        <v>#VALUE!</v>
      </c>
      <c r="GA90" s="22" t="e">
        <f aca="false">AND(#REF!,"AAAAADnrqbY=")</f>
        <v>#VALUE!</v>
      </c>
      <c r="GB90" s="22" t="e">
        <f aca="false">AND(#REF!,"AAAAADnrqbc=")</f>
        <v>#VALUE!</v>
      </c>
      <c r="GC90" s="22" t="e">
        <f aca="false">IF(#REF!,"AAAAADnrqbg=",0)</f>
        <v>#REF!</v>
      </c>
      <c r="GD90" s="22" t="e">
        <f aca="false">AND(#REF!,"AAAAADnrqbk=")</f>
        <v>#VALUE!</v>
      </c>
      <c r="GE90" s="22" t="e">
        <f aca="false">AND(#REF!,"AAAAADnrqbo=")</f>
        <v>#VALUE!</v>
      </c>
      <c r="GF90" s="22" t="e">
        <f aca="false">AND(#REF!,"AAAAADnrqbs=")</f>
        <v>#VALUE!</v>
      </c>
      <c r="GG90" s="22" t="e">
        <f aca="false">AND(#REF!,"AAAAADnrqbw=")</f>
        <v>#VALUE!</v>
      </c>
      <c r="GH90" s="22" t="e">
        <f aca="false">AND(#REF!,"AAAAADnrqb0=")</f>
        <v>#VALUE!</v>
      </c>
      <c r="GI90" s="22" t="e">
        <f aca="false">AND(#REF!,"AAAAADnrqb4=")</f>
        <v>#VALUE!</v>
      </c>
      <c r="GJ90" s="22" t="e">
        <f aca="false">AND(#REF!,"AAAAADnrqb8=")</f>
        <v>#VALUE!</v>
      </c>
      <c r="GK90" s="22" t="e">
        <f aca="false">AND(#REF!,"AAAAADnrqcA=")</f>
        <v>#VALUE!</v>
      </c>
      <c r="GL90" s="22" t="e">
        <f aca="false">IF(#REF!,"AAAAADnrqcE=",0)</f>
        <v>#REF!</v>
      </c>
      <c r="GM90" s="22" t="e">
        <f aca="false">AND(#REF!,"AAAAADnrqcI=")</f>
        <v>#VALUE!</v>
      </c>
      <c r="GN90" s="22" t="e">
        <f aca="false">AND(#REF!,"AAAAADnrqcM=")</f>
        <v>#VALUE!</v>
      </c>
      <c r="GO90" s="22" t="e">
        <f aca="false">AND(#REF!,"AAAAADnrqcQ=")</f>
        <v>#VALUE!</v>
      </c>
      <c r="GP90" s="22" t="e">
        <f aca="false">AND(#REF!,"AAAAADnrqcU=")</f>
        <v>#VALUE!</v>
      </c>
      <c r="GQ90" s="22" t="e">
        <f aca="false">AND(#REF!,"AAAAADnrqcY=")</f>
        <v>#VALUE!</v>
      </c>
      <c r="GR90" s="22" t="e">
        <f aca="false">AND(#REF!,"AAAAADnrqcc=")</f>
        <v>#VALUE!</v>
      </c>
      <c r="GS90" s="22" t="e">
        <f aca="false">AND(#REF!,"AAAAADnrqcg=")</f>
        <v>#VALUE!</v>
      </c>
      <c r="GT90" s="22" t="e">
        <f aca="false">AND(#REF!,"AAAAADnrqck=")</f>
        <v>#VALUE!</v>
      </c>
      <c r="GU90" s="22" t="e">
        <f aca="false">IF(#REF!,"AAAAADnrqco=",0)</f>
        <v>#REF!</v>
      </c>
      <c r="GV90" s="22" t="e">
        <f aca="false">AND(#REF!,"AAAAADnrqcs=")</f>
        <v>#VALUE!</v>
      </c>
      <c r="GW90" s="22" t="e">
        <f aca="false">AND(#REF!,"AAAAADnrqcw=")</f>
        <v>#VALUE!</v>
      </c>
      <c r="GX90" s="22" t="e">
        <f aca="false">AND(#REF!,"AAAAADnrqc0=")</f>
        <v>#VALUE!</v>
      </c>
      <c r="GY90" s="22" t="e">
        <f aca="false">AND(#REF!,"AAAAADnrqc4=")</f>
        <v>#VALUE!</v>
      </c>
      <c r="GZ90" s="22" t="e">
        <f aca="false">AND(#REF!,"AAAAADnrqc8=")</f>
        <v>#VALUE!</v>
      </c>
      <c r="HA90" s="22" t="e">
        <f aca="false">AND(#REF!,"AAAAADnrqdA=")</f>
        <v>#VALUE!</v>
      </c>
      <c r="HB90" s="22" t="e">
        <f aca="false">AND(#REF!,"AAAAADnrqdE=")</f>
        <v>#VALUE!</v>
      </c>
      <c r="HC90" s="22" t="e">
        <f aca="false">AND(#REF!,"AAAAADnrqdI=")</f>
        <v>#VALUE!</v>
      </c>
      <c r="HD90" s="22" t="e">
        <f aca="false">IF(#REF!,"AAAAADnrqdM=",0)</f>
        <v>#REF!</v>
      </c>
      <c r="HE90" s="22" t="e">
        <f aca="false">AND(#REF!,"AAAAADnrqdQ=")</f>
        <v>#VALUE!</v>
      </c>
      <c r="HF90" s="22" t="e">
        <f aca="false">AND(#REF!,"AAAAADnrqdU=")</f>
        <v>#VALUE!</v>
      </c>
      <c r="HG90" s="22" t="e">
        <f aca="false">AND(#REF!,"AAAAADnrqdY=")</f>
        <v>#VALUE!</v>
      </c>
      <c r="HH90" s="22" t="e">
        <f aca="false">AND(#REF!,"AAAAADnrqdc=")</f>
        <v>#VALUE!</v>
      </c>
      <c r="HI90" s="22" t="e">
        <f aca="false">AND(#REF!,"AAAAADnrqdg=")</f>
        <v>#VALUE!</v>
      </c>
      <c r="HJ90" s="22" t="e">
        <f aca="false">AND(#REF!,"AAAAADnrqdk=")</f>
        <v>#VALUE!</v>
      </c>
      <c r="HK90" s="22" t="e">
        <f aca="false">AND(#REF!,"AAAAADnrqdo=")</f>
        <v>#VALUE!</v>
      </c>
      <c r="HL90" s="22" t="e">
        <f aca="false">AND(#REF!,"AAAAADnrqds=")</f>
        <v>#VALUE!</v>
      </c>
      <c r="HM90" s="22" t="e">
        <f aca="false">IF(#REF!,"AAAAADnrqdw=",0)</f>
        <v>#REF!</v>
      </c>
      <c r="HN90" s="22" t="e">
        <f aca="false">AND(#REF!,"AAAAADnrqd0=")</f>
        <v>#VALUE!</v>
      </c>
      <c r="HO90" s="22" t="e">
        <f aca="false">AND(#REF!,"AAAAADnrqd4=")</f>
        <v>#VALUE!</v>
      </c>
      <c r="HP90" s="22" t="e">
        <f aca="false">AND(#REF!,"AAAAADnrqd8=")</f>
        <v>#VALUE!</v>
      </c>
      <c r="HQ90" s="22" t="e">
        <f aca="false">AND(#REF!,"AAAAADnrqeA=")</f>
        <v>#VALUE!</v>
      </c>
      <c r="HR90" s="22" t="e">
        <f aca="false">AND(#REF!,"AAAAADnrqeE=")</f>
        <v>#VALUE!</v>
      </c>
      <c r="HS90" s="22" t="e">
        <f aca="false">AND(#REF!,"AAAAADnrqeI=")</f>
        <v>#VALUE!</v>
      </c>
      <c r="HT90" s="22" t="e">
        <f aca="false">AND(#REF!,"AAAAADnrqeM=")</f>
        <v>#VALUE!</v>
      </c>
      <c r="HU90" s="22" t="e">
        <f aca="false">AND(#REF!,"AAAAADnrqeQ=")</f>
        <v>#VALUE!</v>
      </c>
      <c r="HV90" s="22" t="e">
        <f aca="false">IF(#REF!,"AAAAADnrqeU=",0)</f>
        <v>#REF!</v>
      </c>
      <c r="HW90" s="22" t="e">
        <f aca="false">AND(#REF!,"AAAAADnrqeY=")</f>
        <v>#VALUE!</v>
      </c>
      <c r="HX90" s="22" t="e">
        <f aca="false">AND(#REF!,"AAAAADnrqec=")</f>
        <v>#VALUE!</v>
      </c>
      <c r="HY90" s="22" t="e">
        <f aca="false">AND(#REF!,"AAAAADnrqeg=")</f>
        <v>#VALUE!</v>
      </c>
      <c r="HZ90" s="22" t="e">
        <f aca="false">AND(#REF!,"AAAAADnrqek=")</f>
        <v>#VALUE!</v>
      </c>
      <c r="IA90" s="22" t="e">
        <f aca="false">AND(#REF!,"AAAAADnrqeo=")</f>
        <v>#VALUE!</v>
      </c>
      <c r="IB90" s="22" t="e">
        <f aca="false">AND(#REF!,"AAAAADnrqes=")</f>
        <v>#VALUE!</v>
      </c>
      <c r="IC90" s="22" t="e">
        <f aca="false">AND(#REF!,"AAAAADnrqew=")</f>
        <v>#VALUE!</v>
      </c>
      <c r="ID90" s="22" t="e">
        <f aca="false">AND(#REF!,"AAAAADnrqe0=")</f>
        <v>#VALUE!</v>
      </c>
      <c r="IE90" s="22" t="e">
        <f aca="false">IF(#REF!,"AAAAADnrqe4=",0)</f>
        <v>#REF!</v>
      </c>
      <c r="IF90" s="22" t="e">
        <f aca="false">AND(#REF!,"AAAAADnrqe8=")</f>
        <v>#VALUE!</v>
      </c>
      <c r="IG90" s="22" t="e">
        <f aca="false">AND(#REF!,"AAAAADnrqfA=")</f>
        <v>#VALUE!</v>
      </c>
      <c r="IH90" s="22" t="e">
        <f aca="false">AND(#REF!,"AAAAADnrqfE=")</f>
        <v>#VALUE!</v>
      </c>
      <c r="II90" s="22" t="e">
        <f aca="false">AND(#REF!,"AAAAADnrqfI=")</f>
        <v>#VALUE!</v>
      </c>
      <c r="IJ90" s="22" t="e">
        <f aca="false">AND(#REF!,"AAAAADnrqfM=")</f>
        <v>#VALUE!</v>
      </c>
      <c r="IK90" s="22" t="e">
        <f aca="false">AND(#REF!,"AAAAADnrqfQ=")</f>
        <v>#VALUE!</v>
      </c>
      <c r="IL90" s="22" t="e">
        <f aca="false">AND(#REF!,"AAAAADnrqfU=")</f>
        <v>#VALUE!</v>
      </c>
      <c r="IM90" s="22" t="e">
        <f aca="false">AND(#REF!,"AAAAADnrqfY=")</f>
        <v>#VALUE!</v>
      </c>
      <c r="IN90" s="22" t="e">
        <f aca="false">IF(#REF!,"AAAAADnrqfc=",0)</f>
        <v>#REF!</v>
      </c>
      <c r="IO90" s="22" t="e">
        <f aca="false">AND(#REF!,"AAAAADnrqfg=")</f>
        <v>#VALUE!</v>
      </c>
      <c r="IP90" s="22" t="e">
        <f aca="false">AND(#REF!,"AAAAADnrqfk=")</f>
        <v>#VALUE!</v>
      </c>
      <c r="IQ90" s="22" t="e">
        <f aca="false">AND(#REF!,"AAAAADnrqfo=")</f>
        <v>#VALUE!</v>
      </c>
      <c r="IR90" s="22" t="e">
        <f aca="false">AND(#REF!,"AAAAADnrqfs=")</f>
        <v>#VALUE!</v>
      </c>
      <c r="IS90" s="22" t="e">
        <f aca="false">AND(#REF!,"AAAAADnrqfw=")</f>
        <v>#VALUE!</v>
      </c>
      <c r="IT90" s="22" t="e">
        <f aca="false">AND(#REF!,"AAAAADnrqf0=")</f>
        <v>#VALUE!</v>
      </c>
      <c r="IU90" s="22" t="e">
        <f aca="false">AND(#REF!,"AAAAADnrqf4=")</f>
        <v>#VALUE!</v>
      </c>
      <c r="IV90" s="22" t="e">
        <f aca="false">AND(#REF!,"AAAAADnrqf8=")</f>
        <v>#VALUE!</v>
      </c>
    </row>
    <row r="91" customFormat="false" ht="12.75" hidden="false" customHeight="false" outlineLevel="0" collapsed="false">
      <c r="A91" s="22" t="e">
        <f aca="false">IF(#REF!,"AAAAAH97awA=",0)</f>
        <v>#REF!</v>
      </c>
      <c r="B91" s="22" t="e">
        <f aca="false">AND(#REF!,"AAAAAH97awE=")</f>
        <v>#VALUE!</v>
      </c>
      <c r="C91" s="22" t="e">
        <f aca="false">AND(#REF!,"AAAAAH97awI=")</f>
        <v>#VALUE!</v>
      </c>
      <c r="D91" s="22" t="e">
        <f aca="false">AND(#REF!,"AAAAAH97awM=")</f>
        <v>#VALUE!</v>
      </c>
      <c r="E91" s="22" t="e">
        <f aca="false">AND(#REF!,"AAAAAH97awQ=")</f>
        <v>#VALUE!</v>
      </c>
      <c r="F91" s="22" t="e">
        <f aca="false">AND(#REF!,"AAAAAH97awU=")</f>
        <v>#VALUE!</v>
      </c>
      <c r="G91" s="22" t="e">
        <f aca="false">AND(#REF!,"AAAAAH97awY=")</f>
        <v>#VALUE!</v>
      </c>
      <c r="H91" s="22" t="e">
        <f aca="false">AND(#REF!,"AAAAAH97awc=")</f>
        <v>#VALUE!</v>
      </c>
      <c r="I91" s="22" t="e">
        <f aca="false">AND(#REF!,"AAAAAH97awg=")</f>
        <v>#VALUE!</v>
      </c>
      <c r="J91" s="22" t="e">
        <f aca="false">IF(#REF!,"AAAAAH97awk=",0)</f>
        <v>#REF!</v>
      </c>
      <c r="K91" s="22" t="e">
        <f aca="false">AND(#REF!,"AAAAAH97awo=")</f>
        <v>#VALUE!</v>
      </c>
      <c r="L91" s="22" t="e">
        <f aca="false">AND(#REF!,"AAAAAH97aws=")</f>
        <v>#VALUE!</v>
      </c>
      <c r="M91" s="22" t="e">
        <f aca="false">AND(#REF!,"AAAAAH97aww=")</f>
        <v>#VALUE!</v>
      </c>
      <c r="N91" s="22" t="e">
        <f aca="false">AND(#REF!,"AAAAAH97aw0=")</f>
        <v>#VALUE!</v>
      </c>
      <c r="O91" s="22" t="e">
        <f aca="false">AND(#REF!,"AAAAAH97aw4=")</f>
        <v>#VALUE!</v>
      </c>
      <c r="P91" s="22" t="e">
        <f aca="false">AND(#REF!,"AAAAAH97aw8=")</f>
        <v>#VALUE!</v>
      </c>
      <c r="Q91" s="22" t="e">
        <f aca="false">AND(#REF!,"AAAAAH97axA=")</f>
        <v>#VALUE!</v>
      </c>
      <c r="R91" s="22" t="e">
        <f aca="false">AND(#REF!,"AAAAAH97axE=")</f>
        <v>#VALUE!</v>
      </c>
      <c r="S91" s="22" t="e">
        <f aca="false">IF(#REF!,"AAAAAH97axI=",0)</f>
        <v>#REF!</v>
      </c>
      <c r="T91" s="22" t="e">
        <f aca="false">AND(#REF!,"AAAAAH97axM=")</f>
        <v>#VALUE!</v>
      </c>
      <c r="U91" s="22" t="e">
        <f aca="false">AND(#REF!,"AAAAAH97axQ=")</f>
        <v>#VALUE!</v>
      </c>
      <c r="V91" s="22" t="e">
        <f aca="false">AND(#REF!,"AAAAAH97axU=")</f>
        <v>#VALUE!</v>
      </c>
      <c r="W91" s="22" t="e">
        <f aca="false">AND(#REF!,"AAAAAH97axY=")</f>
        <v>#VALUE!</v>
      </c>
      <c r="X91" s="22" t="e">
        <f aca="false">AND(#REF!,"AAAAAH97axc=")</f>
        <v>#VALUE!</v>
      </c>
      <c r="Y91" s="22" t="e">
        <f aca="false">AND(#REF!,"AAAAAH97axg=")</f>
        <v>#VALUE!</v>
      </c>
      <c r="Z91" s="22" t="e">
        <f aca="false">AND(#REF!,"AAAAAH97axk=")</f>
        <v>#VALUE!</v>
      </c>
      <c r="AA91" s="22" t="e">
        <f aca="false">AND(#REF!,"AAAAAH97axo=")</f>
        <v>#VALUE!</v>
      </c>
      <c r="AB91" s="22" t="e">
        <f aca="false">IF(#REF!,"AAAAAH97axs=",0)</f>
        <v>#REF!</v>
      </c>
      <c r="AC91" s="22" t="e">
        <f aca="false">AND(#REF!,"AAAAAH97axw=")</f>
        <v>#VALUE!</v>
      </c>
      <c r="AD91" s="22" t="e">
        <f aca="false">AND(#REF!,"AAAAAH97ax0=")</f>
        <v>#VALUE!</v>
      </c>
      <c r="AE91" s="22" t="e">
        <f aca="false">AND(#REF!,"AAAAAH97ax4=")</f>
        <v>#VALUE!</v>
      </c>
      <c r="AF91" s="22" t="e">
        <f aca="false">AND(#REF!,"AAAAAH97ax8=")</f>
        <v>#VALUE!</v>
      </c>
      <c r="AG91" s="22" t="e">
        <f aca="false">AND(#REF!,"AAAAAH97ayA=")</f>
        <v>#VALUE!</v>
      </c>
      <c r="AH91" s="22" t="e">
        <f aca="false">AND(#REF!,"AAAAAH97ayE=")</f>
        <v>#VALUE!</v>
      </c>
      <c r="AI91" s="22" t="e">
        <f aca="false">AND(#REF!,"AAAAAH97ayI=")</f>
        <v>#VALUE!</v>
      </c>
      <c r="AJ91" s="22" t="e">
        <f aca="false">AND(#REF!,"AAAAAH97ayM=")</f>
        <v>#VALUE!</v>
      </c>
      <c r="AK91" s="22" t="e">
        <f aca="false">IF(#REF!,"AAAAAH97ayQ=",0)</f>
        <v>#REF!</v>
      </c>
      <c r="AL91" s="22" t="e">
        <f aca="false">AND(#REF!,"AAAAAH97ayU=")</f>
        <v>#VALUE!</v>
      </c>
      <c r="AM91" s="22" t="e">
        <f aca="false">AND(#REF!,"AAAAAH97ayY=")</f>
        <v>#VALUE!</v>
      </c>
      <c r="AN91" s="22" t="e">
        <f aca="false">AND(#REF!,"AAAAAH97ayc=")</f>
        <v>#VALUE!</v>
      </c>
      <c r="AO91" s="22" t="e">
        <f aca="false">AND(#REF!,"AAAAAH97ayg=")</f>
        <v>#VALUE!</v>
      </c>
      <c r="AP91" s="22" t="e">
        <f aca="false">AND(#REF!,"AAAAAH97ayk=")</f>
        <v>#VALUE!</v>
      </c>
      <c r="AQ91" s="22" t="e">
        <f aca="false">AND(#REF!,"AAAAAH97ayo=")</f>
        <v>#VALUE!</v>
      </c>
      <c r="AR91" s="22" t="e">
        <f aca="false">AND(#REF!,"AAAAAH97ays=")</f>
        <v>#VALUE!</v>
      </c>
      <c r="AS91" s="22" t="e">
        <f aca="false">AND(#REF!,"AAAAAH97ayw=")</f>
        <v>#VALUE!</v>
      </c>
      <c r="AT91" s="22" t="e">
        <f aca="false">IF(#REF!,"AAAAAH97ay0=",0)</f>
        <v>#REF!</v>
      </c>
      <c r="AU91" s="22" t="e">
        <f aca="false">AND(#REF!,"AAAAAH97ay4=")</f>
        <v>#VALUE!</v>
      </c>
      <c r="AV91" s="22" t="e">
        <f aca="false">AND(#REF!,"AAAAAH97ay8=")</f>
        <v>#VALUE!</v>
      </c>
      <c r="AW91" s="22" t="e">
        <f aca="false">AND(#REF!,"AAAAAH97azA=")</f>
        <v>#VALUE!</v>
      </c>
      <c r="AX91" s="22" t="e">
        <f aca="false">AND(#REF!,"AAAAAH97azE=")</f>
        <v>#VALUE!</v>
      </c>
      <c r="AY91" s="22" t="e">
        <f aca="false">AND(#REF!,"AAAAAH97azI=")</f>
        <v>#VALUE!</v>
      </c>
      <c r="AZ91" s="22" t="e">
        <f aca="false">AND(#REF!,"AAAAAH97azM=")</f>
        <v>#VALUE!</v>
      </c>
      <c r="BA91" s="22" t="e">
        <f aca="false">AND(#REF!,"AAAAAH97azQ=")</f>
        <v>#VALUE!</v>
      </c>
      <c r="BB91" s="22" t="e">
        <f aca="false">AND(#REF!,"AAAAAH97azU=")</f>
        <v>#VALUE!</v>
      </c>
      <c r="BC91" s="22" t="e">
        <f aca="false">IF(#REF!,"AAAAAH97azY=",0)</f>
        <v>#REF!</v>
      </c>
      <c r="BD91" s="22" t="e">
        <f aca="false">AND(#REF!,"AAAAAH97azc=")</f>
        <v>#VALUE!</v>
      </c>
      <c r="BE91" s="22" t="e">
        <f aca="false">AND(#REF!,"AAAAAH97azg=")</f>
        <v>#VALUE!</v>
      </c>
      <c r="BF91" s="22" t="e">
        <f aca="false">AND(#REF!,"AAAAAH97azk=")</f>
        <v>#VALUE!</v>
      </c>
      <c r="BG91" s="22" t="e">
        <f aca="false">AND(#REF!,"AAAAAH97azo=")</f>
        <v>#VALUE!</v>
      </c>
      <c r="BH91" s="22" t="e">
        <f aca="false">AND(#REF!,"AAAAAH97azs=")</f>
        <v>#VALUE!</v>
      </c>
      <c r="BI91" s="22" t="e">
        <f aca="false">AND(#REF!,"AAAAAH97azw=")</f>
        <v>#VALUE!</v>
      </c>
      <c r="BJ91" s="22" t="e">
        <f aca="false">AND(#REF!,"AAAAAH97az0=")</f>
        <v>#VALUE!</v>
      </c>
      <c r="BK91" s="22" t="e">
        <f aca="false">AND(#REF!,"AAAAAH97az4=")</f>
        <v>#VALUE!</v>
      </c>
      <c r="BL91" s="22" t="e">
        <f aca="false">IF(#REF!,"AAAAAH97az8=",0)</f>
        <v>#REF!</v>
      </c>
      <c r="BM91" s="22" t="e">
        <f aca="false">AND(#REF!,"AAAAAH97a0A=")</f>
        <v>#VALUE!</v>
      </c>
      <c r="BN91" s="22" t="e">
        <f aca="false">AND(#REF!,"AAAAAH97a0E=")</f>
        <v>#VALUE!</v>
      </c>
      <c r="BO91" s="22" t="e">
        <f aca="false">AND(#REF!,"AAAAAH97a0I=")</f>
        <v>#VALUE!</v>
      </c>
      <c r="BP91" s="22" t="e">
        <f aca="false">AND(#REF!,"AAAAAH97a0M=")</f>
        <v>#VALUE!</v>
      </c>
      <c r="BQ91" s="22" t="e">
        <f aca="false">AND(#REF!,"AAAAAH97a0Q=")</f>
        <v>#VALUE!</v>
      </c>
      <c r="BR91" s="22" t="e">
        <f aca="false">AND(#REF!,"AAAAAH97a0U=")</f>
        <v>#VALUE!</v>
      </c>
      <c r="BS91" s="22" t="e">
        <f aca="false">AND(#REF!,"AAAAAH97a0Y=")</f>
        <v>#VALUE!</v>
      </c>
      <c r="BT91" s="22" t="e">
        <f aca="false">AND(#REF!,"AAAAAH97a0c=")</f>
        <v>#VALUE!</v>
      </c>
      <c r="BU91" s="22" t="e">
        <f aca="false">IF(#REF!,"AAAAAH97a0g=",0)</f>
        <v>#REF!</v>
      </c>
      <c r="BV91" s="22" t="e">
        <f aca="false">AND(#REF!,"AAAAAH97a0k=")</f>
        <v>#VALUE!</v>
      </c>
      <c r="BW91" s="22" t="e">
        <f aca="false">AND(#REF!,"AAAAAH97a0o=")</f>
        <v>#VALUE!</v>
      </c>
      <c r="BX91" s="22" t="e">
        <f aca="false">AND(#REF!,"AAAAAH97a0s=")</f>
        <v>#VALUE!</v>
      </c>
      <c r="BY91" s="22" t="e">
        <f aca="false">AND(#REF!,"AAAAAH97a0w=")</f>
        <v>#VALUE!</v>
      </c>
      <c r="BZ91" s="22" t="e">
        <f aca="false">AND(#REF!,"AAAAAH97a00=")</f>
        <v>#VALUE!</v>
      </c>
      <c r="CA91" s="22" t="e">
        <f aca="false">AND(#REF!,"AAAAAH97a04=")</f>
        <v>#VALUE!</v>
      </c>
      <c r="CB91" s="22" t="e">
        <f aca="false">AND(#REF!,"AAAAAH97a08=")</f>
        <v>#VALUE!</v>
      </c>
      <c r="CC91" s="22" t="e">
        <f aca="false">AND(#REF!,"AAAAAH97a1A=")</f>
        <v>#VALUE!</v>
      </c>
      <c r="CD91" s="22" t="e">
        <f aca="false">IF(#REF!,"AAAAAH97a1E=",0)</f>
        <v>#REF!</v>
      </c>
      <c r="CE91" s="22" t="e">
        <f aca="false">AND(#REF!,"AAAAAH97a1I=")</f>
        <v>#VALUE!</v>
      </c>
      <c r="CF91" s="22" t="e">
        <f aca="false">AND(#REF!,"AAAAAH97a1M=")</f>
        <v>#VALUE!</v>
      </c>
      <c r="CG91" s="22" t="e">
        <f aca="false">AND(#REF!,"AAAAAH97a1Q=")</f>
        <v>#VALUE!</v>
      </c>
      <c r="CH91" s="22" t="e">
        <f aca="false">AND(#REF!,"AAAAAH97a1U=")</f>
        <v>#VALUE!</v>
      </c>
      <c r="CI91" s="22" t="e">
        <f aca="false">AND(#REF!,"AAAAAH97a1Y=")</f>
        <v>#VALUE!</v>
      </c>
      <c r="CJ91" s="22" t="e">
        <f aca="false">AND(#REF!,"AAAAAH97a1c=")</f>
        <v>#VALUE!</v>
      </c>
      <c r="CK91" s="22" t="e">
        <f aca="false">AND(#REF!,"AAAAAH97a1g=")</f>
        <v>#VALUE!</v>
      </c>
      <c r="CL91" s="22" t="e">
        <f aca="false">AND(#REF!,"AAAAAH97a1k=")</f>
        <v>#VALUE!</v>
      </c>
      <c r="CM91" s="22" t="e">
        <f aca="false">IF(#REF!,"AAAAAH97a1o=",0)</f>
        <v>#REF!</v>
      </c>
      <c r="CN91" s="22" t="e">
        <f aca="false">AND(#REF!,"AAAAAH97a1s=")</f>
        <v>#VALUE!</v>
      </c>
      <c r="CO91" s="22" t="e">
        <f aca="false">AND(#REF!,"AAAAAH97a1w=")</f>
        <v>#VALUE!</v>
      </c>
      <c r="CP91" s="22" t="e">
        <f aca="false">AND(#REF!,"AAAAAH97a10=")</f>
        <v>#VALUE!</v>
      </c>
      <c r="CQ91" s="22" t="e">
        <f aca="false">AND(#REF!,"AAAAAH97a14=")</f>
        <v>#VALUE!</v>
      </c>
      <c r="CR91" s="22" t="e">
        <f aca="false">AND(#REF!,"AAAAAH97a18=")</f>
        <v>#VALUE!</v>
      </c>
      <c r="CS91" s="22" t="e">
        <f aca="false">AND(#REF!,"AAAAAH97a2A=")</f>
        <v>#VALUE!</v>
      </c>
      <c r="CT91" s="22" t="e">
        <f aca="false">AND(#REF!,"AAAAAH97a2E=")</f>
        <v>#VALUE!</v>
      </c>
      <c r="CU91" s="22" t="e">
        <f aca="false">AND(#REF!,"AAAAAH97a2I=")</f>
        <v>#VALUE!</v>
      </c>
      <c r="CV91" s="22" t="e">
        <f aca="false">IF(#REF!,"AAAAAH97a2M=",0)</f>
        <v>#REF!</v>
      </c>
      <c r="CW91" s="22" t="e">
        <f aca="false">AND(#REF!,"AAAAAH97a2Q=")</f>
        <v>#VALUE!</v>
      </c>
      <c r="CX91" s="22" t="e">
        <f aca="false">AND(#REF!,"AAAAAH97a2U=")</f>
        <v>#VALUE!</v>
      </c>
      <c r="CY91" s="22" t="e">
        <f aca="false">AND(#REF!,"AAAAAH97a2Y=")</f>
        <v>#VALUE!</v>
      </c>
      <c r="CZ91" s="22" t="e">
        <f aca="false">AND(#REF!,"AAAAAH97a2c=")</f>
        <v>#VALUE!</v>
      </c>
      <c r="DA91" s="22" t="e">
        <f aca="false">AND(#REF!,"AAAAAH97a2g=")</f>
        <v>#VALUE!</v>
      </c>
      <c r="DB91" s="22" t="e">
        <f aca="false">AND(#REF!,"AAAAAH97a2k=")</f>
        <v>#VALUE!</v>
      </c>
      <c r="DC91" s="22" t="e">
        <f aca="false">AND(#REF!,"AAAAAH97a2o=")</f>
        <v>#VALUE!</v>
      </c>
      <c r="DD91" s="22" t="e">
        <f aca="false">AND(#REF!,"AAAAAH97a2s=")</f>
        <v>#VALUE!</v>
      </c>
      <c r="DE91" s="22" t="e">
        <f aca="false">IF(#REF!,"AAAAAH97a2w=",0)</f>
        <v>#REF!</v>
      </c>
      <c r="DF91" s="22" t="e">
        <f aca="false">AND(#REF!,"AAAAAH97a20=")</f>
        <v>#VALUE!</v>
      </c>
      <c r="DG91" s="22" t="e">
        <f aca="false">AND(#REF!,"AAAAAH97a24=")</f>
        <v>#VALUE!</v>
      </c>
      <c r="DH91" s="22" t="e">
        <f aca="false">AND(#REF!,"AAAAAH97a28=")</f>
        <v>#VALUE!</v>
      </c>
      <c r="DI91" s="22" t="e">
        <f aca="false">AND(#REF!,"AAAAAH97a3A=")</f>
        <v>#VALUE!</v>
      </c>
      <c r="DJ91" s="22" t="e">
        <f aca="false">AND(#REF!,"AAAAAH97a3E=")</f>
        <v>#VALUE!</v>
      </c>
      <c r="DK91" s="22" t="e">
        <f aca="false">AND(#REF!,"AAAAAH97a3I=")</f>
        <v>#VALUE!</v>
      </c>
      <c r="DL91" s="22" t="e">
        <f aca="false">AND(#REF!,"AAAAAH97a3M=")</f>
        <v>#VALUE!</v>
      </c>
      <c r="DM91" s="22" t="e">
        <f aca="false">AND(#REF!,"AAAAAH97a3Q=")</f>
        <v>#VALUE!</v>
      </c>
      <c r="DN91" s="22" t="e">
        <f aca="false">IF(#REF!,"AAAAAH97a3U=",0)</f>
        <v>#REF!</v>
      </c>
      <c r="DO91" s="22" t="e">
        <f aca="false">AND(#REF!,"AAAAAH97a3Y=")</f>
        <v>#VALUE!</v>
      </c>
      <c r="DP91" s="22" t="e">
        <f aca="false">AND(#REF!,"AAAAAH97a3c=")</f>
        <v>#VALUE!</v>
      </c>
      <c r="DQ91" s="22" t="e">
        <f aca="false">AND(#REF!,"AAAAAH97a3g=")</f>
        <v>#VALUE!</v>
      </c>
      <c r="DR91" s="22" t="e">
        <f aca="false">AND(#REF!,"AAAAAH97a3k=")</f>
        <v>#VALUE!</v>
      </c>
      <c r="DS91" s="22" t="e">
        <f aca="false">AND(#REF!,"AAAAAH97a3o=")</f>
        <v>#VALUE!</v>
      </c>
      <c r="DT91" s="22" t="e">
        <f aca="false">AND(#REF!,"AAAAAH97a3s=")</f>
        <v>#VALUE!</v>
      </c>
      <c r="DU91" s="22" t="e">
        <f aca="false">AND(#REF!,"AAAAAH97a3w=")</f>
        <v>#VALUE!</v>
      </c>
      <c r="DV91" s="22" t="e">
        <f aca="false">AND(#REF!,"AAAAAH97a30=")</f>
        <v>#VALUE!</v>
      </c>
      <c r="DW91" s="22" t="e">
        <f aca="false">IF(#REF!,"AAAAAH97a34=",0)</f>
        <v>#REF!</v>
      </c>
      <c r="DX91" s="22" t="e">
        <f aca="false">AND(#REF!,"AAAAAH97a38=")</f>
        <v>#VALUE!</v>
      </c>
      <c r="DY91" s="22" t="e">
        <f aca="false">AND(#REF!,"AAAAAH97a4A=")</f>
        <v>#VALUE!</v>
      </c>
      <c r="DZ91" s="22" t="e">
        <f aca="false">AND(#REF!,"AAAAAH97a4E=")</f>
        <v>#VALUE!</v>
      </c>
      <c r="EA91" s="22" t="e">
        <f aca="false">AND(#REF!,"AAAAAH97a4I=")</f>
        <v>#VALUE!</v>
      </c>
      <c r="EB91" s="22" t="e">
        <f aca="false">AND(#REF!,"AAAAAH97a4M=")</f>
        <v>#VALUE!</v>
      </c>
      <c r="EC91" s="22" t="e">
        <f aca="false">AND(#REF!,"AAAAAH97a4Q=")</f>
        <v>#VALUE!</v>
      </c>
      <c r="ED91" s="22" t="e">
        <f aca="false">AND(#REF!,"AAAAAH97a4U=")</f>
        <v>#VALUE!</v>
      </c>
      <c r="EE91" s="22" t="e">
        <f aca="false">AND(#REF!,"AAAAAH97a4Y=")</f>
        <v>#VALUE!</v>
      </c>
      <c r="EF91" s="22" t="e">
        <f aca="false">IF(#REF!,"AAAAAH97a4c=",0)</f>
        <v>#REF!</v>
      </c>
      <c r="EG91" s="22" t="e">
        <f aca="false">AND(#REF!,"AAAAAH97a4g=")</f>
        <v>#VALUE!</v>
      </c>
      <c r="EH91" s="22" t="e">
        <f aca="false">AND(#REF!,"AAAAAH97a4k=")</f>
        <v>#VALUE!</v>
      </c>
      <c r="EI91" s="22" t="e">
        <f aca="false">AND(#REF!,"AAAAAH97a4o=")</f>
        <v>#VALUE!</v>
      </c>
      <c r="EJ91" s="22" t="e">
        <f aca="false">AND(#REF!,"AAAAAH97a4s=")</f>
        <v>#VALUE!</v>
      </c>
      <c r="EK91" s="22" t="e">
        <f aca="false">AND(#REF!,"AAAAAH97a4w=")</f>
        <v>#VALUE!</v>
      </c>
      <c r="EL91" s="22" t="e">
        <f aca="false">AND(#REF!,"AAAAAH97a40=")</f>
        <v>#VALUE!</v>
      </c>
      <c r="EM91" s="22" t="e">
        <f aca="false">AND(#REF!,"AAAAAH97a44=")</f>
        <v>#VALUE!</v>
      </c>
      <c r="EN91" s="22" t="e">
        <f aca="false">AND(#REF!,"AAAAAH97a48=")</f>
        <v>#VALUE!</v>
      </c>
      <c r="EO91" s="22" t="e">
        <f aca="false">IF(#REF!,"AAAAAH97a5A=",0)</f>
        <v>#REF!</v>
      </c>
      <c r="EP91" s="22" t="e">
        <f aca="false">AND(#REF!,"AAAAAH97a5E=")</f>
        <v>#VALUE!</v>
      </c>
      <c r="EQ91" s="22" t="e">
        <f aca="false">AND(#REF!,"AAAAAH97a5I=")</f>
        <v>#VALUE!</v>
      </c>
      <c r="ER91" s="22" t="e">
        <f aca="false">AND(#REF!,"AAAAAH97a5M=")</f>
        <v>#VALUE!</v>
      </c>
      <c r="ES91" s="22" t="e">
        <f aca="false">AND(#REF!,"AAAAAH97a5Q=")</f>
        <v>#VALUE!</v>
      </c>
      <c r="ET91" s="22" t="e">
        <f aca="false">AND(#REF!,"AAAAAH97a5U=")</f>
        <v>#VALUE!</v>
      </c>
      <c r="EU91" s="22" t="e">
        <f aca="false">AND(#REF!,"AAAAAH97a5Y=")</f>
        <v>#VALUE!</v>
      </c>
      <c r="EV91" s="22" t="e">
        <f aca="false">AND(#REF!,"AAAAAH97a5c=")</f>
        <v>#VALUE!</v>
      </c>
      <c r="EW91" s="22" t="e">
        <f aca="false">AND(#REF!,"AAAAAH97a5g=")</f>
        <v>#VALUE!</v>
      </c>
      <c r="EX91" s="22" t="e">
        <f aca="false">IF(#REF!,"AAAAAH97a5k=",0)</f>
        <v>#REF!</v>
      </c>
      <c r="EY91" s="22" t="e">
        <f aca="false">AND(#REF!,"AAAAAH97a5o=")</f>
        <v>#VALUE!</v>
      </c>
      <c r="EZ91" s="22" t="e">
        <f aca="false">AND(#REF!,"AAAAAH97a5s=")</f>
        <v>#VALUE!</v>
      </c>
      <c r="FA91" s="22" t="e">
        <f aca="false">AND(#REF!,"AAAAAH97a5w=")</f>
        <v>#VALUE!</v>
      </c>
      <c r="FB91" s="22" t="e">
        <f aca="false">AND(#REF!,"AAAAAH97a50=")</f>
        <v>#VALUE!</v>
      </c>
      <c r="FC91" s="22" t="e">
        <f aca="false">AND(#REF!,"AAAAAH97a54=")</f>
        <v>#VALUE!</v>
      </c>
      <c r="FD91" s="22" t="e">
        <f aca="false">AND(#REF!,"AAAAAH97a58=")</f>
        <v>#VALUE!</v>
      </c>
      <c r="FE91" s="22" t="e">
        <f aca="false">AND(#REF!,"AAAAAH97a6A=")</f>
        <v>#VALUE!</v>
      </c>
      <c r="FF91" s="22" t="e">
        <f aca="false">AND(#REF!,"AAAAAH97a6E=")</f>
        <v>#VALUE!</v>
      </c>
      <c r="FG91" s="22" t="e">
        <f aca="false">IF(#REF!,"AAAAAH97a6I=",0)</f>
        <v>#REF!</v>
      </c>
      <c r="FH91" s="22" t="e">
        <f aca="false">AND(#REF!,"AAAAAH97a6M=")</f>
        <v>#VALUE!</v>
      </c>
      <c r="FI91" s="22" t="e">
        <f aca="false">AND(#REF!,"AAAAAH97a6Q=")</f>
        <v>#VALUE!</v>
      </c>
      <c r="FJ91" s="22" t="e">
        <f aca="false">AND(#REF!,"AAAAAH97a6U=")</f>
        <v>#VALUE!</v>
      </c>
      <c r="FK91" s="22" t="e">
        <f aca="false">AND(#REF!,"AAAAAH97a6Y=")</f>
        <v>#VALUE!</v>
      </c>
      <c r="FL91" s="22" t="e">
        <f aca="false">AND(#REF!,"AAAAAH97a6c=")</f>
        <v>#VALUE!</v>
      </c>
      <c r="FM91" s="22" t="e">
        <f aca="false">AND(#REF!,"AAAAAH97a6g=")</f>
        <v>#VALUE!</v>
      </c>
      <c r="FN91" s="22" t="e">
        <f aca="false">AND(#REF!,"AAAAAH97a6k=")</f>
        <v>#VALUE!</v>
      </c>
      <c r="FO91" s="22" t="e">
        <f aca="false">AND(#REF!,"AAAAAH97a6o=")</f>
        <v>#VALUE!</v>
      </c>
      <c r="FP91" s="22" t="e">
        <f aca="false">IF(#REF!,"AAAAAH97a6s=",0)</f>
        <v>#REF!</v>
      </c>
      <c r="FQ91" s="22" t="e">
        <f aca="false">AND(#REF!,"AAAAAH97a6w=")</f>
        <v>#VALUE!</v>
      </c>
      <c r="FR91" s="22" t="e">
        <f aca="false">AND(#REF!,"AAAAAH97a60=")</f>
        <v>#VALUE!</v>
      </c>
      <c r="FS91" s="22" t="e">
        <f aca="false">AND(#REF!,"AAAAAH97a64=")</f>
        <v>#VALUE!</v>
      </c>
      <c r="FT91" s="22" t="e">
        <f aca="false">AND(#REF!,"AAAAAH97a68=")</f>
        <v>#VALUE!</v>
      </c>
      <c r="FU91" s="22" t="e">
        <f aca="false">AND(#REF!,"AAAAAH97a7A=")</f>
        <v>#VALUE!</v>
      </c>
      <c r="FV91" s="22" t="e">
        <f aca="false">AND(#REF!,"AAAAAH97a7E=")</f>
        <v>#VALUE!</v>
      </c>
      <c r="FW91" s="22" t="e">
        <f aca="false">AND(#REF!,"AAAAAH97a7I=")</f>
        <v>#VALUE!</v>
      </c>
      <c r="FX91" s="22" t="e">
        <f aca="false">AND(#REF!,"AAAAAH97a7M=")</f>
        <v>#VALUE!</v>
      </c>
      <c r="FY91" s="22" t="e">
        <f aca="false">IF(#REF!,"AAAAAH97a7Q=",0)</f>
        <v>#REF!</v>
      </c>
      <c r="FZ91" s="22" t="e">
        <f aca="false">AND(#REF!,"AAAAAH97a7U=")</f>
        <v>#VALUE!</v>
      </c>
      <c r="GA91" s="22" t="e">
        <f aca="false">AND(#REF!,"AAAAAH97a7Y=")</f>
        <v>#VALUE!</v>
      </c>
      <c r="GB91" s="22" t="e">
        <f aca="false">AND(#REF!,"AAAAAH97a7c=")</f>
        <v>#VALUE!</v>
      </c>
      <c r="GC91" s="22" t="e">
        <f aca="false">AND(#REF!,"AAAAAH97a7g=")</f>
        <v>#VALUE!</v>
      </c>
      <c r="GD91" s="22" t="e">
        <f aca="false">AND(#REF!,"AAAAAH97a7k=")</f>
        <v>#VALUE!</v>
      </c>
      <c r="GE91" s="22" t="e">
        <f aca="false">AND(#REF!,"AAAAAH97a7o=")</f>
        <v>#VALUE!</v>
      </c>
      <c r="GF91" s="22" t="e">
        <f aca="false">AND(#REF!,"AAAAAH97a7s=")</f>
        <v>#VALUE!</v>
      </c>
      <c r="GG91" s="22" t="e">
        <f aca="false">AND(#REF!,"AAAAAH97a7w=")</f>
        <v>#VALUE!</v>
      </c>
      <c r="GH91" s="22" t="e">
        <f aca="false">IF(#REF!,"AAAAAH97a70=",0)</f>
        <v>#REF!</v>
      </c>
      <c r="GI91" s="22" t="e">
        <f aca="false">AND(#REF!,"AAAAAH97a74=")</f>
        <v>#VALUE!</v>
      </c>
      <c r="GJ91" s="22" t="e">
        <f aca="false">AND(#REF!,"AAAAAH97a78=")</f>
        <v>#VALUE!</v>
      </c>
      <c r="GK91" s="22" t="e">
        <f aca="false">AND(#REF!,"AAAAAH97a8A=")</f>
        <v>#VALUE!</v>
      </c>
      <c r="GL91" s="22" t="e">
        <f aca="false">AND(#REF!,"AAAAAH97a8E=")</f>
        <v>#VALUE!</v>
      </c>
      <c r="GM91" s="22" t="e">
        <f aca="false">AND(#REF!,"AAAAAH97a8I=")</f>
        <v>#VALUE!</v>
      </c>
      <c r="GN91" s="22" t="e">
        <f aca="false">AND(#REF!,"AAAAAH97a8M=")</f>
        <v>#VALUE!</v>
      </c>
      <c r="GO91" s="22" t="e">
        <f aca="false">AND(#REF!,"AAAAAH97a8Q=")</f>
        <v>#VALUE!</v>
      </c>
      <c r="GP91" s="22" t="e">
        <f aca="false">AND(#REF!,"AAAAAH97a8U=")</f>
        <v>#VALUE!</v>
      </c>
      <c r="GQ91" s="22" t="e">
        <f aca="false">IF(#REF!,"AAAAAH97a8Y=",0)</f>
        <v>#REF!</v>
      </c>
      <c r="GR91" s="22" t="e">
        <f aca="false">AND(#REF!,"AAAAAH97a8c=")</f>
        <v>#VALUE!</v>
      </c>
      <c r="GS91" s="22" t="e">
        <f aca="false">AND(#REF!,"AAAAAH97a8g=")</f>
        <v>#VALUE!</v>
      </c>
      <c r="GT91" s="22" t="e">
        <f aca="false">AND(#REF!,"AAAAAH97a8k=")</f>
        <v>#VALUE!</v>
      </c>
      <c r="GU91" s="22" t="e">
        <f aca="false">AND(#REF!,"AAAAAH97a8o=")</f>
        <v>#VALUE!</v>
      </c>
      <c r="GV91" s="22" t="e">
        <f aca="false">AND(#REF!,"AAAAAH97a8s=")</f>
        <v>#VALUE!</v>
      </c>
      <c r="GW91" s="22" t="e">
        <f aca="false">AND(#REF!,"AAAAAH97a8w=")</f>
        <v>#VALUE!</v>
      </c>
      <c r="GX91" s="22" t="e">
        <f aca="false">AND(#REF!,"AAAAAH97a80=")</f>
        <v>#VALUE!</v>
      </c>
      <c r="GY91" s="22" t="e">
        <f aca="false">AND(#REF!,"AAAAAH97a84=")</f>
        <v>#VALUE!</v>
      </c>
      <c r="GZ91" s="22" t="e">
        <f aca="false">IF(#REF!,"AAAAAH97a88=",0)</f>
        <v>#REF!</v>
      </c>
      <c r="HA91" s="22" t="e">
        <f aca="false">AND(#REF!,"AAAAAH97a9A=")</f>
        <v>#VALUE!</v>
      </c>
      <c r="HB91" s="22" t="e">
        <f aca="false">AND(#REF!,"AAAAAH97a9E=")</f>
        <v>#VALUE!</v>
      </c>
      <c r="HC91" s="22" t="e">
        <f aca="false">AND(#REF!,"AAAAAH97a9I=")</f>
        <v>#VALUE!</v>
      </c>
      <c r="HD91" s="22" t="e">
        <f aca="false">AND(#REF!,"AAAAAH97a9M=")</f>
        <v>#VALUE!</v>
      </c>
      <c r="HE91" s="22" t="e">
        <f aca="false">AND(#REF!,"AAAAAH97a9Q=")</f>
        <v>#VALUE!</v>
      </c>
      <c r="HF91" s="22" t="e">
        <f aca="false">AND(#REF!,"AAAAAH97a9U=")</f>
        <v>#VALUE!</v>
      </c>
      <c r="HG91" s="22" t="e">
        <f aca="false">AND(#REF!,"AAAAAH97a9Y=")</f>
        <v>#VALUE!</v>
      </c>
      <c r="HH91" s="22" t="e">
        <f aca="false">AND(#REF!,"AAAAAH97a9c=")</f>
        <v>#VALUE!</v>
      </c>
      <c r="HI91" s="22" t="e">
        <f aca="false">IF(#REF!,"AAAAAH97a9g=",0)</f>
        <v>#REF!</v>
      </c>
      <c r="HJ91" s="22" t="e">
        <f aca="false">AND(#REF!,"AAAAAH97a9k=")</f>
        <v>#VALUE!</v>
      </c>
      <c r="HK91" s="22" t="e">
        <f aca="false">AND(#REF!,"AAAAAH97a9o=")</f>
        <v>#VALUE!</v>
      </c>
      <c r="HL91" s="22" t="e">
        <f aca="false">AND(#REF!,"AAAAAH97a9s=")</f>
        <v>#VALUE!</v>
      </c>
      <c r="HM91" s="22" t="e">
        <f aca="false">AND(#REF!,"AAAAAH97a9w=")</f>
        <v>#VALUE!</v>
      </c>
      <c r="HN91" s="22" t="e">
        <f aca="false">AND(#REF!,"AAAAAH97a90=")</f>
        <v>#VALUE!</v>
      </c>
      <c r="HO91" s="22" t="e">
        <f aca="false">AND(#REF!,"AAAAAH97a94=")</f>
        <v>#VALUE!</v>
      </c>
      <c r="HP91" s="22" t="e">
        <f aca="false">AND(#REF!,"AAAAAH97a98=")</f>
        <v>#VALUE!</v>
      </c>
      <c r="HQ91" s="22" t="e">
        <f aca="false">AND(#REF!,"AAAAAH97a+A=")</f>
        <v>#VALUE!</v>
      </c>
      <c r="HR91" s="22" t="e">
        <f aca="false">IF(#REF!,"AAAAAH97a+E=",0)</f>
        <v>#REF!</v>
      </c>
      <c r="HS91" s="22" t="e">
        <f aca="false">AND(#REF!,"AAAAAH97a+I=")</f>
        <v>#VALUE!</v>
      </c>
      <c r="HT91" s="22" t="e">
        <f aca="false">AND(#REF!,"AAAAAH97a+M=")</f>
        <v>#VALUE!</v>
      </c>
      <c r="HU91" s="22" t="e">
        <f aca="false">AND(#REF!,"AAAAAH97a+Q=")</f>
        <v>#VALUE!</v>
      </c>
      <c r="HV91" s="22" t="e">
        <f aca="false">AND(#REF!,"AAAAAH97a+U=")</f>
        <v>#VALUE!</v>
      </c>
      <c r="HW91" s="22" t="e">
        <f aca="false">AND(#REF!,"AAAAAH97a+Y=")</f>
        <v>#VALUE!</v>
      </c>
      <c r="HX91" s="22" t="e">
        <f aca="false">AND(#REF!,"AAAAAH97a+c=")</f>
        <v>#VALUE!</v>
      </c>
      <c r="HY91" s="22" t="e">
        <f aca="false">AND(#REF!,"AAAAAH97a+g=")</f>
        <v>#VALUE!</v>
      </c>
      <c r="HZ91" s="22" t="e">
        <f aca="false">AND(#REF!,"AAAAAH97a+k=")</f>
        <v>#VALUE!</v>
      </c>
      <c r="IA91" s="22" t="e">
        <f aca="false">IF(#REF!,"AAAAAH97a+o=",0)</f>
        <v>#REF!</v>
      </c>
      <c r="IB91" s="22" t="e">
        <f aca="false">AND(#REF!,"AAAAAH97a+s=")</f>
        <v>#VALUE!</v>
      </c>
      <c r="IC91" s="22" t="e">
        <f aca="false">AND(#REF!,"AAAAAH97a+w=")</f>
        <v>#VALUE!</v>
      </c>
      <c r="ID91" s="22" t="e">
        <f aca="false">AND(#REF!,"AAAAAH97a+0=")</f>
        <v>#VALUE!</v>
      </c>
      <c r="IE91" s="22" t="e">
        <f aca="false">AND(#REF!,"AAAAAH97a+4=")</f>
        <v>#VALUE!</v>
      </c>
      <c r="IF91" s="22" t="e">
        <f aca="false">AND(#REF!,"AAAAAH97a+8=")</f>
        <v>#VALUE!</v>
      </c>
      <c r="IG91" s="22" t="e">
        <f aca="false">AND(#REF!,"AAAAAH97a/A=")</f>
        <v>#VALUE!</v>
      </c>
      <c r="IH91" s="22" t="e">
        <f aca="false">AND(#REF!,"AAAAAH97a/E=")</f>
        <v>#VALUE!</v>
      </c>
      <c r="II91" s="22" t="e">
        <f aca="false">AND(#REF!,"AAAAAH97a/I=")</f>
        <v>#VALUE!</v>
      </c>
      <c r="IJ91" s="22" t="e">
        <f aca="false">IF(#REF!,"AAAAAH97a/M=",0)</f>
        <v>#REF!</v>
      </c>
      <c r="IK91" s="22" t="e">
        <f aca="false">AND(#REF!,"AAAAAH97a/Q=")</f>
        <v>#VALUE!</v>
      </c>
      <c r="IL91" s="22" t="e">
        <f aca="false">AND(#REF!,"AAAAAH97a/U=")</f>
        <v>#VALUE!</v>
      </c>
      <c r="IM91" s="22" t="e">
        <f aca="false">AND(#REF!,"AAAAAH97a/Y=")</f>
        <v>#VALUE!</v>
      </c>
      <c r="IN91" s="22" t="e">
        <f aca="false">AND(#REF!,"AAAAAH97a/c=")</f>
        <v>#VALUE!</v>
      </c>
      <c r="IO91" s="22" t="e">
        <f aca="false">AND(#REF!,"AAAAAH97a/g=")</f>
        <v>#VALUE!</v>
      </c>
      <c r="IP91" s="22" t="e">
        <f aca="false">AND(#REF!,"AAAAAH97a/k=")</f>
        <v>#VALUE!</v>
      </c>
      <c r="IQ91" s="22" t="e">
        <f aca="false">AND(#REF!,"AAAAAH97a/o=")</f>
        <v>#VALUE!</v>
      </c>
      <c r="IR91" s="22" t="e">
        <f aca="false">AND(#REF!,"AAAAAH97a/s=")</f>
        <v>#VALUE!</v>
      </c>
      <c r="IS91" s="22" t="e">
        <f aca="false">IF(#REF!,"AAAAAH97a/w=",0)</f>
        <v>#REF!</v>
      </c>
      <c r="IT91" s="22" t="e">
        <f aca="false">AND(#REF!,"AAAAAH97a/0=")</f>
        <v>#VALUE!</v>
      </c>
      <c r="IU91" s="22" t="e">
        <f aca="false">AND(#REF!,"AAAAAH97a/4=")</f>
        <v>#VALUE!</v>
      </c>
      <c r="IV91" s="22" t="e">
        <f aca="false">AND(#REF!,"AAAAAH97a/8=")</f>
        <v>#VALUE!</v>
      </c>
    </row>
    <row r="92" customFormat="false" ht="12.75" hidden="false" customHeight="false" outlineLevel="0" collapsed="false">
      <c r="A92" s="22" t="e">
        <f aca="false">AND(#REF!,"AAAAAEv+9wA=")</f>
        <v>#VALUE!</v>
      </c>
      <c r="B92" s="22" t="e">
        <f aca="false">AND(#REF!,"AAAAAEv+9wE=")</f>
        <v>#VALUE!</v>
      </c>
      <c r="C92" s="22" t="e">
        <f aca="false">AND(#REF!,"AAAAAEv+9wI=")</f>
        <v>#VALUE!</v>
      </c>
      <c r="D92" s="22" t="e">
        <f aca="false">AND(#REF!,"AAAAAEv+9wM=")</f>
        <v>#VALUE!</v>
      </c>
      <c r="E92" s="22" t="e">
        <f aca="false">AND(#REF!,"AAAAAEv+9wQ=")</f>
        <v>#VALUE!</v>
      </c>
      <c r="F92" s="22" t="e">
        <f aca="false">IF(#REF!,"AAAAAEv+9wU=",0)</f>
        <v>#REF!</v>
      </c>
      <c r="G92" s="22" t="e">
        <f aca="false">AND(#REF!,"AAAAAEv+9wY=")</f>
        <v>#VALUE!</v>
      </c>
      <c r="H92" s="22" t="e">
        <f aca="false">AND(#REF!,"AAAAAEv+9wc=")</f>
        <v>#VALUE!</v>
      </c>
      <c r="I92" s="22" t="e">
        <f aca="false">AND(#REF!,"AAAAAEv+9wg=")</f>
        <v>#VALUE!</v>
      </c>
      <c r="J92" s="22" t="e">
        <f aca="false">AND(#REF!,"AAAAAEv+9wk=")</f>
        <v>#VALUE!</v>
      </c>
      <c r="K92" s="22" t="e">
        <f aca="false">AND(#REF!,"AAAAAEv+9wo=")</f>
        <v>#VALUE!</v>
      </c>
      <c r="L92" s="22" t="e">
        <f aca="false">AND(#REF!,"AAAAAEv+9ws=")</f>
        <v>#VALUE!</v>
      </c>
      <c r="M92" s="22" t="e">
        <f aca="false">AND(#REF!,"AAAAAEv+9ww=")</f>
        <v>#VALUE!</v>
      </c>
      <c r="N92" s="22" t="e">
        <f aca="false">AND(#REF!,"AAAAAEv+9w0=")</f>
        <v>#VALUE!</v>
      </c>
      <c r="O92" s="22" t="e">
        <f aca="false">IF(#REF!,"AAAAAEv+9w4=",0)</f>
        <v>#REF!</v>
      </c>
      <c r="P92" s="22" t="e">
        <f aca="false">AND(#REF!,"AAAAAEv+9w8=")</f>
        <v>#VALUE!</v>
      </c>
      <c r="Q92" s="22" t="e">
        <f aca="false">AND(#REF!,"AAAAAEv+9xA=")</f>
        <v>#VALUE!</v>
      </c>
      <c r="R92" s="22" t="e">
        <f aca="false">AND(#REF!,"AAAAAEv+9xE=")</f>
        <v>#VALUE!</v>
      </c>
      <c r="S92" s="22" t="e">
        <f aca="false">AND(#REF!,"AAAAAEv+9xI=")</f>
        <v>#VALUE!</v>
      </c>
      <c r="T92" s="22" t="e">
        <f aca="false">AND(#REF!,"AAAAAEv+9xM=")</f>
        <v>#VALUE!</v>
      </c>
      <c r="U92" s="22" t="e">
        <f aca="false">AND(#REF!,"AAAAAEv+9xQ=")</f>
        <v>#VALUE!</v>
      </c>
      <c r="V92" s="22" t="e">
        <f aca="false">AND(#REF!,"AAAAAEv+9xU=")</f>
        <v>#VALUE!</v>
      </c>
      <c r="W92" s="22" t="e">
        <f aca="false">AND(#REF!,"AAAAAEv+9xY=")</f>
        <v>#VALUE!</v>
      </c>
      <c r="X92" s="22" t="e">
        <f aca="false">IF(#REF!,"AAAAAEv+9xc=",0)</f>
        <v>#REF!</v>
      </c>
      <c r="Y92" s="22" t="e">
        <f aca="false">AND(#REF!,"AAAAAEv+9xg=")</f>
        <v>#VALUE!</v>
      </c>
      <c r="Z92" s="22" t="e">
        <f aca="false">AND(#REF!,"AAAAAEv+9xk=")</f>
        <v>#VALUE!</v>
      </c>
      <c r="AA92" s="22" t="e">
        <f aca="false">AND(#REF!,"AAAAAEv+9xo=")</f>
        <v>#VALUE!</v>
      </c>
      <c r="AB92" s="22" t="e">
        <f aca="false">AND(#REF!,"AAAAAEv+9xs=")</f>
        <v>#VALUE!</v>
      </c>
      <c r="AC92" s="22" t="e">
        <f aca="false">AND(#REF!,"AAAAAEv+9xw=")</f>
        <v>#VALUE!</v>
      </c>
      <c r="AD92" s="22" t="e">
        <f aca="false">AND(#REF!,"AAAAAEv+9x0=")</f>
        <v>#VALUE!</v>
      </c>
      <c r="AE92" s="22" t="e">
        <f aca="false">AND(#REF!,"AAAAAEv+9x4=")</f>
        <v>#VALUE!</v>
      </c>
      <c r="AF92" s="22" t="e">
        <f aca="false">AND(#REF!,"AAAAAEv+9x8=")</f>
        <v>#VALUE!</v>
      </c>
      <c r="AG92" s="22" t="e">
        <f aca="false">IF(#REF!,"AAAAAEv+9yA=",0)</f>
        <v>#REF!</v>
      </c>
      <c r="AH92" s="22" t="e">
        <f aca="false">AND(#REF!,"AAAAAEv+9yE=")</f>
        <v>#VALUE!</v>
      </c>
      <c r="AI92" s="22" t="e">
        <f aca="false">AND(#REF!,"AAAAAEv+9yI=")</f>
        <v>#VALUE!</v>
      </c>
      <c r="AJ92" s="22" t="e">
        <f aca="false">AND(#REF!,"AAAAAEv+9yM=")</f>
        <v>#VALUE!</v>
      </c>
      <c r="AK92" s="22" t="e">
        <f aca="false">AND(#REF!,"AAAAAEv+9yQ=")</f>
        <v>#VALUE!</v>
      </c>
      <c r="AL92" s="22" t="e">
        <f aca="false">AND(#REF!,"AAAAAEv+9yU=")</f>
        <v>#VALUE!</v>
      </c>
      <c r="AM92" s="22" t="e">
        <f aca="false">AND(#REF!,"AAAAAEv+9yY=")</f>
        <v>#VALUE!</v>
      </c>
      <c r="AN92" s="22" t="e">
        <f aca="false">AND(#REF!,"AAAAAEv+9yc=")</f>
        <v>#VALUE!</v>
      </c>
      <c r="AO92" s="22" t="e">
        <f aca="false">AND(#REF!,"AAAAAEv+9yg=")</f>
        <v>#VALUE!</v>
      </c>
      <c r="AP92" s="22" t="e">
        <f aca="false">IF(#REF!,"AAAAAEv+9yk=",0)</f>
        <v>#REF!</v>
      </c>
      <c r="AQ92" s="22" t="e">
        <f aca="false">AND(#REF!,"AAAAAEv+9yo=")</f>
        <v>#VALUE!</v>
      </c>
      <c r="AR92" s="22" t="e">
        <f aca="false">AND(#REF!,"AAAAAEv+9ys=")</f>
        <v>#VALUE!</v>
      </c>
      <c r="AS92" s="22" t="e">
        <f aca="false">AND(#REF!,"AAAAAEv+9yw=")</f>
        <v>#VALUE!</v>
      </c>
      <c r="AT92" s="22" t="e">
        <f aca="false">AND(#REF!,"AAAAAEv+9y0=")</f>
        <v>#VALUE!</v>
      </c>
      <c r="AU92" s="22" t="e">
        <f aca="false">AND(#REF!,"AAAAAEv+9y4=")</f>
        <v>#VALUE!</v>
      </c>
      <c r="AV92" s="22" t="e">
        <f aca="false">AND(#REF!,"AAAAAEv+9y8=")</f>
        <v>#VALUE!</v>
      </c>
      <c r="AW92" s="22" t="e">
        <f aca="false">AND(#REF!,"AAAAAEv+9zA=")</f>
        <v>#VALUE!</v>
      </c>
      <c r="AX92" s="22" t="e">
        <f aca="false">AND(#REF!,"AAAAAEv+9zE=")</f>
        <v>#VALUE!</v>
      </c>
      <c r="AY92" s="22" t="e">
        <f aca="false">IF(#REF!,"AAAAAEv+9zI=",0)</f>
        <v>#REF!</v>
      </c>
      <c r="AZ92" s="22" t="e">
        <f aca="false">AND(#REF!,"AAAAAEv+9zM=")</f>
        <v>#VALUE!</v>
      </c>
      <c r="BA92" s="22" t="e">
        <f aca="false">AND(#REF!,"AAAAAEv+9zQ=")</f>
        <v>#VALUE!</v>
      </c>
      <c r="BB92" s="22" t="e">
        <f aca="false">AND(#REF!,"AAAAAEv+9zU=")</f>
        <v>#VALUE!</v>
      </c>
      <c r="BC92" s="22" t="e">
        <f aca="false">AND(#REF!,"AAAAAEv+9zY=")</f>
        <v>#VALUE!</v>
      </c>
      <c r="BD92" s="22" t="e">
        <f aca="false">AND(#REF!,"AAAAAEv+9zc=")</f>
        <v>#VALUE!</v>
      </c>
      <c r="BE92" s="22" t="e">
        <f aca="false">AND(#REF!,"AAAAAEv+9zg=")</f>
        <v>#VALUE!</v>
      </c>
      <c r="BF92" s="22" t="e">
        <f aca="false">AND(#REF!,"AAAAAEv+9zk=")</f>
        <v>#VALUE!</v>
      </c>
      <c r="BG92" s="22" t="e">
        <f aca="false">AND(#REF!,"AAAAAEv+9zo=")</f>
        <v>#VALUE!</v>
      </c>
      <c r="BH92" s="22" t="e">
        <f aca="false">IF(#REF!,"AAAAAEv+9zs=",0)</f>
        <v>#REF!</v>
      </c>
      <c r="BI92" s="22" t="e">
        <f aca="false">AND(#REF!,"AAAAAEv+9zw=")</f>
        <v>#VALUE!</v>
      </c>
      <c r="BJ92" s="22" t="e">
        <f aca="false">AND(#REF!,"AAAAAEv+9z0=")</f>
        <v>#VALUE!</v>
      </c>
      <c r="BK92" s="22" t="e">
        <f aca="false">AND(#REF!,"AAAAAEv+9z4=")</f>
        <v>#VALUE!</v>
      </c>
      <c r="BL92" s="22" t="e">
        <f aca="false">AND(#REF!,"AAAAAEv+9z8=")</f>
        <v>#VALUE!</v>
      </c>
      <c r="BM92" s="22" t="e">
        <f aca="false">AND(#REF!,"AAAAAEv+90A=")</f>
        <v>#VALUE!</v>
      </c>
      <c r="BN92" s="22" t="e">
        <f aca="false">AND(#REF!,"AAAAAEv+90E=")</f>
        <v>#VALUE!</v>
      </c>
      <c r="BO92" s="22" t="e">
        <f aca="false">AND(#REF!,"AAAAAEv+90I=")</f>
        <v>#VALUE!</v>
      </c>
      <c r="BP92" s="22" t="e">
        <f aca="false">AND(#REF!,"AAAAAEv+90M=")</f>
        <v>#VALUE!</v>
      </c>
      <c r="BQ92" s="22" t="e">
        <f aca="false">IF(#REF!,"AAAAAEv+90Q=",0)</f>
        <v>#REF!</v>
      </c>
      <c r="BR92" s="22" t="e">
        <f aca="false">AND(#REF!,"AAAAAEv+90U=")</f>
        <v>#VALUE!</v>
      </c>
      <c r="BS92" s="22" t="e">
        <f aca="false">AND(#REF!,"AAAAAEv+90Y=")</f>
        <v>#VALUE!</v>
      </c>
      <c r="BT92" s="22" t="e">
        <f aca="false">AND(#REF!,"AAAAAEv+90c=")</f>
        <v>#VALUE!</v>
      </c>
      <c r="BU92" s="22" t="e">
        <f aca="false">AND(#REF!,"AAAAAEv+90g=")</f>
        <v>#VALUE!</v>
      </c>
      <c r="BV92" s="22" t="e">
        <f aca="false">AND(#REF!,"AAAAAEv+90k=")</f>
        <v>#VALUE!</v>
      </c>
      <c r="BW92" s="22" t="e">
        <f aca="false">AND(#REF!,"AAAAAEv+90o=")</f>
        <v>#VALUE!</v>
      </c>
      <c r="BX92" s="22" t="e">
        <f aca="false">AND(#REF!,"AAAAAEv+90s=")</f>
        <v>#VALUE!</v>
      </c>
      <c r="BY92" s="22" t="e">
        <f aca="false">AND(#REF!,"AAAAAEv+90w=")</f>
        <v>#VALUE!</v>
      </c>
      <c r="BZ92" s="22" t="e">
        <f aca="false">IF(#REF!,"AAAAAEv+900=",0)</f>
        <v>#REF!</v>
      </c>
      <c r="CA92" s="22" t="e">
        <f aca="false">AND(#REF!,"AAAAAEv+904=")</f>
        <v>#VALUE!</v>
      </c>
      <c r="CB92" s="22" t="e">
        <f aca="false">AND(#REF!,"AAAAAEv+908=")</f>
        <v>#VALUE!</v>
      </c>
      <c r="CC92" s="22" t="e">
        <f aca="false">AND(#REF!,"AAAAAEv+91A=")</f>
        <v>#VALUE!</v>
      </c>
      <c r="CD92" s="22" t="e">
        <f aca="false">AND(#REF!,"AAAAAEv+91E=")</f>
        <v>#VALUE!</v>
      </c>
      <c r="CE92" s="22" t="e">
        <f aca="false">AND(#REF!,"AAAAAEv+91I=")</f>
        <v>#VALUE!</v>
      </c>
      <c r="CF92" s="22" t="e">
        <f aca="false">AND(#REF!,"AAAAAEv+91M=")</f>
        <v>#VALUE!</v>
      </c>
      <c r="CG92" s="22" t="e">
        <f aca="false">AND(#REF!,"AAAAAEv+91Q=")</f>
        <v>#VALUE!</v>
      </c>
      <c r="CH92" s="22" t="e">
        <f aca="false">AND(#REF!,"AAAAAEv+91U=")</f>
        <v>#VALUE!</v>
      </c>
      <c r="CI92" s="22" t="e">
        <f aca="false">IF(#REF!,"AAAAAEv+91Y=",0)</f>
        <v>#REF!</v>
      </c>
      <c r="CJ92" s="22" t="e">
        <f aca="false">AND(#REF!,"AAAAAEv+91c=")</f>
        <v>#VALUE!</v>
      </c>
      <c r="CK92" s="22" t="e">
        <f aca="false">AND(#REF!,"AAAAAEv+91g=")</f>
        <v>#VALUE!</v>
      </c>
      <c r="CL92" s="22" t="e">
        <f aca="false">AND(#REF!,"AAAAAEv+91k=")</f>
        <v>#VALUE!</v>
      </c>
      <c r="CM92" s="22" t="e">
        <f aca="false">AND(#REF!,"AAAAAEv+91o=")</f>
        <v>#VALUE!</v>
      </c>
      <c r="CN92" s="22" t="e">
        <f aca="false">AND(#REF!,"AAAAAEv+91s=")</f>
        <v>#VALUE!</v>
      </c>
      <c r="CO92" s="22" t="e">
        <f aca="false">AND(#REF!,"AAAAAEv+91w=")</f>
        <v>#VALUE!</v>
      </c>
      <c r="CP92" s="22" t="e">
        <f aca="false">AND(#REF!,"AAAAAEv+910=")</f>
        <v>#VALUE!</v>
      </c>
      <c r="CQ92" s="22" t="e">
        <f aca="false">AND(#REF!,"AAAAAEv+914=")</f>
        <v>#VALUE!</v>
      </c>
      <c r="CR92" s="22" t="e">
        <f aca="false">IF(#REF!,"AAAAAEv+918=",0)</f>
        <v>#REF!</v>
      </c>
      <c r="CS92" s="22" t="e">
        <f aca="false">AND(#REF!,"AAAAAEv+92A=")</f>
        <v>#VALUE!</v>
      </c>
      <c r="CT92" s="22" t="e">
        <f aca="false">AND(#REF!,"AAAAAEv+92E=")</f>
        <v>#VALUE!</v>
      </c>
      <c r="CU92" s="22" t="e">
        <f aca="false">AND(#REF!,"AAAAAEv+92I=")</f>
        <v>#VALUE!</v>
      </c>
      <c r="CV92" s="22" t="e">
        <f aca="false">AND(#REF!,"AAAAAEv+92M=")</f>
        <v>#VALUE!</v>
      </c>
      <c r="CW92" s="22" t="e">
        <f aca="false">AND(#REF!,"AAAAAEv+92Q=")</f>
        <v>#VALUE!</v>
      </c>
      <c r="CX92" s="22" t="e">
        <f aca="false">AND(#REF!,"AAAAAEv+92U=")</f>
        <v>#VALUE!</v>
      </c>
      <c r="CY92" s="22" t="e">
        <f aca="false">AND(#REF!,"AAAAAEv+92Y=")</f>
        <v>#VALUE!</v>
      </c>
      <c r="CZ92" s="22" t="e">
        <f aca="false">AND(#REF!,"AAAAAEv+92c=")</f>
        <v>#VALUE!</v>
      </c>
      <c r="DA92" s="22" t="e">
        <f aca="false">IF(#REF!,"AAAAAEv+92g=",0)</f>
        <v>#REF!</v>
      </c>
      <c r="DB92" s="22" t="e">
        <f aca="false">AND(#REF!,"AAAAAEv+92k=")</f>
        <v>#VALUE!</v>
      </c>
      <c r="DC92" s="22" t="e">
        <f aca="false">AND(#REF!,"AAAAAEv+92o=")</f>
        <v>#VALUE!</v>
      </c>
      <c r="DD92" s="22" t="e">
        <f aca="false">AND(#REF!,"AAAAAEv+92s=")</f>
        <v>#VALUE!</v>
      </c>
      <c r="DE92" s="22" t="e">
        <f aca="false">AND(#REF!,"AAAAAEv+92w=")</f>
        <v>#VALUE!</v>
      </c>
      <c r="DF92" s="22" t="e">
        <f aca="false">AND(#REF!,"AAAAAEv+920=")</f>
        <v>#VALUE!</v>
      </c>
      <c r="DG92" s="22" t="e">
        <f aca="false">AND(#REF!,"AAAAAEv+924=")</f>
        <v>#VALUE!</v>
      </c>
      <c r="DH92" s="22" t="e">
        <f aca="false">AND(#REF!,"AAAAAEv+928=")</f>
        <v>#VALUE!</v>
      </c>
      <c r="DI92" s="22" t="e">
        <f aca="false">AND(#REF!,"AAAAAEv+93A=")</f>
        <v>#VALUE!</v>
      </c>
      <c r="DJ92" s="22" t="e">
        <f aca="false">IF(#REF!,"AAAAAEv+93E=",0)</f>
        <v>#REF!</v>
      </c>
      <c r="DK92" s="22" t="e">
        <f aca="false">AND(#REF!,"AAAAAEv+93I=")</f>
        <v>#VALUE!</v>
      </c>
      <c r="DL92" s="22" t="e">
        <f aca="false">AND(#REF!,"AAAAAEv+93M=")</f>
        <v>#VALUE!</v>
      </c>
      <c r="DM92" s="22" t="e">
        <f aca="false">AND(#REF!,"AAAAAEv+93Q=")</f>
        <v>#VALUE!</v>
      </c>
      <c r="DN92" s="22" t="e">
        <f aca="false">AND(#REF!,"AAAAAEv+93U=")</f>
        <v>#VALUE!</v>
      </c>
      <c r="DO92" s="22" t="e">
        <f aca="false">AND(#REF!,"AAAAAEv+93Y=")</f>
        <v>#VALUE!</v>
      </c>
      <c r="DP92" s="22" t="e">
        <f aca="false">AND(#REF!,"AAAAAEv+93c=")</f>
        <v>#VALUE!</v>
      </c>
      <c r="DQ92" s="22" t="e">
        <f aca="false">AND(#REF!,"AAAAAEv+93g=")</f>
        <v>#VALUE!</v>
      </c>
      <c r="DR92" s="22" t="e">
        <f aca="false">AND(#REF!,"AAAAAEv+93k=")</f>
        <v>#VALUE!</v>
      </c>
      <c r="DS92" s="22" t="e">
        <f aca="false">IF(#REF!,"AAAAAEv+93o=",0)</f>
        <v>#REF!</v>
      </c>
      <c r="DT92" s="22" t="e">
        <f aca="false">AND(#REF!,"AAAAAEv+93s=")</f>
        <v>#VALUE!</v>
      </c>
      <c r="DU92" s="22" t="e">
        <f aca="false">AND(#REF!,"AAAAAEv+93w=")</f>
        <v>#VALUE!</v>
      </c>
      <c r="DV92" s="22" t="e">
        <f aca="false">AND(#REF!,"AAAAAEv+930=")</f>
        <v>#VALUE!</v>
      </c>
      <c r="DW92" s="22" t="e">
        <f aca="false">AND(#REF!,"AAAAAEv+934=")</f>
        <v>#VALUE!</v>
      </c>
      <c r="DX92" s="22" t="e">
        <f aca="false">AND(#REF!,"AAAAAEv+938=")</f>
        <v>#VALUE!</v>
      </c>
      <c r="DY92" s="22" t="e">
        <f aca="false">AND(#REF!,"AAAAAEv+94A=")</f>
        <v>#VALUE!</v>
      </c>
      <c r="DZ92" s="22" t="e">
        <f aca="false">AND(#REF!,"AAAAAEv+94E=")</f>
        <v>#VALUE!</v>
      </c>
      <c r="EA92" s="22" t="e">
        <f aca="false">AND(#REF!,"AAAAAEv+94I=")</f>
        <v>#VALUE!</v>
      </c>
      <c r="EB92" s="22" t="e">
        <f aca="false">IF(#REF!,"AAAAAEv+94M=",0)</f>
        <v>#REF!</v>
      </c>
      <c r="EC92" s="22" t="e">
        <f aca="false">AND(#REF!,"AAAAAEv+94Q=")</f>
        <v>#VALUE!</v>
      </c>
      <c r="ED92" s="22" t="e">
        <f aca="false">AND(#REF!,"AAAAAEv+94U=")</f>
        <v>#VALUE!</v>
      </c>
      <c r="EE92" s="22" t="e">
        <f aca="false">AND(#REF!,"AAAAAEv+94Y=")</f>
        <v>#VALUE!</v>
      </c>
      <c r="EF92" s="22" t="e">
        <f aca="false">AND(#REF!,"AAAAAEv+94c=")</f>
        <v>#VALUE!</v>
      </c>
      <c r="EG92" s="22" t="e">
        <f aca="false">AND(#REF!,"AAAAAEv+94g=")</f>
        <v>#VALUE!</v>
      </c>
      <c r="EH92" s="22" t="e">
        <f aca="false">AND(#REF!,"AAAAAEv+94k=")</f>
        <v>#VALUE!</v>
      </c>
      <c r="EI92" s="22" t="e">
        <f aca="false">AND(#REF!,"AAAAAEv+94o=")</f>
        <v>#VALUE!</v>
      </c>
      <c r="EJ92" s="22" t="e">
        <f aca="false">AND(#REF!,"AAAAAEv+94s=")</f>
        <v>#VALUE!</v>
      </c>
      <c r="EK92" s="22" t="e">
        <f aca="false">IF(#REF!,"AAAAAEv+94w=",0)</f>
        <v>#REF!</v>
      </c>
      <c r="EL92" s="22" t="e">
        <f aca="false">AND(#REF!,"AAAAAEv+940=")</f>
        <v>#VALUE!</v>
      </c>
      <c r="EM92" s="22" t="e">
        <f aca="false">AND(#REF!,"AAAAAEv+944=")</f>
        <v>#VALUE!</v>
      </c>
      <c r="EN92" s="22" t="e">
        <f aca="false">AND(#REF!,"AAAAAEv+948=")</f>
        <v>#VALUE!</v>
      </c>
      <c r="EO92" s="22" t="e">
        <f aca="false">AND(#REF!,"AAAAAEv+95A=")</f>
        <v>#VALUE!</v>
      </c>
      <c r="EP92" s="22" t="e">
        <f aca="false">AND(#REF!,"AAAAAEv+95E=")</f>
        <v>#VALUE!</v>
      </c>
      <c r="EQ92" s="22" t="e">
        <f aca="false">AND(#REF!,"AAAAAEv+95I=")</f>
        <v>#VALUE!</v>
      </c>
      <c r="ER92" s="22" t="e">
        <f aca="false">AND(#REF!,"AAAAAEv+95M=")</f>
        <v>#VALUE!</v>
      </c>
      <c r="ES92" s="22" t="e">
        <f aca="false">AND(#REF!,"AAAAAEv+95Q=")</f>
        <v>#VALUE!</v>
      </c>
      <c r="ET92" s="22" t="e">
        <f aca="false">IF(#REF!,"AAAAAEv+95U=",0)</f>
        <v>#REF!</v>
      </c>
      <c r="EU92" s="22" t="e">
        <f aca="false">AND(#REF!,"AAAAAEv+95Y=")</f>
        <v>#VALUE!</v>
      </c>
      <c r="EV92" s="22" t="e">
        <f aca="false">AND(#REF!,"AAAAAEv+95c=")</f>
        <v>#VALUE!</v>
      </c>
      <c r="EW92" s="22" t="e">
        <f aca="false">AND(#REF!,"AAAAAEv+95g=")</f>
        <v>#VALUE!</v>
      </c>
      <c r="EX92" s="22" t="e">
        <f aca="false">AND(#REF!,"AAAAAEv+95k=")</f>
        <v>#VALUE!</v>
      </c>
      <c r="EY92" s="22" t="e">
        <f aca="false">AND(#REF!,"AAAAAEv+95o=")</f>
        <v>#VALUE!</v>
      </c>
      <c r="EZ92" s="22" t="e">
        <f aca="false">AND(#REF!,"AAAAAEv+95s=")</f>
        <v>#VALUE!</v>
      </c>
      <c r="FA92" s="22" t="e">
        <f aca="false">AND(#REF!,"AAAAAEv+95w=")</f>
        <v>#VALUE!</v>
      </c>
      <c r="FB92" s="22" t="e">
        <f aca="false">AND(#REF!,"AAAAAEv+950=")</f>
        <v>#VALUE!</v>
      </c>
      <c r="FC92" s="22" t="e">
        <f aca="false">IF(#REF!,"AAAAAEv+954=",0)</f>
        <v>#REF!</v>
      </c>
      <c r="FD92" s="22" t="e">
        <f aca="false">AND(#REF!,"AAAAAEv+958=")</f>
        <v>#VALUE!</v>
      </c>
      <c r="FE92" s="22" t="e">
        <f aca="false">AND(#REF!,"AAAAAEv+96A=")</f>
        <v>#VALUE!</v>
      </c>
      <c r="FF92" s="22" t="e">
        <f aca="false">AND(#REF!,"AAAAAEv+96E=")</f>
        <v>#VALUE!</v>
      </c>
      <c r="FG92" s="22" t="e">
        <f aca="false">AND(#REF!,"AAAAAEv+96I=")</f>
        <v>#VALUE!</v>
      </c>
      <c r="FH92" s="22" t="e">
        <f aca="false">AND(#REF!,"AAAAAEv+96M=")</f>
        <v>#VALUE!</v>
      </c>
      <c r="FI92" s="22" t="e">
        <f aca="false">AND(#REF!,"AAAAAEv+96Q=")</f>
        <v>#VALUE!</v>
      </c>
      <c r="FJ92" s="22" t="e">
        <f aca="false">AND(#REF!,"AAAAAEv+96U=")</f>
        <v>#VALUE!</v>
      </c>
      <c r="FK92" s="22" t="e">
        <f aca="false">AND(#REF!,"AAAAAEv+96Y=")</f>
        <v>#VALUE!</v>
      </c>
      <c r="FL92" s="22" t="e">
        <f aca="false">IF(#REF!,"AAAAAEv+96c=",0)</f>
        <v>#REF!</v>
      </c>
      <c r="FM92" s="22" t="e">
        <f aca="false">AND(#REF!,"AAAAAEv+96g=")</f>
        <v>#VALUE!</v>
      </c>
      <c r="FN92" s="22" t="e">
        <f aca="false">AND(#REF!,"AAAAAEv+96k=")</f>
        <v>#VALUE!</v>
      </c>
      <c r="FO92" s="22" t="e">
        <f aca="false">AND(#REF!,"AAAAAEv+96o=")</f>
        <v>#VALUE!</v>
      </c>
      <c r="FP92" s="22" t="e">
        <f aca="false">AND(#REF!,"AAAAAEv+96s=")</f>
        <v>#VALUE!</v>
      </c>
      <c r="FQ92" s="22" t="e">
        <f aca="false">AND(#REF!,"AAAAAEv+96w=")</f>
        <v>#VALUE!</v>
      </c>
      <c r="FR92" s="22" t="e">
        <f aca="false">AND(#REF!,"AAAAAEv+960=")</f>
        <v>#VALUE!</v>
      </c>
      <c r="FS92" s="22" t="e">
        <f aca="false">AND(#REF!,"AAAAAEv+964=")</f>
        <v>#VALUE!</v>
      </c>
      <c r="FT92" s="22" t="e">
        <f aca="false">AND(#REF!,"AAAAAEv+968=")</f>
        <v>#VALUE!</v>
      </c>
      <c r="FU92" s="22" t="e">
        <f aca="false">IF(#REF!,"AAAAAEv+97A=",0)</f>
        <v>#REF!</v>
      </c>
      <c r="FV92" s="22" t="e">
        <f aca="false">AND(#REF!,"AAAAAEv+97E=")</f>
        <v>#VALUE!</v>
      </c>
      <c r="FW92" s="22" t="e">
        <f aca="false">AND(#REF!,"AAAAAEv+97I=")</f>
        <v>#VALUE!</v>
      </c>
      <c r="FX92" s="22" t="e">
        <f aca="false">AND(#REF!,"AAAAAEv+97M=")</f>
        <v>#VALUE!</v>
      </c>
      <c r="FY92" s="22" t="e">
        <f aca="false">AND(#REF!,"AAAAAEv+97Q=")</f>
        <v>#VALUE!</v>
      </c>
      <c r="FZ92" s="22" t="e">
        <f aca="false">AND(#REF!,"AAAAAEv+97U=")</f>
        <v>#VALUE!</v>
      </c>
      <c r="GA92" s="22" t="e">
        <f aca="false">AND(#REF!,"AAAAAEv+97Y=")</f>
        <v>#VALUE!</v>
      </c>
      <c r="GB92" s="22" t="e">
        <f aca="false">AND(#REF!,"AAAAAEv+97c=")</f>
        <v>#VALUE!</v>
      </c>
      <c r="GC92" s="22" t="e">
        <f aca="false">AND(#REF!,"AAAAAEv+97g=")</f>
        <v>#VALUE!</v>
      </c>
      <c r="GD92" s="22" t="e">
        <f aca="false">IF(#REF!,"AAAAAEv+97k=",0)</f>
        <v>#REF!</v>
      </c>
      <c r="GE92" s="22" t="e">
        <f aca="false">AND(#REF!,"AAAAAEv+97o=")</f>
        <v>#VALUE!</v>
      </c>
      <c r="GF92" s="22" t="e">
        <f aca="false">AND(#REF!,"AAAAAEv+97s=")</f>
        <v>#VALUE!</v>
      </c>
      <c r="GG92" s="22" t="e">
        <f aca="false">AND(#REF!,"AAAAAEv+97w=")</f>
        <v>#VALUE!</v>
      </c>
      <c r="GH92" s="22" t="e">
        <f aca="false">AND(#REF!,"AAAAAEv+970=")</f>
        <v>#VALUE!</v>
      </c>
      <c r="GI92" s="22" t="e">
        <f aca="false">AND(#REF!,"AAAAAEv+974=")</f>
        <v>#VALUE!</v>
      </c>
      <c r="GJ92" s="22" t="e">
        <f aca="false">AND(#REF!,"AAAAAEv+978=")</f>
        <v>#VALUE!</v>
      </c>
      <c r="GK92" s="22" t="e">
        <f aca="false">AND(#REF!,"AAAAAEv+98A=")</f>
        <v>#VALUE!</v>
      </c>
      <c r="GL92" s="22" t="e">
        <f aca="false">AND(#REF!,"AAAAAEv+98E=")</f>
        <v>#VALUE!</v>
      </c>
      <c r="GM92" s="22" t="e">
        <f aca="false">IF(#REF!,"AAAAAEv+98I=",0)</f>
        <v>#REF!</v>
      </c>
      <c r="GN92" s="22" t="e">
        <f aca="false">AND(#REF!,"AAAAAEv+98M=")</f>
        <v>#VALUE!</v>
      </c>
      <c r="GO92" s="22" t="e">
        <f aca="false">AND(#REF!,"AAAAAEv+98Q=")</f>
        <v>#VALUE!</v>
      </c>
      <c r="GP92" s="22" t="e">
        <f aca="false">AND(#REF!,"AAAAAEv+98U=")</f>
        <v>#VALUE!</v>
      </c>
      <c r="GQ92" s="22" t="e">
        <f aca="false">AND(#REF!,"AAAAAEv+98Y=")</f>
        <v>#VALUE!</v>
      </c>
      <c r="GR92" s="22" t="e">
        <f aca="false">AND(#REF!,"AAAAAEv+98c=")</f>
        <v>#VALUE!</v>
      </c>
      <c r="GS92" s="22" t="e">
        <f aca="false">AND(#REF!,"AAAAAEv+98g=")</f>
        <v>#VALUE!</v>
      </c>
      <c r="GT92" s="22" t="e">
        <f aca="false">AND(#REF!,"AAAAAEv+98k=")</f>
        <v>#VALUE!</v>
      </c>
      <c r="GU92" s="22" t="e">
        <f aca="false">AND(#REF!,"AAAAAEv+98o=")</f>
        <v>#VALUE!</v>
      </c>
      <c r="GV92" s="22" t="e">
        <f aca="false">IF(#REF!,"AAAAAEv+98s=",0)</f>
        <v>#REF!</v>
      </c>
      <c r="GW92" s="22" t="e">
        <f aca="false">AND(#REF!,"AAAAAEv+98w=")</f>
        <v>#VALUE!</v>
      </c>
      <c r="GX92" s="22" t="e">
        <f aca="false">AND(#REF!,"AAAAAEv+980=")</f>
        <v>#VALUE!</v>
      </c>
      <c r="GY92" s="22" t="e">
        <f aca="false">AND(#REF!,"AAAAAEv+984=")</f>
        <v>#VALUE!</v>
      </c>
      <c r="GZ92" s="22" t="e">
        <f aca="false">AND(#REF!,"AAAAAEv+988=")</f>
        <v>#VALUE!</v>
      </c>
      <c r="HA92" s="22" t="e">
        <f aca="false">AND(#REF!,"AAAAAEv+99A=")</f>
        <v>#VALUE!</v>
      </c>
      <c r="HB92" s="22" t="e">
        <f aca="false">AND(#REF!,"AAAAAEv+99E=")</f>
        <v>#VALUE!</v>
      </c>
      <c r="HC92" s="22" t="e">
        <f aca="false">AND(#REF!,"AAAAAEv+99I=")</f>
        <v>#VALUE!</v>
      </c>
      <c r="HD92" s="22" t="e">
        <f aca="false">AND(#REF!,"AAAAAEv+99M=")</f>
        <v>#VALUE!</v>
      </c>
      <c r="HE92" s="22" t="e">
        <f aca="false">IF(#REF!,"AAAAAEv+99Q=",0)</f>
        <v>#REF!</v>
      </c>
      <c r="HF92" s="22" t="e">
        <f aca="false">AND(#REF!,"AAAAAEv+99U=")</f>
        <v>#VALUE!</v>
      </c>
      <c r="HG92" s="22" t="e">
        <f aca="false">AND(#REF!,"AAAAAEv+99Y=")</f>
        <v>#VALUE!</v>
      </c>
      <c r="HH92" s="22" t="e">
        <f aca="false">AND(#REF!,"AAAAAEv+99c=")</f>
        <v>#VALUE!</v>
      </c>
      <c r="HI92" s="22" t="e">
        <f aca="false">AND(#REF!,"AAAAAEv+99g=")</f>
        <v>#VALUE!</v>
      </c>
      <c r="HJ92" s="22" t="e">
        <f aca="false">AND(#REF!,"AAAAAEv+99k=")</f>
        <v>#VALUE!</v>
      </c>
      <c r="HK92" s="22" t="e">
        <f aca="false">AND(#REF!,"AAAAAEv+99o=")</f>
        <v>#VALUE!</v>
      </c>
      <c r="HL92" s="22" t="e">
        <f aca="false">AND(#REF!,"AAAAAEv+99s=")</f>
        <v>#VALUE!</v>
      </c>
      <c r="HM92" s="22" t="e">
        <f aca="false">AND(#REF!,"AAAAAEv+99w=")</f>
        <v>#VALUE!</v>
      </c>
      <c r="HN92" s="22" t="e">
        <f aca="false">IF(#REF!,"AAAAAEv+990=",0)</f>
        <v>#REF!</v>
      </c>
      <c r="HO92" s="22" t="e">
        <f aca="false">AND(#REF!,"AAAAAEv+994=")</f>
        <v>#VALUE!</v>
      </c>
      <c r="HP92" s="22" t="e">
        <f aca="false">AND(#REF!,"AAAAAEv+998=")</f>
        <v>#VALUE!</v>
      </c>
      <c r="HQ92" s="22" t="e">
        <f aca="false">AND(#REF!,"AAAAAEv+9+A=")</f>
        <v>#VALUE!</v>
      </c>
      <c r="HR92" s="22" t="e">
        <f aca="false">AND(#REF!,"AAAAAEv+9+E=")</f>
        <v>#VALUE!</v>
      </c>
      <c r="HS92" s="22" t="e">
        <f aca="false">AND(#REF!,"AAAAAEv+9+I=")</f>
        <v>#VALUE!</v>
      </c>
      <c r="HT92" s="22" t="e">
        <f aca="false">AND(#REF!,"AAAAAEv+9+M=")</f>
        <v>#VALUE!</v>
      </c>
      <c r="HU92" s="22" t="e">
        <f aca="false">AND(#REF!,"AAAAAEv+9+Q=")</f>
        <v>#VALUE!</v>
      </c>
      <c r="HV92" s="22" t="e">
        <f aca="false">AND(#REF!,"AAAAAEv+9+U=")</f>
        <v>#VALUE!</v>
      </c>
      <c r="HW92" s="22" t="e">
        <f aca="false">IF(#REF!,"AAAAAEv+9+Y=",0)</f>
        <v>#REF!</v>
      </c>
      <c r="HX92" s="22" t="e">
        <f aca="false">AND(#REF!,"AAAAAEv+9+c=")</f>
        <v>#VALUE!</v>
      </c>
      <c r="HY92" s="22" t="e">
        <f aca="false">AND(#REF!,"AAAAAEv+9+g=")</f>
        <v>#VALUE!</v>
      </c>
      <c r="HZ92" s="22" t="e">
        <f aca="false">AND(#REF!,"AAAAAEv+9+k=")</f>
        <v>#VALUE!</v>
      </c>
      <c r="IA92" s="22" t="e">
        <f aca="false">AND(#REF!,"AAAAAEv+9+o=")</f>
        <v>#VALUE!</v>
      </c>
      <c r="IB92" s="22" t="e">
        <f aca="false">AND(#REF!,"AAAAAEv+9+s=")</f>
        <v>#VALUE!</v>
      </c>
      <c r="IC92" s="22" t="e">
        <f aca="false">AND(#REF!,"AAAAAEv+9+w=")</f>
        <v>#VALUE!</v>
      </c>
      <c r="ID92" s="22" t="e">
        <f aca="false">AND(#REF!,"AAAAAEv+9+0=")</f>
        <v>#VALUE!</v>
      </c>
      <c r="IE92" s="22" t="e">
        <f aca="false">AND(#REF!,"AAAAAEv+9+4=")</f>
        <v>#VALUE!</v>
      </c>
      <c r="IF92" s="22" t="e">
        <f aca="false">IF(#REF!,"AAAAAEv+9+8=",0)</f>
        <v>#REF!</v>
      </c>
      <c r="IG92" s="22" t="e">
        <f aca="false">AND(#REF!,"AAAAAEv+9/A=")</f>
        <v>#VALUE!</v>
      </c>
      <c r="IH92" s="22" t="e">
        <f aca="false">AND(#REF!,"AAAAAEv+9/E=")</f>
        <v>#VALUE!</v>
      </c>
      <c r="II92" s="22" t="e">
        <f aca="false">AND(#REF!,"AAAAAEv+9/I=")</f>
        <v>#VALUE!</v>
      </c>
      <c r="IJ92" s="22" t="e">
        <f aca="false">AND(#REF!,"AAAAAEv+9/M=")</f>
        <v>#VALUE!</v>
      </c>
      <c r="IK92" s="22" t="e">
        <f aca="false">AND(#REF!,"AAAAAEv+9/Q=")</f>
        <v>#VALUE!</v>
      </c>
      <c r="IL92" s="22" t="e">
        <f aca="false">AND(#REF!,"AAAAAEv+9/U=")</f>
        <v>#VALUE!</v>
      </c>
      <c r="IM92" s="22" t="e">
        <f aca="false">AND(#REF!,"AAAAAEv+9/Y=")</f>
        <v>#VALUE!</v>
      </c>
      <c r="IN92" s="22" t="e">
        <f aca="false">AND(#REF!,"AAAAAEv+9/c=")</f>
        <v>#VALUE!</v>
      </c>
      <c r="IO92" s="22" t="e">
        <f aca="false">IF(#REF!,"AAAAAEv+9/g=",0)</f>
        <v>#REF!</v>
      </c>
      <c r="IP92" s="22" t="e">
        <f aca="false">AND(#REF!,"AAAAAEv+9/k=")</f>
        <v>#VALUE!</v>
      </c>
      <c r="IQ92" s="22" t="e">
        <f aca="false">AND(#REF!,"AAAAAEv+9/o=")</f>
        <v>#VALUE!</v>
      </c>
      <c r="IR92" s="22" t="e">
        <f aca="false">AND(#REF!,"AAAAAEv+9/s=")</f>
        <v>#VALUE!</v>
      </c>
      <c r="IS92" s="22" t="e">
        <f aca="false">AND(#REF!,"AAAAAEv+9/w=")</f>
        <v>#VALUE!</v>
      </c>
      <c r="IT92" s="22" t="e">
        <f aca="false">AND(#REF!,"AAAAAEv+9/0=")</f>
        <v>#VALUE!</v>
      </c>
      <c r="IU92" s="22" t="e">
        <f aca="false">AND(#REF!,"AAAAAEv+9/4=")</f>
        <v>#VALUE!</v>
      </c>
      <c r="IV92" s="22" t="e">
        <f aca="false">AND(#REF!,"AAAAAEv+9/8=")</f>
        <v>#VALUE!</v>
      </c>
    </row>
    <row r="93" customFormat="false" ht="12.75" hidden="false" customHeight="false" outlineLevel="0" collapsed="false">
      <c r="A93" s="22" t="e">
        <f aca="false">AND(#REF!,"AAAAAGvb1AA=")</f>
        <v>#VALUE!</v>
      </c>
      <c r="B93" s="22" t="e">
        <f aca="false">IF(#REF!,"AAAAAGvb1AE=",0)</f>
        <v>#REF!</v>
      </c>
      <c r="C93" s="22" t="e">
        <f aca="false">AND(#REF!,"AAAAAGvb1AI=")</f>
        <v>#VALUE!</v>
      </c>
      <c r="D93" s="22" t="e">
        <f aca="false">AND(#REF!,"AAAAAGvb1AM=")</f>
        <v>#VALUE!</v>
      </c>
      <c r="E93" s="22" t="e">
        <f aca="false">AND(#REF!,"AAAAAGvb1AQ=")</f>
        <v>#VALUE!</v>
      </c>
      <c r="F93" s="22" t="e">
        <f aca="false">AND(#REF!,"AAAAAGvb1AU=")</f>
        <v>#VALUE!</v>
      </c>
      <c r="G93" s="22" t="e">
        <f aca="false">AND(#REF!,"AAAAAGvb1AY=")</f>
        <v>#VALUE!</v>
      </c>
      <c r="H93" s="22" t="e">
        <f aca="false">AND(#REF!,"AAAAAGvb1Ac=")</f>
        <v>#VALUE!</v>
      </c>
      <c r="I93" s="22" t="e">
        <f aca="false">AND(#REF!,"AAAAAGvb1Ag=")</f>
        <v>#VALUE!</v>
      </c>
      <c r="J93" s="22" t="e">
        <f aca="false">AND(#REF!,"AAAAAGvb1Ak=")</f>
        <v>#VALUE!</v>
      </c>
      <c r="K93" s="22" t="e">
        <f aca="false">IF(#REF!,"AAAAAGvb1Ao=",0)</f>
        <v>#REF!</v>
      </c>
      <c r="L93" s="22" t="e">
        <f aca="false">AND(#REF!,"AAAAAGvb1As=")</f>
        <v>#VALUE!</v>
      </c>
      <c r="M93" s="22" t="e">
        <f aca="false">AND(#REF!,"AAAAAGvb1Aw=")</f>
        <v>#VALUE!</v>
      </c>
      <c r="N93" s="22" t="e">
        <f aca="false">AND(#REF!,"AAAAAGvb1A0=")</f>
        <v>#VALUE!</v>
      </c>
      <c r="O93" s="22" t="e">
        <f aca="false">AND(#REF!,"AAAAAGvb1A4=")</f>
        <v>#VALUE!</v>
      </c>
      <c r="P93" s="22" t="e">
        <f aca="false">AND(#REF!,"AAAAAGvb1A8=")</f>
        <v>#VALUE!</v>
      </c>
      <c r="Q93" s="22" t="e">
        <f aca="false">AND(#REF!,"AAAAAGvb1BA=")</f>
        <v>#VALUE!</v>
      </c>
      <c r="R93" s="22" t="e">
        <f aca="false">AND(#REF!,"AAAAAGvb1BE=")</f>
        <v>#VALUE!</v>
      </c>
      <c r="S93" s="22" t="e">
        <f aca="false">AND(#REF!,"AAAAAGvb1BI=")</f>
        <v>#VALUE!</v>
      </c>
      <c r="T93" s="22" t="e">
        <f aca="false">IF(#REF!,"AAAAAGvb1BM=",0)</f>
        <v>#REF!</v>
      </c>
      <c r="U93" s="22" t="e">
        <f aca="false">AND(#REF!,"AAAAAGvb1BQ=")</f>
        <v>#VALUE!</v>
      </c>
      <c r="V93" s="22" t="e">
        <f aca="false">AND(#REF!,"AAAAAGvb1BU=")</f>
        <v>#VALUE!</v>
      </c>
      <c r="W93" s="22" t="e">
        <f aca="false">AND(#REF!,"AAAAAGvb1BY=")</f>
        <v>#VALUE!</v>
      </c>
      <c r="X93" s="22" t="e">
        <f aca="false">AND(#REF!,"AAAAAGvb1Bc=")</f>
        <v>#VALUE!</v>
      </c>
      <c r="Y93" s="22" t="e">
        <f aca="false">AND(#REF!,"AAAAAGvb1Bg=")</f>
        <v>#VALUE!</v>
      </c>
      <c r="Z93" s="22" t="e">
        <f aca="false">AND(#REF!,"AAAAAGvb1Bk=")</f>
        <v>#VALUE!</v>
      </c>
      <c r="AA93" s="22" t="e">
        <f aca="false">AND(#REF!,"AAAAAGvb1Bo=")</f>
        <v>#VALUE!</v>
      </c>
      <c r="AB93" s="22" t="e">
        <f aca="false">AND(#REF!,"AAAAAGvb1Bs=")</f>
        <v>#VALUE!</v>
      </c>
      <c r="AC93" s="22" t="e">
        <f aca="false">IF(#REF!,"AAAAAGvb1Bw=",0)</f>
        <v>#REF!</v>
      </c>
      <c r="AD93" s="22" t="e">
        <f aca="false">AND(#REF!,"AAAAAGvb1B0=")</f>
        <v>#VALUE!</v>
      </c>
      <c r="AE93" s="22" t="e">
        <f aca="false">AND(#REF!,"AAAAAGvb1B4=")</f>
        <v>#VALUE!</v>
      </c>
      <c r="AF93" s="22" t="e">
        <f aca="false">AND(#REF!,"AAAAAGvb1B8=")</f>
        <v>#VALUE!</v>
      </c>
      <c r="AG93" s="22" t="e">
        <f aca="false">AND(#REF!,"AAAAAGvb1CA=")</f>
        <v>#VALUE!</v>
      </c>
      <c r="AH93" s="22" t="e">
        <f aca="false">AND(#REF!,"AAAAAGvb1CE=")</f>
        <v>#VALUE!</v>
      </c>
      <c r="AI93" s="22" t="e">
        <f aca="false">AND(#REF!,"AAAAAGvb1CI=")</f>
        <v>#VALUE!</v>
      </c>
      <c r="AJ93" s="22" t="e">
        <f aca="false">AND(#REF!,"AAAAAGvb1CM=")</f>
        <v>#VALUE!</v>
      </c>
      <c r="AK93" s="22" t="e">
        <f aca="false">AND(#REF!,"AAAAAGvb1CQ=")</f>
        <v>#VALUE!</v>
      </c>
      <c r="AL93" s="22" t="e">
        <f aca="false">IF(#REF!,"AAAAAGvb1CU=",0)</f>
        <v>#REF!</v>
      </c>
      <c r="AM93" s="22" t="e">
        <f aca="false">AND(#REF!,"AAAAAGvb1CY=")</f>
        <v>#VALUE!</v>
      </c>
      <c r="AN93" s="22" t="e">
        <f aca="false">AND(#REF!,"AAAAAGvb1Cc=")</f>
        <v>#VALUE!</v>
      </c>
      <c r="AO93" s="22" t="e">
        <f aca="false">AND(#REF!,"AAAAAGvb1Cg=")</f>
        <v>#VALUE!</v>
      </c>
      <c r="AP93" s="22" t="e">
        <f aca="false">AND(#REF!,"AAAAAGvb1Ck=")</f>
        <v>#VALUE!</v>
      </c>
      <c r="AQ93" s="22" t="e">
        <f aca="false">AND(#REF!,"AAAAAGvb1Co=")</f>
        <v>#VALUE!</v>
      </c>
      <c r="AR93" s="22" t="e">
        <f aca="false">AND(#REF!,"AAAAAGvb1Cs=")</f>
        <v>#VALUE!</v>
      </c>
      <c r="AS93" s="22" t="e">
        <f aca="false">AND(#REF!,"AAAAAGvb1Cw=")</f>
        <v>#VALUE!</v>
      </c>
      <c r="AT93" s="22" t="e">
        <f aca="false">AND(#REF!,"AAAAAGvb1C0=")</f>
        <v>#VALUE!</v>
      </c>
      <c r="AU93" s="22" t="e">
        <f aca="false">IF(#REF!,"AAAAAGvb1C4=",0)</f>
        <v>#REF!</v>
      </c>
      <c r="AV93" s="22" t="e">
        <f aca="false">AND(#REF!,"AAAAAGvb1C8=")</f>
        <v>#VALUE!</v>
      </c>
      <c r="AW93" s="22" t="e">
        <f aca="false">AND(#REF!,"AAAAAGvb1DA=")</f>
        <v>#VALUE!</v>
      </c>
      <c r="AX93" s="22" t="e">
        <f aca="false">AND(#REF!,"AAAAAGvb1DE=")</f>
        <v>#VALUE!</v>
      </c>
      <c r="AY93" s="22" t="e">
        <f aca="false">AND(#REF!,"AAAAAGvb1DI=")</f>
        <v>#VALUE!</v>
      </c>
      <c r="AZ93" s="22" t="e">
        <f aca="false">AND(#REF!,"AAAAAGvb1DM=")</f>
        <v>#VALUE!</v>
      </c>
      <c r="BA93" s="22" t="e">
        <f aca="false">AND(#REF!,"AAAAAGvb1DQ=")</f>
        <v>#VALUE!</v>
      </c>
      <c r="BB93" s="22" t="e">
        <f aca="false">AND(#REF!,"AAAAAGvb1DU=")</f>
        <v>#VALUE!</v>
      </c>
      <c r="BC93" s="22" t="e">
        <f aca="false">AND(#REF!,"AAAAAGvb1DY=")</f>
        <v>#VALUE!</v>
      </c>
      <c r="BD93" s="22" t="e">
        <f aca="false">IF(#REF!,"AAAAAGvb1Dc=",0)</f>
        <v>#REF!</v>
      </c>
      <c r="BE93" s="22" t="e">
        <f aca="false">AND(#REF!,"AAAAAGvb1Dg=")</f>
        <v>#VALUE!</v>
      </c>
      <c r="BF93" s="22" t="e">
        <f aca="false">AND(#REF!,"AAAAAGvb1Dk=")</f>
        <v>#VALUE!</v>
      </c>
      <c r="BG93" s="22" t="e">
        <f aca="false">AND(#REF!,"AAAAAGvb1Do=")</f>
        <v>#VALUE!</v>
      </c>
      <c r="BH93" s="22" t="e">
        <f aca="false">AND(#REF!,"AAAAAGvb1Ds=")</f>
        <v>#VALUE!</v>
      </c>
      <c r="BI93" s="22" t="e">
        <f aca="false">AND(#REF!,"AAAAAGvb1Dw=")</f>
        <v>#VALUE!</v>
      </c>
      <c r="BJ93" s="22" t="e">
        <f aca="false">AND(#REF!,"AAAAAGvb1D0=")</f>
        <v>#VALUE!</v>
      </c>
      <c r="BK93" s="22" t="e">
        <f aca="false">AND(#REF!,"AAAAAGvb1D4=")</f>
        <v>#VALUE!</v>
      </c>
      <c r="BL93" s="22" t="e">
        <f aca="false">AND(#REF!,"AAAAAGvb1D8=")</f>
        <v>#VALUE!</v>
      </c>
      <c r="BM93" s="22" t="e">
        <f aca="false">IF(#REF!,"AAAAAGvb1EA=",0)</f>
        <v>#REF!</v>
      </c>
      <c r="BN93" s="22" t="e">
        <f aca="false">AND(#REF!,"AAAAAGvb1EE=")</f>
        <v>#VALUE!</v>
      </c>
      <c r="BO93" s="22" t="e">
        <f aca="false">AND(#REF!,"AAAAAGvb1EI=")</f>
        <v>#VALUE!</v>
      </c>
      <c r="BP93" s="22" t="e">
        <f aca="false">AND(#REF!,"AAAAAGvb1EM=")</f>
        <v>#VALUE!</v>
      </c>
      <c r="BQ93" s="22" t="e">
        <f aca="false">AND(#REF!,"AAAAAGvb1EQ=")</f>
        <v>#VALUE!</v>
      </c>
      <c r="BR93" s="22" t="e">
        <f aca="false">AND(#REF!,"AAAAAGvb1EU=")</f>
        <v>#VALUE!</v>
      </c>
      <c r="BS93" s="22" t="e">
        <f aca="false">AND(#REF!,"AAAAAGvb1EY=")</f>
        <v>#VALUE!</v>
      </c>
      <c r="BT93" s="22" t="e">
        <f aca="false">AND(#REF!,"AAAAAGvb1Ec=")</f>
        <v>#VALUE!</v>
      </c>
      <c r="BU93" s="22" t="e">
        <f aca="false">AND(#REF!,"AAAAAGvb1Eg=")</f>
        <v>#VALUE!</v>
      </c>
      <c r="BV93" s="22" t="e">
        <f aca="false">IF(#REF!,"AAAAAGvb1Ek=",0)</f>
        <v>#REF!</v>
      </c>
      <c r="BW93" s="22" t="e">
        <f aca="false">AND(#REF!,"AAAAAGvb1Eo=")</f>
        <v>#VALUE!</v>
      </c>
      <c r="BX93" s="22" t="e">
        <f aca="false">AND(#REF!,"AAAAAGvb1Es=")</f>
        <v>#VALUE!</v>
      </c>
      <c r="BY93" s="22" t="e">
        <f aca="false">AND(#REF!,"AAAAAGvb1Ew=")</f>
        <v>#VALUE!</v>
      </c>
      <c r="BZ93" s="22" t="e">
        <f aca="false">AND(#REF!,"AAAAAGvb1E0=")</f>
        <v>#VALUE!</v>
      </c>
      <c r="CA93" s="22" t="e">
        <f aca="false">AND(#REF!,"AAAAAGvb1E4=")</f>
        <v>#VALUE!</v>
      </c>
      <c r="CB93" s="22" t="e">
        <f aca="false">AND(#REF!,"AAAAAGvb1E8=")</f>
        <v>#VALUE!</v>
      </c>
      <c r="CC93" s="22" t="e">
        <f aca="false">AND(#REF!,"AAAAAGvb1FA=")</f>
        <v>#VALUE!</v>
      </c>
      <c r="CD93" s="22" t="e">
        <f aca="false">AND(#REF!,"AAAAAGvb1FE=")</f>
        <v>#VALUE!</v>
      </c>
      <c r="CE93" s="22" t="e">
        <f aca="false">IF(#REF!,"AAAAAGvb1FI=",0)</f>
        <v>#REF!</v>
      </c>
      <c r="CF93" s="22" t="e">
        <f aca="false">AND(#REF!,"AAAAAGvb1FM=")</f>
        <v>#VALUE!</v>
      </c>
      <c r="CG93" s="22" t="e">
        <f aca="false">AND(#REF!,"AAAAAGvb1FQ=")</f>
        <v>#VALUE!</v>
      </c>
      <c r="CH93" s="22" t="e">
        <f aca="false">AND(#REF!,"AAAAAGvb1FU=")</f>
        <v>#VALUE!</v>
      </c>
      <c r="CI93" s="22" t="e">
        <f aca="false">AND(#REF!,"AAAAAGvb1FY=")</f>
        <v>#VALUE!</v>
      </c>
      <c r="CJ93" s="22" t="e">
        <f aca="false">AND(#REF!,"AAAAAGvb1Fc=")</f>
        <v>#VALUE!</v>
      </c>
      <c r="CK93" s="22" t="e">
        <f aca="false">AND(#REF!,"AAAAAGvb1Fg=")</f>
        <v>#VALUE!</v>
      </c>
      <c r="CL93" s="22" t="e">
        <f aca="false">AND(#REF!,"AAAAAGvb1Fk=")</f>
        <v>#VALUE!</v>
      </c>
      <c r="CM93" s="22" t="e">
        <f aca="false">AND(#REF!,"AAAAAGvb1Fo=")</f>
        <v>#VALUE!</v>
      </c>
      <c r="CN93" s="22" t="e">
        <f aca="false">IF(#REF!,"AAAAAGvb1Fs=",0)</f>
        <v>#REF!</v>
      </c>
      <c r="CO93" s="22" t="e">
        <f aca="false">AND(#REF!,"AAAAAGvb1Fw=")</f>
        <v>#VALUE!</v>
      </c>
      <c r="CP93" s="22" t="e">
        <f aca="false">AND(#REF!,"AAAAAGvb1F0=")</f>
        <v>#VALUE!</v>
      </c>
      <c r="CQ93" s="22" t="e">
        <f aca="false">AND(#REF!,"AAAAAGvb1F4=")</f>
        <v>#VALUE!</v>
      </c>
      <c r="CR93" s="22" t="e">
        <f aca="false">AND(#REF!,"AAAAAGvb1F8=")</f>
        <v>#VALUE!</v>
      </c>
      <c r="CS93" s="22" t="e">
        <f aca="false">AND(#REF!,"AAAAAGvb1GA=")</f>
        <v>#VALUE!</v>
      </c>
      <c r="CT93" s="22" t="e">
        <f aca="false">AND(#REF!,"AAAAAGvb1GE=")</f>
        <v>#VALUE!</v>
      </c>
      <c r="CU93" s="22" t="e">
        <f aca="false">AND(#REF!,"AAAAAGvb1GI=")</f>
        <v>#VALUE!</v>
      </c>
      <c r="CV93" s="22" t="e">
        <f aca="false">AND(#REF!,"AAAAAGvb1GM=")</f>
        <v>#VALUE!</v>
      </c>
      <c r="CW93" s="22" t="e">
        <f aca="false">IF(#REF!,"AAAAAGvb1GQ=",0)</f>
        <v>#REF!</v>
      </c>
      <c r="CX93" s="22" t="e">
        <f aca="false">AND(#REF!,"AAAAAGvb1GU=")</f>
        <v>#VALUE!</v>
      </c>
      <c r="CY93" s="22" t="e">
        <f aca="false">AND(#REF!,"AAAAAGvb1GY=")</f>
        <v>#VALUE!</v>
      </c>
      <c r="CZ93" s="22" t="e">
        <f aca="false">AND(#REF!,"AAAAAGvb1Gc=")</f>
        <v>#VALUE!</v>
      </c>
      <c r="DA93" s="22" t="e">
        <f aca="false">AND(#REF!,"AAAAAGvb1Gg=")</f>
        <v>#VALUE!</v>
      </c>
      <c r="DB93" s="22" t="e">
        <f aca="false">AND(#REF!,"AAAAAGvb1Gk=")</f>
        <v>#VALUE!</v>
      </c>
      <c r="DC93" s="22" t="e">
        <f aca="false">AND(#REF!,"AAAAAGvb1Go=")</f>
        <v>#VALUE!</v>
      </c>
      <c r="DD93" s="22" t="e">
        <f aca="false">AND(#REF!,"AAAAAGvb1Gs=")</f>
        <v>#VALUE!</v>
      </c>
      <c r="DE93" s="22" t="e">
        <f aca="false">AND(#REF!,"AAAAAGvb1Gw=")</f>
        <v>#VALUE!</v>
      </c>
      <c r="DF93" s="22" t="e">
        <f aca="false">IF(#REF!,"AAAAAGvb1G0=",0)</f>
        <v>#REF!</v>
      </c>
      <c r="DG93" s="22" t="e">
        <f aca="false">AND(#REF!,"AAAAAGvb1G4=")</f>
        <v>#VALUE!</v>
      </c>
      <c r="DH93" s="22" t="e">
        <f aca="false">AND(#REF!,"AAAAAGvb1G8=")</f>
        <v>#VALUE!</v>
      </c>
      <c r="DI93" s="22" t="e">
        <f aca="false">AND(#REF!,"AAAAAGvb1HA=")</f>
        <v>#VALUE!</v>
      </c>
      <c r="DJ93" s="22" t="e">
        <f aca="false">AND(#REF!,"AAAAAGvb1HE=")</f>
        <v>#VALUE!</v>
      </c>
      <c r="DK93" s="22" t="e">
        <f aca="false">AND(#REF!,"AAAAAGvb1HI=")</f>
        <v>#VALUE!</v>
      </c>
      <c r="DL93" s="22" t="e">
        <f aca="false">AND(#REF!,"AAAAAGvb1HM=")</f>
        <v>#VALUE!</v>
      </c>
      <c r="DM93" s="22" t="e">
        <f aca="false">AND(#REF!,"AAAAAGvb1HQ=")</f>
        <v>#VALUE!</v>
      </c>
      <c r="DN93" s="22" t="e">
        <f aca="false">AND(#REF!,"AAAAAGvb1HU=")</f>
        <v>#VALUE!</v>
      </c>
      <c r="DO93" s="22" t="e">
        <f aca="false">IF(#REF!,"AAAAAGvb1HY=",0)</f>
        <v>#REF!</v>
      </c>
      <c r="DP93" s="22" t="e">
        <f aca="false">AND(#REF!,"AAAAAGvb1Hc=")</f>
        <v>#VALUE!</v>
      </c>
      <c r="DQ93" s="22" t="e">
        <f aca="false">AND(#REF!,"AAAAAGvb1Hg=")</f>
        <v>#VALUE!</v>
      </c>
      <c r="DR93" s="22" t="e">
        <f aca="false">AND(#REF!,"AAAAAGvb1Hk=")</f>
        <v>#VALUE!</v>
      </c>
      <c r="DS93" s="22" t="e">
        <f aca="false">AND(#REF!,"AAAAAGvb1Ho=")</f>
        <v>#VALUE!</v>
      </c>
      <c r="DT93" s="22" t="e">
        <f aca="false">AND(#REF!,"AAAAAGvb1Hs=")</f>
        <v>#VALUE!</v>
      </c>
      <c r="DU93" s="22" t="e">
        <f aca="false">AND(#REF!,"AAAAAGvb1Hw=")</f>
        <v>#VALUE!</v>
      </c>
      <c r="DV93" s="22" t="e">
        <f aca="false">AND(#REF!,"AAAAAGvb1H0=")</f>
        <v>#VALUE!</v>
      </c>
      <c r="DW93" s="22" t="e">
        <f aca="false">AND(#REF!,"AAAAAGvb1H4=")</f>
        <v>#VALUE!</v>
      </c>
      <c r="DX93" s="22" t="e">
        <f aca="false">IF(#REF!,"AAAAAGvb1H8=",0)</f>
        <v>#REF!</v>
      </c>
      <c r="DY93" s="22" t="e">
        <f aca="false">AND(#REF!,"AAAAAGvb1IA=")</f>
        <v>#VALUE!</v>
      </c>
      <c r="DZ93" s="22" t="e">
        <f aca="false">AND(#REF!,"AAAAAGvb1IE=")</f>
        <v>#VALUE!</v>
      </c>
      <c r="EA93" s="22" t="e">
        <f aca="false">AND(#REF!,"AAAAAGvb1II=")</f>
        <v>#VALUE!</v>
      </c>
      <c r="EB93" s="22" t="e">
        <f aca="false">AND(#REF!,"AAAAAGvb1IM=")</f>
        <v>#VALUE!</v>
      </c>
      <c r="EC93" s="22" t="e">
        <f aca="false">AND(#REF!,"AAAAAGvb1IQ=")</f>
        <v>#VALUE!</v>
      </c>
      <c r="ED93" s="22" t="e">
        <f aca="false">AND(#REF!,"AAAAAGvb1IU=")</f>
        <v>#VALUE!</v>
      </c>
      <c r="EE93" s="22" t="e">
        <f aca="false">AND(#REF!,"AAAAAGvb1IY=")</f>
        <v>#VALUE!</v>
      </c>
      <c r="EF93" s="22" t="e">
        <f aca="false">AND(#REF!,"AAAAAGvb1Ic=")</f>
        <v>#VALUE!</v>
      </c>
      <c r="EG93" s="22" t="e">
        <f aca="false">IF(#REF!,"AAAAAGvb1Ig=",0)</f>
        <v>#REF!</v>
      </c>
      <c r="EH93" s="22" t="e">
        <f aca="false">AND(#REF!,"AAAAAGvb1Ik=")</f>
        <v>#VALUE!</v>
      </c>
      <c r="EI93" s="22" t="e">
        <f aca="false">AND(#REF!,"AAAAAGvb1Io=")</f>
        <v>#VALUE!</v>
      </c>
      <c r="EJ93" s="22" t="e">
        <f aca="false">AND(#REF!,"AAAAAGvb1Is=")</f>
        <v>#VALUE!</v>
      </c>
      <c r="EK93" s="22" t="e">
        <f aca="false">AND(#REF!,"AAAAAGvb1Iw=")</f>
        <v>#VALUE!</v>
      </c>
      <c r="EL93" s="22" t="e">
        <f aca="false">AND(#REF!,"AAAAAGvb1I0=")</f>
        <v>#VALUE!</v>
      </c>
      <c r="EM93" s="22" t="e">
        <f aca="false">AND(#REF!,"AAAAAGvb1I4=")</f>
        <v>#VALUE!</v>
      </c>
      <c r="EN93" s="22" t="e">
        <f aca="false">AND(#REF!,"AAAAAGvb1I8=")</f>
        <v>#VALUE!</v>
      </c>
      <c r="EO93" s="22" t="e">
        <f aca="false">AND(#REF!,"AAAAAGvb1JA=")</f>
        <v>#VALUE!</v>
      </c>
      <c r="EP93" s="22" t="e">
        <f aca="false">IF(#REF!,"AAAAAGvb1JE=",0)</f>
        <v>#REF!</v>
      </c>
      <c r="EQ93" s="22" t="e">
        <f aca="false">AND(#REF!,"AAAAAGvb1JI=")</f>
        <v>#VALUE!</v>
      </c>
      <c r="ER93" s="22" t="e">
        <f aca="false">AND(#REF!,"AAAAAGvb1JM=")</f>
        <v>#VALUE!</v>
      </c>
      <c r="ES93" s="22" t="e">
        <f aca="false">AND(#REF!,"AAAAAGvb1JQ=")</f>
        <v>#VALUE!</v>
      </c>
      <c r="ET93" s="22" t="e">
        <f aca="false">AND(#REF!,"AAAAAGvb1JU=")</f>
        <v>#VALUE!</v>
      </c>
      <c r="EU93" s="22" t="e">
        <f aca="false">AND(#REF!,"AAAAAGvb1JY=")</f>
        <v>#VALUE!</v>
      </c>
      <c r="EV93" s="22" t="e">
        <f aca="false">AND(#REF!,"AAAAAGvb1Jc=")</f>
        <v>#VALUE!</v>
      </c>
      <c r="EW93" s="22" t="e">
        <f aca="false">AND(#REF!,"AAAAAGvb1Jg=")</f>
        <v>#VALUE!</v>
      </c>
      <c r="EX93" s="22" t="e">
        <f aca="false">AND(#REF!,"AAAAAGvb1Jk=")</f>
        <v>#VALUE!</v>
      </c>
      <c r="EY93" s="22" t="e">
        <f aca="false">IF(#REF!,"AAAAAGvb1Jo=",0)</f>
        <v>#REF!</v>
      </c>
      <c r="EZ93" s="22" t="e">
        <f aca="false">AND(#REF!,"AAAAAGvb1Js=")</f>
        <v>#VALUE!</v>
      </c>
      <c r="FA93" s="22" t="e">
        <f aca="false">AND(#REF!,"AAAAAGvb1Jw=")</f>
        <v>#VALUE!</v>
      </c>
      <c r="FB93" s="22" t="e">
        <f aca="false">AND(#REF!,"AAAAAGvb1J0=")</f>
        <v>#VALUE!</v>
      </c>
      <c r="FC93" s="22" t="e">
        <f aca="false">AND(#REF!,"AAAAAGvb1J4=")</f>
        <v>#VALUE!</v>
      </c>
      <c r="FD93" s="22" t="e">
        <f aca="false">AND(#REF!,"AAAAAGvb1J8=")</f>
        <v>#VALUE!</v>
      </c>
      <c r="FE93" s="22" t="e">
        <f aca="false">AND(#REF!,"AAAAAGvb1KA=")</f>
        <v>#VALUE!</v>
      </c>
      <c r="FF93" s="22" t="e">
        <f aca="false">AND(#REF!,"AAAAAGvb1KE=")</f>
        <v>#VALUE!</v>
      </c>
      <c r="FG93" s="22" t="e">
        <f aca="false">AND(#REF!,"AAAAAGvb1KI=")</f>
        <v>#VALUE!</v>
      </c>
      <c r="FH93" s="22" t="e">
        <f aca="false">IF(#REF!,"AAAAAGvb1KM=",0)</f>
        <v>#REF!</v>
      </c>
      <c r="FI93" s="22" t="e">
        <f aca="false">AND(#REF!,"AAAAAGvb1KQ=")</f>
        <v>#VALUE!</v>
      </c>
      <c r="FJ93" s="22" t="e">
        <f aca="false">AND(#REF!,"AAAAAGvb1KU=")</f>
        <v>#VALUE!</v>
      </c>
      <c r="FK93" s="22" t="e">
        <f aca="false">AND(#REF!,"AAAAAGvb1KY=")</f>
        <v>#VALUE!</v>
      </c>
      <c r="FL93" s="22" t="e">
        <f aca="false">AND(#REF!,"AAAAAGvb1Kc=")</f>
        <v>#VALUE!</v>
      </c>
      <c r="FM93" s="22" t="e">
        <f aca="false">AND(#REF!,"AAAAAGvb1Kg=")</f>
        <v>#VALUE!</v>
      </c>
      <c r="FN93" s="22" t="e">
        <f aca="false">AND(#REF!,"AAAAAGvb1Kk=")</f>
        <v>#VALUE!</v>
      </c>
      <c r="FO93" s="22" t="e">
        <f aca="false">AND(#REF!,"AAAAAGvb1Ko=")</f>
        <v>#VALUE!</v>
      </c>
      <c r="FP93" s="22" t="e">
        <f aca="false">AND(#REF!,"AAAAAGvb1Ks=")</f>
        <v>#VALUE!</v>
      </c>
      <c r="FQ93" s="22" t="e">
        <f aca="false">IF(#REF!,"AAAAAGvb1Kw=",0)</f>
        <v>#REF!</v>
      </c>
      <c r="FR93" s="22" t="e">
        <f aca="false">AND(#REF!,"AAAAAGvb1K0=")</f>
        <v>#VALUE!</v>
      </c>
      <c r="FS93" s="22" t="e">
        <f aca="false">AND(#REF!,"AAAAAGvb1K4=")</f>
        <v>#VALUE!</v>
      </c>
      <c r="FT93" s="22" t="e">
        <f aca="false">AND(#REF!,"AAAAAGvb1K8=")</f>
        <v>#VALUE!</v>
      </c>
      <c r="FU93" s="22" t="e">
        <f aca="false">AND(#REF!,"AAAAAGvb1LA=")</f>
        <v>#VALUE!</v>
      </c>
      <c r="FV93" s="22" t="e">
        <f aca="false">AND(#REF!,"AAAAAGvb1LE=")</f>
        <v>#VALUE!</v>
      </c>
      <c r="FW93" s="22" t="e">
        <f aca="false">AND(#REF!,"AAAAAGvb1LI=")</f>
        <v>#VALUE!</v>
      </c>
      <c r="FX93" s="22" t="e">
        <f aca="false">AND(#REF!,"AAAAAGvb1LM=")</f>
        <v>#VALUE!</v>
      </c>
      <c r="FY93" s="22" t="e">
        <f aca="false">AND(#REF!,"AAAAAGvb1LQ=")</f>
        <v>#VALUE!</v>
      </c>
      <c r="FZ93" s="22" t="e">
        <f aca="false">IF(#REF!,"AAAAAGvb1LU=",0)</f>
        <v>#REF!</v>
      </c>
      <c r="GA93" s="22" t="e">
        <f aca="false">AND(#REF!,"AAAAAGvb1LY=")</f>
        <v>#VALUE!</v>
      </c>
      <c r="GB93" s="22" t="e">
        <f aca="false">AND(#REF!,"AAAAAGvb1Lc=")</f>
        <v>#VALUE!</v>
      </c>
      <c r="GC93" s="22" t="e">
        <f aca="false">AND(#REF!,"AAAAAGvb1Lg=")</f>
        <v>#VALUE!</v>
      </c>
      <c r="GD93" s="22" t="e">
        <f aca="false">AND(#REF!,"AAAAAGvb1Lk=")</f>
        <v>#VALUE!</v>
      </c>
      <c r="GE93" s="22" t="e">
        <f aca="false">AND(#REF!,"AAAAAGvb1Lo=")</f>
        <v>#VALUE!</v>
      </c>
      <c r="GF93" s="22" t="e">
        <f aca="false">AND(#REF!,"AAAAAGvb1Ls=")</f>
        <v>#VALUE!</v>
      </c>
      <c r="GG93" s="22" t="e">
        <f aca="false">AND(#REF!,"AAAAAGvb1Lw=")</f>
        <v>#VALUE!</v>
      </c>
      <c r="GH93" s="22" t="e">
        <f aca="false">AND(#REF!,"AAAAAGvb1L0=")</f>
        <v>#VALUE!</v>
      </c>
      <c r="GI93" s="22" t="e">
        <f aca="false">IF(#REF!,"AAAAAGvb1L4=",0)</f>
        <v>#REF!</v>
      </c>
      <c r="GJ93" s="22" t="e">
        <f aca="false">AND(#REF!,"AAAAAGvb1L8=")</f>
        <v>#VALUE!</v>
      </c>
      <c r="GK93" s="22" t="e">
        <f aca="false">AND(#REF!,"AAAAAGvb1MA=")</f>
        <v>#VALUE!</v>
      </c>
      <c r="GL93" s="22" t="e">
        <f aca="false">AND(#REF!,"AAAAAGvb1ME=")</f>
        <v>#VALUE!</v>
      </c>
      <c r="GM93" s="22" t="e">
        <f aca="false">AND(#REF!,"AAAAAGvb1MI=")</f>
        <v>#VALUE!</v>
      </c>
      <c r="GN93" s="22" t="e">
        <f aca="false">AND(#REF!,"AAAAAGvb1MM=")</f>
        <v>#VALUE!</v>
      </c>
      <c r="GO93" s="22" t="e">
        <f aca="false">AND(#REF!,"AAAAAGvb1MQ=")</f>
        <v>#VALUE!</v>
      </c>
      <c r="GP93" s="22" t="e">
        <f aca="false">AND(#REF!,"AAAAAGvb1MU=")</f>
        <v>#VALUE!</v>
      </c>
      <c r="GQ93" s="22" t="e">
        <f aca="false">AND(#REF!,"AAAAAGvb1MY=")</f>
        <v>#VALUE!</v>
      </c>
      <c r="GR93" s="22" t="e">
        <f aca="false">IF(#REF!,"AAAAAGvb1Mc=",0)</f>
        <v>#REF!</v>
      </c>
      <c r="GS93" s="22" t="e">
        <f aca="false">AND(#REF!,"AAAAAGvb1Mg=")</f>
        <v>#VALUE!</v>
      </c>
      <c r="GT93" s="22" t="e">
        <f aca="false">AND(#REF!,"AAAAAGvb1Mk=")</f>
        <v>#VALUE!</v>
      </c>
      <c r="GU93" s="22" t="e">
        <f aca="false">AND(#REF!,"AAAAAGvb1Mo=")</f>
        <v>#VALUE!</v>
      </c>
      <c r="GV93" s="22" t="e">
        <f aca="false">AND(#REF!,"AAAAAGvb1Ms=")</f>
        <v>#VALUE!</v>
      </c>
      <c r="GW93" s="22" t="e">
        <f aca="false">AND(#REF!,"AAAAAGvb1Mw=")</f>
        <v>#VALUE!</v>
      </c>
      <c r="GX93" s="22" t="e">
        <f aca="false">AND(#REF!,"AAAAAGvb1M0=")</f>
        <v>#VALUE!</v>
      </c>
      <c r="GY93" s="22" t="e">
        <f aca="false">AND(#REF!,"AAAAAGvb1M4=")</f>
        <v>#VALUE!</v>
      </c>
      <c r="GZ93" s="22" t="e">
        <f aca="false">AND(#REF!,"AAAAAGvb1M8=")</f>
        <v>#VALUE!</v>
      </c>
      <c r="HA93" s="22" t="e">
        <f aca="false">IF(#REF!,"AAAAAGvb1NA=",0)</f>
        <v>#REF!</v>
      </c>
      <c r="HB93" s="22" t="e">
        <f aca="false">AND(#REF!,"AAAAAGvb1NE=")</f>
        <v>#VALUE!</v>
      </c>
      <c r="HC93" s="22" t="e">
        <f aca="false">AND(#REF!,"AAAAAGvb1NI=")</f>
        <v>#VALUE!</v>
      </c>
      <c r="HD93" s="22" t="e">
        <f aca="false">AND(#REF!,"AAAAAGvb1NM=")</f>
        <v>#VALUE!</v>
      </c>
      <c r="HE93" s="22" t="e">
        <f aca="false">AND(#REF!,"AAAAAGvb1NQ=")</f>
        <v>#VALUE!</v>
      </c>
      <c r="HF93" s="22" t="e">
        <f aca="false">AND(#REF!,"AAAAAGvb1NU=")</f>
        <v>#VALUE!</v>
      </c>
      <c r="HG93" s="22" t="e">
        <f aca="false">AND(#REF!,"AAAAAGvb1NY=")</f>
        <v>#VALUE!</v>
      </c>
      <c r="HH93" s="22" t="e">
        <f aca="false">AND(#REF!,"AAAAAGvb1Nc=")</f>
        <v>#VALUE!</v>
      </c>
      <c r="HI93" s="22" t="e">
        <f aca="false">AND(#REF!,"AAAAAGvb1Ng=")</f>
        <v>#VALUE!</v>
      </c>
      <c r="HJ93" s="22" t="e">
        <f aca="false">IF(#REF!,"AAAAAGvb1Nk=",0)</f>
        <v>#REF!</v>
      </c>
      <c r="HK93" s="22" t="e">
        <f aca="false">AND(#REF!,"AAAAAGvb1No=")</f>
        <v>#VALUE!</v>
      </c>
      <c r="HL93" s="22" t="e">
        <f aca="false">AND(#REF!,"AAAAAGvb1Ns=")</f>
        <v>#VALUE!</v>
      </c>
      <c r="HM93" s="22" t="e">
        <f aca="false">AND(#REF!,"AAAAAGvb1Nw=")</f>
        <v>#VALUE!</v>
      </c>
      <c r="HN93" s="22" t="e">
        <f aca="false">AND(#REF!,"AAAAAGvb1N0=")</f>
        <v>#VALUE!</v>
      </c>
      <c r="HO93" s="22" t="e">
        <f aca="false">AND(#REF!,"AAAAAGvb1N4=")</f>
        <v>#VALUE!</v>
      </c>
      <c r="HP93" s="22" t="e">
        <f aca="false">AND(#REF!,"AAAAAGvb1N8=")</f>
        <v>#VALUE!</v>
      </c>
      <c r="HQ93" s="22" t="e">
        <f aca="false">AND(#REF!,"AAAAAGvb1OA=")</f>
        <v>#VALUE!</v>
      </c>
      <c r="HR93" s="22" t="e">
        <f aca="false">AND(#REF!,"AAAAAGvb1OE=")</f>
        <v>#VALUE!</v>
      </c>
      <c r="HS93" s="22" t="e">
        <f aca="false">IF(#REF!,"AAAAAGvb1OI=",0)</f>
        <v>#REF!</v>
      </c>
      <c r="HT93" s="22" t="e">
        <f aca="false">AND(#REF!,"AAAAAGvb1OM=")</f>
        <v>#VALUE!</v>
      </c>
      <c r="HU93" s="22" t="e">
        <f aca="false">AND(#REF!,"AAAAAGvb1OQ=")</f>
        <v>#VALUE!</v>
      </c>
      <c r="HV93" s="22" t="e">
        <f aca="false">AND(#REF!,"AAAAAGvb1OU=")</f>
        <v>#VALUE!</v>
      </c>
      <c r="HW93" s="22" t="e">
        <f aca="false">AND(#REF!,"AAAAAGvb1OY=")</f>
        <v>#VALUE!</v>
      </c>
      <c r="HX93" s="22" t="e">
        <f aca="false">AND(#REF!,"AAAAAGvb1Oc=")</f>
        <v>#VALUE!</v>
      </c>
      <c r="HY93" s="22" t="e">
        <f aca="false">AND(#REF!,"AAAAAGvb1Og=")</f>
        <v>#VALUE!</v>
      </c>
      <c r="HZ93" s="22" t="e">
        <f aca="false">AND(#REF!,"AAAAAGvb1Ok=")</f>
        <v>#VALUE!</v>
      </c>
      <c r="IA93" s="22" t="e">
        <f aca="false">AND(#REF!,"AAAAAGvb1Oo=")</f>
        <v>#VALUE!</v>
      </c>
      <c r="IB93" s="22" t="e">
        <f aca="false">IF(#REF!,"AAAAAGvb1Os=",0)</f>
        <v>#REF!</v>
      </c>
      <c r="IC93" s="22" t="e">
        <f aca="false">AND(#REF!,"AAAAAGvb1Ow=")</f>
        <v>#VALUE!</v>
      </c>
      <c r="ID93" s="22" t="e">
        <f aca="false">AND(#REF!,"AAAAAGvb1O0=")</f>
        <v>#VALUE!</v>
      </c>
      <c r="IE93" s="22" t="e">
        <f aca="false">AND(#REF!,"AAAAAGvb1O4=")</f>
        <v>#VALUE!</v>
      </c>
      <c r="IF93" s="22" t="e">
        <f aca="false">AND(#REF!,"AAAAAGvb1O8=")</f>
        <v>#VALUE!</v>
      </c>
      <c r="IG93" s="22" t="e">
        <f aca="false">AND(#REF!,"AAAAAGvb1PA=")</f>
        <v>#VALUE!</v>
      </c>
      <c r="IH93" s="22" t="e">
        <f aca="false">AND(#REF!,"AAAAAGvb1PE=")</f>
        <v>#VALUE!</v>
      </c>
      <c r="II93" s="22" t="e">
        <f aca="false">AND(#REF!,"AAAAAGvb1PI=")</f>
        <v>#VALUE!</v>
      </c>
      <c r="IJ93" s="22" t="e">
        <f aca="false">AND(#REF!,"AAAAAGvb1PM=")</f>
        <v>#VALUE!</v>
      </c>
      <c r="IK93" s="22" t="e">
        <f aca="false">IF(#REF!,"AAAAAGvb1PQ=",0)</f>
        <v>#REF!</v>
      </c>
      <c r="IL93" s="22" t="e">
        <f aca="false">AND(#REF!,"AAAAAGvb1PU=")</f>
        <v>#VALUE!</v>
      </c>
      <c r="IM93" s="22" t="e">
        <f aca="false">AND(#REF!,"AAAAAGvb1PY=")</f>
        <v>#VALUE!</v>
      </c>
      <c r="IN93" s="22" t="e">
        <f aca="false">AND(#REF!,"AAAAAGvb1Pc=")</f>
        <v>#VALUE!</v>
      </c>
      <c r="IO93" s="22" t="e">
        <f aca="false">AND(#REF!,"AAAAAGvb1Pg=")</f>
        <v>#VALUE!</v>
      </c>
      <c r="IP93" s="22" t="e">
        <f aca="false">AND(#REF!,"AAAAAGvb1Pk=")</f>
        <v>#VALUE!</v>
      </c>
      <c r="IQ93" s="22" t="e">
        <f aca="false">AND(#REF!,"AAAAAGvb1Po=")</f>
        <v>#VALUE!</v>
      </c>
      <c r="IR93" s="22" t="e">
        <f aca="false">AND(#REF!,"AAAAAGvb1Ps=")</f>
        <v>#VALUE!</v>
      </c>
      <c r="IS93" s="22" t="e">
        <f aca="false">AND(#REF!,"AAAAAGvb1Pw=")</f>
        <v>#VALUE!</v>
      </c>
      <c r="IT93" s="22" t="e">
        <f aca="false">IF(#REF!,"AAAAAGvb1P0=",0)</f>
        <v>#REF!</v>
      </c>
      <c r="IU93" s="22" t="e">
        <f aca="false">AND(#REF!,"AAAAAGvb1P4=")</f>
        <v>#VALUE!</v>
      </c>
      <c r="IV93" s="22" t="e">
        <f aca="false">AND(#REF!,"AAAAAGvb1P8=")</f>
        <v>#VALUE!</v>
      </c>
    </row>
    <row r="94" customFormat="false" ht="12.75" hidden="false" customHeight="false" outlineLevel="0" collapsed="false">
      <c r="A94" s="22" t="e">
        <f aca="false">AND(#REF!,"AAAAAHP77wA=")</f>
        <v>#VALUE!</v>
      </c>
      <c r="B94" s="22" t="e">
        <f aca="false">AND(#REF!,"AAAAAHP77wE=")</f>
        <v>#VALUE!</v>
      </c>
      <c r="C94" s="22" t="e">
        <f aca="false">AND(#REF!,"AAAAAHP77wI=")</f>
        <v>#VALUE!</v>
      </c>
      <c r="D94" s="22" t="e">
        <f aca="false">AND(#REF!,"AAAAAHP77wM=")</f>
        <v>#VALUE!</v>
      </c>
      <c r="E94" s="22" t="e">
        <f aca="false">AND(#REF!,"AAAAAHP77wQ=")</f>
        <v>#VALUE!</v>
      </c>
      <c r="F94" s="22" t="e">
        <f aca="false">AND(#REF!,"AAAAAHP77wU=")</f>
        <v>#VALUE!</v>
      </c>
      <c r="G94" s="22" t="e">
        <f aca="false">IF(#REF!,"AAAAAHP77wY=",0)</f>
        <v>#REF!</v>
      </c>
      <c r="H94" s="22" t="e">
        <f aca="false">AND(#REF!,"AAAAAHP77wc=")</f>
        <v>#VALUE!</v>
      </c>
      <c r="I94" s="22" t="e">
        <f aca="false">AND(#REF!,"AAAAAHP77wg=")</f>
        <v>#VALUE!</v>
      </c>
      <c r="J94" s="22" t="e">
        <f aca="false">AND(#REF!,"AAAAAHP77wk=")</f>
        <v>#VALUE!</v>
      </c>
      <c r="K94" s="22" t="e">
        <f aca="false">AND(#REF!,"AAAAAHP77wo=")</f>
        <v>#VALUE!</v>
      </c>
      <c r="L94" s="22" t="e">
        <f aca="false">AND(#REF!,"AAAAAHP77ws=")</f>
        <v>#VALUE!</v>
      </c>
      <c r="M94" s="22" t="e">
        <f aca="false">AND(#REF!,"AAAAAHP77ww=")</f>
        <v>#VALUE!</v>
      </c>
      <c r="N94" s="22" t="e">
        <f aca="false">AND(#REF!,"AAAAAHP77w0=")</f>
        <v>#VALUE!</v>
      </c>
      <c r="O94" s="22" t="e">
        <f aca="false">AND(#REF!,"AAAAAHP77w4=")</f>
        <v>#VALUE!</v>
      </c>
      <c r="P94" s="22" t="e">
        <f aca="false">IF(#REF!,"AAAAAHP77w8=",0)</f>
        <v>#REF!</v>
      </c>
      <c r="Q94" s="22" t="e">
        <f aca="false">AND(#REF!,"AAAAAHP77xA=")</f>
        <v>#VALUE!</v>
      </c>
      <c r="R94" s="22" t="e">
        <f aca="false">AND(#REF!,"AAAAAHP77xE=")</f>
        <v>#VALUE!</v>
      </c>
      <c r="S94" s="22" t="e">
        <f aca="false">AND(#REF!,"AAAAAHP77xI=")</f>
        <v>#VALUE!</v>
      </c>
      <c r="T94" s="22" t="e">
        <f aca="false">AND(#REF!,"AAAAAHP77xM=")</f>
        <v>#VALUE!</v>
      </c>
      <c r="U94" s="22" t="e">
        <f aca="false">AND(#REF!,"AAAAAHP77xQ=")</f>
        <v>#VALUE!</v>
      </c>
      <c r="V94" s="22" t="e">
        <f aca="false">AND(#REF!,"AAAAAHP77xU=")</f>
        <v>#VALUE!</v>
      </c>
      <c r="W94" s="22" t="e">
        <f aca="false">AND(#REF!,"AAAAAHP77xY=")</f>
        <v>#VALUE!</v>
      </c>
      <c r="X94" s="22" t="e">
        <f aca="false">AND(#REF!,"AAAAAHP77xc=")</f>
        <v>#VALUE!</v>
      </c>
      <c r="Y94" s="22" t="e">
        <f aca="false">IF(#REF!,"AAAAAHP77xg=",0)</f>
        <v>#REF!</v>
      </c>
      <c r="Z94" s="22" t="e">
        <f aca="false">AND(#REF!,"AAAAAHP77xk=")</f>
        <v>#VALUE!</v>
      </c>
      <c r="AA94" s="22" t="e">
        <f aca="false">AND(#REF!,"AAAAAHP77xo=")</f>
        <v>#VALUE!</v>
      </c>
      <c r="AB94" s="22" t="e">
        <f aca="false">AND(#REF!,"AAAAAHP77xs=")</f>
        <v>#VALUE!</v>
      </c>
      <c r="AC94" s="22" t="e">
        <f aca="false">AND(#REF!,"AAAAAHP77xw=")</f>
        <v>#VALUE!</v>
      </c>
      <c r="AD94" s="22" t="e">
        <f aca="false">AND(#REF!,"AAAAAHP77x0=")</f>
        <v>#VALUE!</v>
      </c>
      <c r="AE94" s="22" t="e">
        <f aca="false">AND(#REF!,"AAAAAHP77x4=")</f>
        <v>#VALUE!</v>
      </c>
      <c r="AF94" s="22" t="e">
        <f aca="false">AND(#REF!,"AAAAAHP77x8=")</f>
        <v>#VALUE!</v>
      </c>
      <c r="AG94" s="22" t="e">
        <f aca="false">AND(#REF!,"AAAAAHP77yA=")</f>
        <v>#VALUE!</v>
      </c>
      <c r="AH94" s="22" t="e">
        <f aca="false">IF(#REF!,"AAAAAHP77yE=",0)</f>
        <v>#REF!</v>
      </c>
      <c r="AI94" s="22" t="e">
        <f aca="false">AND(#REF!,"AAAAAHP77yI=")</f>
        <v>#VALUE!</v>
      </c>
      <c r="AJ94" s="22" t="e">
        <f aca="false">AND(#REF!,"AAAAAHP77yM=")</f>
        <v>#VALUE!</v>
      </c>
      <c r="AK94" s="22" t="e">
        <f aca="false">AND(#REF!,"AAAAAHP77yQ=")</f>
        <v>#VALUE!</v>
      </c>
      <c r="AL94" s="22" t="e">
        <f aca="false">AND(#REF!,"AAAAAHP77yU=")</f>
        <v>#VALUE!</v>
      </c>
      <c r="AM94" s="22" t="e">
        <f aca="false">AND(#REF!,"AAAAAHP77yY=")</f>
        <v>#VALUE!</v>
      </c>
      <c r="AN94" s="22" t="e">
        <f aca="false">AND(#REF!,"AAAAAHP77yc=")</f>
        <v>#VALUE!</v>
      </c>
      <c r="AO94" s="22" t="e">
        <f aca="false">AND(#REF!,"AAAAAHP77yg=")</f>
        <v>#VALUE!</v>
      </c>
      <c r="AP94" s="22" t="e">
        <f aca="false">AND(#REF!,"AAAAAHP77yk=")</f>
        <v>#VALUE!</v>
      </c>
      <c r="AQ94" s="22" t="e">
        <f aca="false">IF(#REF!,"AAAAAHP77yo=",0)</f>
        <v>#REF!</v>
      </c>
      <c r="AR94" s="22" t="e">
        <f aca="false">AND(#REF!,"AAAAAHP77ys=")</f>
        <v>#VALUE!</v>
      </c>
      <c r="AS94" s="22" t="e">
        <f aca="false">AND(#REF!,"AAAAAHP77yw=")</f>
        <v>#VALUE!</v>
      </c>
      <c r="AT94" s="22" t="e">
        <f aca="false">AND(#REF!,"AAAAAHP77y0=")</f>
        <v>#VALUE!</v>
      </c>
      <c r="AU94" s="22" t="e">
        <f aca="false">AND(#REF!,"AAAAAHP77y4=")</f>
        <v>#VALUE!</v>
      </c>
      <c r="AV94" s="22" t="e">
        <f aca="false">AND(#REF!,"AAAAAHP77y8=")</f>
        <v>#VALUE!</v>
      </c>
      <c r="AW94" s="22" t="e">
        <f aca="false">AND(#REF!,"AAAAAHP77zA=")</f>
        <v>#VALUE!</v>
      </c>
      <c r="AX94" s="22" t="e">
        <f aca="false">AND(#REF!,"AAAAAHP77zE=")</f>
        <v>#VALUE!</v>
      </c>
      <c r="AY94" s="22" t="e">
        <f aca="false">AND(#REF!,"AAAAAHP77zI=")</f>
        <v>#VALUE!</v>
      </c>
      <c r="AZ94" s="22" t="e">
        <f aca="false">IF(#REF!,"AAAAAHP77zM=",0)</f>
        <v>#REF!</v>
      </c>
      <c r="BA94" s="22" t="e">
        <f aca="false">AND(#REF!,"AAAAAHP77zQ=")</f>
        <v>#VALUE!</v>
      </c>
      <c r="BB94" s="22" t="e">
        <f aca="false">AND(#REF!,"AAAAAHP77zU=")</f>
        <v>#VALUE!</v>
      </c>
      <c r="BC94" s="22" t="e">
        <f aca="false">AND(#REF!,"AAAAAHP77zY=")</f>
        <v>#VALUE!</v>
      </c>
      <c r="BD94" s="22" t="e">
        <f aca="false">AND(#REF!,"AAAAAHP77zc=")</f>
        <v>#VALUE!</v>
      </c>
      <c r="BE94" s="22" t="e">
        <f aca="false">AND(#REF!,"AAAAAHP77zg=")</f>
        <v>#VALUE!</v>
      </c>
      <c r="BF94" s="22" t="e">
        <f aca="false">AND(#REF!,"AAAAAHP77zk=")</f>
        <v>#VALUE!</v>
      </c>
      <c r="BG94" s="22" t="e">
        <f aca="false">AND(#REF!,"AAAAAHP77zo=")</f>
        <v>#VALUE!</v>
      </c>
      <c r="BH94" s="22" t="e">
        <f aca="false">AND(#REF!,"AAAAAHP77zs=")</f>
        <v>#VALUE!</v>
      </c>
      <c r="BI94" s="22" t="e">
        <f aca="false">IF(#REF!,"AAAAAHP77zw=",0)</f>
        <v>#REF!</v>
      </c>
      <c r="BJ94" s="22" t="e">
        <f aca="false">AND(#REF!,"AAAAAHP77z0=")</f>
        <v>#VALUE!</v>
      </c>
      <c r="BK94" s="22" t="e">
        <f aca="false">AND(#REF!,"AAAAAHP77z4=")</f>
        <v>#VALUE!</v>
      </c>
      <c r="BL94" s="22" t="e">
        <f aca="false">AND(#REF!,"AAAAAHP77z8=")</f>
        <v>#VALUE!</v>
      </c>
      <c r="BM94" s="22" t="e">
        <f aca="false">AND(#REF!,"AAAAAHP770A=")</f>
        <v>#VALUE!</v>
      </c>
      <c r="BN94" s="22" t="e">
        <f aca="false">AND(#REF!,"AAAAAHP770E=")</f>
        <v>#VALUE!</v>
      </c>
      <c r="BO94" s="22" t="e">
        <f aca="false">AND(#REF!,"AAAAAHP770I=")</f>
        <v>#VALUE!</v>
      </c>
      <c r="BP94" s="22" t="e">
        <f aca="false">AND(#REF!,"AAAAAHP770M=")</f>
        <v>#VALUE!</v>
      </c>
      <c r="BQ94" s="22" t="e">
        <f aca="false">AND(#REF!,"AAAAAHP770Q=")</f>
        <v>#VALUE!</v>
      </c>
      <c r="BR94" s="22" t="e">
        <f aca="false">IF(#REF!,"AAAAAHP770U=",0)</f>
        <v>#REF!</v>
      </c>
      <c r="BS94" s="22" t="e">
        <f aca="false">AND(#REF!,"AAAAAHP770Y=")</f>
        <v>#VALUE!</v>
      </c>
      <c r="BT94" s="22" t="e">
        <f aca="false">AND(#REF!,"AAAAAHP770c=")</f>
        <v>#VALUE!</v>
      </c>
      <c r="BU94" s="22" t="e">
        <f aca="false">AND(#REF!,"AAAAAHP770g=")</f>
        <v>#VALUE!</v>
      </c>
      <c r="BV94" s="22" t="e">
        <f aca="false">AND(#REF!,"AAAAAHP770k=")</f>
        <v>#VALUE!</v>
      </c>
      <c r="BW94" s="22" t="e">
        <f aca="false">AND(#REF!,"AAAAAHP770o=")</f>
        <v>#VALUE!</v>
      </c>
      <c r="BX94" s="22" t="e">
        <f aca="false">AND(#REF!,"AAAAAHP770s=")</f>
        <v>#VALUE!</v>
      </c>
      <c r="BY94" s="22" t="e">
        <f aca="false">AND(#REF!,"AAAAAHP770w=")</f>
        <v>#VALUE!</v>
      </c>
      <c r="BZ94" s="22" t="e">
        <f aca="false">AND(#REF!,"AAAAAHP7700=")</f>
        <v>#VALUE!</v>
      </c>
      <c r="CA94" s="22" t="e">
        <f aca="false">IF(#REF!,"AAAAAHP7704=",0)</f>
        <v>#REF!</v>
      </c>
      <c r="CB94" s="22" t="e">
        <f aca="false">AND(#REF!,"AAAAAHP7708=")</f>
        <v>#VALUE!</v>
      </c>
      <c r="CC94" s="22" t="e">
        <f aca="false">AND(#REF!,"AAAAAHP771A=")</f>
        <v>#VALUE!</v>
      </c>
      <c r="CD94" s="22" t="e">
        <f aca="false">AND(#REF!,"AAAAAHP771E=")</f>
        <v>#VALUE!</v>
      </c>
      <c r="CE94" s="22" t="e">
        <f aca="false">AND(#REF!,"AAAAAHP771I=")</f>
        <v>#VALUE!</v>
      </c>
      <c r="CF94" s="22" t="e">
        <f aca="false">AND(#REF!,"AAAAAHP771M=")</f>
        <v>#VALUE!</v>
      </c>
      <c r="CG94" s="22" t="e">
        <f aca="false">AND(#REF!,"AAAAAHP771Q=")</f>
        <v>#VALUE!</v>
      </c>
      <c r="CH94" s="22" t="e">
        <f aca="false">AND(#REF!,"AAAAAHP771U=")</f>
        <v>#VALUE!</v>
      </c>
      <c r="CI94" s="22" t="e">
        <f aca="false">AND(#REF!,"AAAAAHP771Y=")</f>
        <v>#VALUE!</v>
      </c>
      <c r="CJ94" s="22" t="e">
        <f aca="false">IF(#REF!,"AAAAAHP771c=",0)</f>
        <v>#REF!</v>
      </c>
      <c r="CK94" s="22" t="e">
        <f aca="false">AND(#REF!,"AAAAAHP771g=")</f>
        <v>#VALUE!</v>
      </c>
      <c r="CL94" s="22" t="e">
        <f aca="false">AND(#REF!,"AAAAAHP771k=")</f>
        <v>#VALUE!</v>
      </c>
      <c r="CM94" s="22" t="e">
        <f aca="false">AND(#REF!,"AAAAAHP771o=")</f>
        <v>#VALUE!</v>
      </c>
      <c r="CN94" s="22" t="e">
        <f aca="false">AND(#REF!,"AAAAAHP771s=")</f>
        <v>#VALUE!</v>
      </c>
      <c r="CO94" s="22" t="e">
        <f aca="false">AND(#REF!,"AAAAAHP771w=")</f>
        <v>#VALUE!</v>
      </c>
      <c r="CP94" s="22" t="e">
        <f aca="false">AND(#REF!,"AAAAAHP7710=")</f>
        <v>#VALUE!</v>
      </c>
      <c r="CQ94" s="22" t="e">
        <f aca="false">AND(#REF!,"AAAAAHP7714=")</f>
        <v>#VALUE!</v>
      </c>
      <c r="CR94" s="22" t="e">
        <f aca="false">AND(#REF!,"AAAAAHP7718=")</f>
        <v>#VALUE!</v>
      </c>
      <c r="CS94" s="22" t="e">
        <f aca="false">IF(#REF!,"AAAAAHP772A=",0)</f>
        <v>#REF!</v>
      </c>
      <c r="CT94" s="22" t="e">
        <f aca="false">AND(#REF!,"AAAAAHP772E=")</f>
        <v>#VALUE!</v>
      </c>
      <c r="CU94" s="22" t="e">
        <f aca="false">AND(#REF!,"AAAAAHP772I=")</f>
        <v>#VALUE!</v>
      </c>
      <c r="CV94" s="22" t="e">
        <f aca="false">AND(#REF!,"AAAAAHP772M=")</f>
        <v>#VALUE!</v>
      </c>
      <c r="CW94" s="22" t="e">
        <f aca="false">AND(#REF!,"AAAAAHP772Q=")</f>
        <v>#VALUE!</v>
      </c>
      <c r="CX94" s="22" t="e">
        <f aca="false">AND(#REF!,"AAAAAHP772U=")</f>
        <v>#VALUE!</v>
      </c>
      <c r="CY94" s="22" t="e">
        <f aca="false">AND(#REF!,"AAAAAHP772Y=")</f>
        <v>#VALUE!</v>
      </c>
      <c r="CZ94" s="22" t="e">
        <f aca="false">AND(#REF!,"AAAAAHP772c=")</f>
        <v>#VALUE!</v>
      </c>
      <c r="DA94" s="22" t="e">
        <f aca="false">AND(#REF!,"AAAAAHP772g=")</f>
        <v>#VALUE!</v>
      </c>
      <c r="DB94" s="22" t="e">
        <f aca="false">IF(#REF!,"AAAAAHP772k=",0)</f>
        <v>#REF!</v>
      </c>
      <c r="DC94" s="22" t="e">
        <f aca="false">AND(#REF!,"AAAAAHP772o=")</f>
        <v>#VALUE!</v>
      </c>
      <c r="DD94" s="22" t="e">
        <f aca="false">AND(#REF!,"AAAAAHP772s=")</f>
        <v>#VALUE!</v>
      </c>
      <c r="DE94" s="22" t="e">
        <f aca="false">AND(#REF!,"AAAAAHP772w=")</f>
        <v>#VALUE!</v>
      </c>
      <c r="DF94" s="22" t="e">
        <f aca="false">AND(#REF!,"AAAAAHP7720=")</f>
        <v>#VALUE!</v>
      </c>
      <c r="DG94" s="22" t="e">
        <f aca="false">AND(#REF!,"AAAAAHP7724=")</f>
        <v>#VALUE!</v>
      </c>
      <c r="DH94" s="22" t="e">
        <f aca="false">AND(#REF!,"AAAAAHP7728=")</f>
        <v>#VALUE!</v>
      </c>
      <c r="DI94" s="22" t="e">
        <f aca="false">AND(#REF!,"AAAAAHP773A=")</f>
        <v>#VALUE!</v>
      </c>
      <c r="DJ94" s="22" t="e">
        <f aca="false">AND(#REF!,"AAAAAHP773E=")</f>
        <v>#VALUE!</v>
      </c>
      <c r="DK94" s="22" t="e">
        <f aca="false">IF(#REF!,"AAAAAHP773I=",0)</f>
        <v>#REF!</v>
      </c>
      <c r="DL94" s="22" t="e">
        <f aca="false">AND(#REF!,"AAAAAHP773M=")</f>
        <v>#VALUE!</v>
      </c>
      <c r="DM94" s="22" t="e">
        <f aca="false">AND(#REF!,"AAAAAHP773Q=")</f>
        <v>#VALUE!</v>
      </c>
      <c r="DN94" s="22" t="e">
        <f aca="false">AND(#REF!,"AAAAAHP773U=")</f>
        <v>#VALUE!</v>
      </c>
      <c r="DO94" s="22" t="e">
        <f aca="false">AND(#REF!,"AAAAAHP773Y=")</f>
        <v>#VALUE!</v>
      </c>
      <c r="DP94" s="22" t="e">
        <f aca="false">AND(#REF!,"AAAAAHP773c=")</f>
        <v>#VALUE!</v>
      </c>
      <c r="DQ94" s="22" t="e">
        <f aca="false">AND(#REF!,"AAAAAHP773g=")</f>
        <v>#VALUE!</v>
      </c>
      <c r="DR94" s="22" t="e">
        <f aca="false">AND(#REF!,"AAAAAHP773k=")</f>
        <v>#VALUE!</v>
      </c>
      <c r="DS94" s="22" t="e">
        <f aca="false">AND(#REF!,"AAAAAHP773o=")</f>
        <v>#VALUE!</v>
      </c>
      <c r="DT94" s="22" t="e">
        <f aca="false">IF(#REF!,"AAAAAHP773s=",0)</f>
        <v>#REF!</v>
      </c>
      <c r="DU94" s="22" t="e">
        <f aca="false">AND(#REF!,"AAAAAHP773w=")</f>
        <v>#VALUE!</v>
      </c>
      <c r="DV94" s="22" t="e">
        <f aca="false">AND(#REF!,"AAAAAHP7730=")</f>
        <v>#VALUE!</v>
      </c>
      <c r="DW94" s="22" t="e">
        <f aca="false">AND(#REF!,"AAAAAHP7734=")</f>
        <v>#VALUE!</v>
      </c>
      <c r="DX94" s="22" t="e">
        <f aca="false">AND(#REF!,"AAAAAHP7738=")</f>
        <v>#VALUE!</v>
      </c>
      <c r="DY94" s="22" t="e">
        <f aca="false">AND(#REF!,"AAAAAHP774A=")</f>
        <v>#VALUE!</v>
      </c>
      <c r="DZ94" s="22" t="e">
        <f aca="false">AND(#REF!,"AAAAAHP774E=")</f>
        <v>#VALUE!</v>
      </c>
      <c r="EA94" s="22" t="e">
        <f aca="false">AND(#REF!,"AAAAAHP774I=")</f>
        <v>#VALUE!</v>
      </c>
      <c r="EB94" s="22" t="e">
        <f aca="false">AND(#REF!,"AAAAAHP774M=")</f>
        <v>#VALUE!</v>
      </c>
      <c r="EC94" s="22" t="e">
        <f aca="false">IF(#REF!,"AAAAAHP774Q=",0)</f>
        <v>#REF!</v>
      </c>
      <c r="ED94" s="22" t="e">
        <f aca="false">AND(#REF!,"AAAAAHP774U=")</f>
        <v>#VALUE!</v>
      </c>
      <c r="EE94" s="22" t="e">
        <f aca="false">AND(#REF!,"AAAAAHP774Y=")</f>
        <v>#VALUE!</v>
      </c>
      <c r="EF94" s="22" t="e">
        <f aca="false">AND(#REF!,"AAAAAHP774c=")</f>
        <v>#VALUE!</v>
      </c>
      <c r="EG94" s="22" t="e">
        <f aca="false">AND(#REF!,"AAAAAHP774g=")</f>
        <v>#VALUE!</v>
      </c>
      <c r="EH94" s="22" t="e">
        <f aca="false">AND(#REF!,"AAAAAHP774k=")</f>
        <v>#VALUE!</v>
      </c>
      <c r="EI94" s="22" t="e">
        <f aca="false">AND(#REF!,"AAAAAHP774o=")</f>
        <v>#VALUE!</v>
      </c>
      <c r="EJ94" s="22" t="e">
        <f aca="false">AND(#REF!,"AAAAAHP774s=")</f>
        <v>#VALUE!</v>
      </c>
      <c r="EK94" s="22" t="e">
        <f aca="false">AND(#REF!,"AAAAAHP774w=")</f>
        <v>#VALUE!</v>
      </c>
      <c r="EL94" s="22" t="e">
        <f aca="false">IF(#REF!,"AAAAAHP7740=",0)</f>
        <v>#REF!</v>
      </c>
      <c r="EM94" s="22" t="e">
        <f aca="false">AND(#REF!,"AAAAAHP7744=")</f>
        <v>#VALUE!</v>
      </c>
      <c r="EN94" s="22" t="e">
        <f aca="false">AND(#REF!,"AAAAAHP7748=")</f>
        <v>#VALUE!</v>
      </c>
      <c r="EO94" s="22" t="e">
        <f aca="false">AND(#REF!,"AAAAAHP775A=")</f>
        <v>#VALUE!</v>
      </c>
      <c r="EP94" s="22" t="e">
        <f aca="false">AND(#REF!,"AAAAAHP775E=")</f>
        <v>#VALUE!</v>
      </c>
      <c r="EQ94" s="22" t="e">
        <f aca="false">AND(#REF!,"AAAAAHP775I=")</f>
        <v>#VALUE!</v>
      </c>
      <c r="ER94" s="22" t="e">
        <f aca="false">AND(#REF!,"AAAAAHP775M=")</f>
        <v>#VALUE!</v>
      </c>
      <c r="ES94" s="22" t="e">
        <f aca="false">AND(#REF!,"AAAAAHP775Q=")</f>
        <v>#VALUE!</v>
      </c>
      <c r="ET94" s="22" t="e">
        <f aca="false">AND(#REF!,"AAAAAHP775U=")</f>
        <v>#VALUE!</v>
      </c>
      <c r="EU94" s="22" t="e">
        <f aca="false">IF(#REF!,"AAAAAHP775Y=",0)</f>
        <v>#REF!</v>
      </c>
      <c r="EV94" s="22" t="e">
        <f aca="false">AND(#REF!,"AAAAAHP775c=")</f>
        <v>#VALUE!</v>
      </c>
      <c r="EW94" s="22" t="e">
        <f aca="false">AND(#REF!,"AAAAAHP775g=")</f>
        <v>#VALUE!</v>
      </c>
      <c r="EX94" s="22" t="e">
        <f aca="false">AND(#REF!,"AAAAAHP775k=")</f>
        <v>#VALUE!</v>
      </c>
      <c r="EY94" s="22" t="e">
        <f aca="false">AND(#REF!,"AAAAAHP775o=")</f>
        <v>#VALUE!</v>
      </c>
      <c r="EZ94" s="22" t="e">
        <f aca="false">AND(#REF!,"AAAAAHP775s=")</f>
        <v>#VALUE!</v>
      </c>
      <c r="FA94" s="22" t="e">
        <f aca="false">AND(#REF!,"AAAAAHP775w=")</f>
        <v>#VALUE!</v>
      </c>
      <c r="FB94" s="22" t="e">
        <f aca="false">AND(#REF!,"AAAAAHP7750=")</f>
        <v>#VALUE!</v>
      </c>
      <c r="FC94" s="22" t="e">
        <f aca="false">AND(#REF!,"AAAAAHP7754=")</f>
        <v>#VALUE!</v>
      </c>
      <c r="FD94" s="22" t="e">
        <f aca="false">IF(#REF!,"AAAAAHP7758=",0)</f>
        <v>#REF!</v>
      </c>
      <c r="FE94" s="22" t="e">
        <f aca="false">AND(#REF!,"AAAAAHP776A=")</f>
        <v>#VALUE!</v>
      </c>
      <c r="FF94" s="22" t="e">
        <f aca="false">AND(#REF!,"AAAAAHP776E=")</f>
        <v>#VALUE!</v>
      </c>
      <c r="FG94" s="22" t="e">
        <f aca="false">AND(#REF!,"AAAAAHP776I=")</f>
        <v>#VALUE!</v>
      </c>
      <c r="FH94" s="22" t="e">
        <f aca="false">AND(#REF!,"AAAAAHP776M=")</f>
        <v>#VALUE!</v>
      </c>
      <c r="FI94" s="22" t="e">
        <f aca="false">AND(#REF!,"AAAAAHP776Q=")</f>
        <v>#VALUE!</v>
      </c>
      <c r="FJ94" s="22" t="e">
        <f aca="false">AND(#REF!,"AAAAAHP776U=")</f>
        <v>#VALUE!</v>
      </c>
      <c r="FK94" s="22" t="e">
        <f aca="false">AND(#REF!,"AAAAAHP776Y=")</f>
        <v>#VALUE!</v>
      </c>
      <c r="FL94" s="22" t="e">
        <f aca="false">AND(#REF!,"AAAAAHP776c=")</f>
        <v>#VALUE!</v>
      </c>
      <c r="FM94" s="22" t="e">
        <f aca="false">IF(#REF!,"AAAAAHP776g=",0)</f>
        <v>#REF!</v>
      </c>
      <c r="FN94" s="22" t="e">
        <f aca="false">AND(#REF!,"AAAAAHP776k=")</f>
        <v>#VALUE!</v>
      </c>
      <c r="FO94" s="22" t="e">
        <f aca="false">AND(#REF!,"AAAAAHP776o=")</f>
        <v>#VALUE!</v>
      </c>
      <c r="FP94" s="22" t="e">
        <f aca="false">AND(#REF!,"AAAAAHP776s=")</f>
        <v>#VALUE!</v>
      </c>
      <c r="FQ94" s="22" t="e">
        <f aca="false">AND(#REF!,"AAAAAHP776w=")</f>
        <v>#VALUE!</v>
      </c>
      <c r="FR94" s="22" t="e">
        <f aca="false">AND(#REF!,"AAAAAHP7760=")</f>
        <v>#VALUE!</v>
      </c>
      <c r="FS94" s="22" t="e">
        <f aca="false">AND(#REF!,"AAAAAHP7764=")</f>
        <v>#VALUE!</v>
      </c>
      <c r="FT94" s="22" t="e">
        <f aca="false">AND(#REF!,"AAAAAHP7768=")</f>
        <v>#VALUE!</v>
      </c>
      <c r="FU94" s="22" t="e">
        <f aca="false">AND(#REF!,"AAAAAHP777A=")</f>
        <v>#VALUE!</v>
      </c>
      <c r="FV94" s="22" t="e">
        <f aca="false">IF(#REF!,"AAAAAHP777E=",0)</f>
        <v>#REF!</v>
      </c>
      <c r="FW94" s="22" t="e">
        <f aca="false">AND(#REF!,"AAAAAHP777I=")</f>
        <v>#VALUE!</v>
      </c>
      <c r="FX94" s="22" t="e">
        <f aca="false">AND(#REF!,"AAAAAHP777M=")</f>
        <v>#VALUE!</v>
      </c>
      <c r="FY94" s="22" t="e">
        <f aca="false">AND(#REF!,"AAAAAHP777Q=")</f>
        <v>#VALUE!</v>
      </c>
      <c r="FZ94" s="22" t="e">
        <f aca="false">AND(#REF!,"AAAAAHP777U=")</f>
        <v>#VALUE!</v>
      </c>
      <c r="GA94" s="22" t="e">
        <f aca="false">AND(#REF!,"AAAAAHP777Y=")</f>
        <v>#VALUE!</v>
      </c>
      <c r="GB94" s="22" t="e">
        <f aca="false">AND(#REF!,"AAAAAHP777c=")</f>
        <v>#VALUE!</v>
      </c>
      <c r="GC94" s="22" t="e">
        <f aca="false">AND(#REF!,"AAAAAHP777g=")</f>
        <v>#VALUE!</v>
      </c>
      <c r="GD94" s="22" t="e">
        <f aca="false">AND(#REF!,"AAAAAHP777k=")</f>
        <v>#VALUE!</v>
      </c>
      <c r="GE94" s="22" t="e">
        <f aca="false">IF(#REF!,"AAAAAHP777o=",0)</f>
        <v>#REF!</v>
      </c>
      <c r="GF94" s="22" t="e">
        <f aca="false">AND(#REF!,"AAAAAHP777s=")</f>
        <v>#VALUE!</v>
      </c>
      <c r="GG94" s="22" t="e">
        <f aca="false">AND(#REF!,"AAAAAHP777w=")</f>
        <v>#VALUE!</v>
      </c>
      <c r="GH94" s="22" t="e">
        <f aca="false">AND(#REF!,"AAAAAHP7770=")</f>
        <v>#VALUE!</v>
      </c>
      <c r="GI94" s="22" t="e">
        <f aca="false">AND(#REF!,"AAAAAHP7774=")</f>
        <v>#VALUE!</v>
      </c>
      <c r="GJ94" s="22" t="e">
        <f aca="false">AND(#REF!,"AAAAAHP7778=")</f>
        <v>#VALUE!</v>
      </c>
      <c r="GK94" s="22" t="e">
        <f aca="false">AND(#REF!,"AAAAAHP778A=")</f>
        <v>#VALUE!</v>
      </c>
      <c r="GL94" s="22" t="e">
        <f aca="false">AND(#REF!,"AAAAAHP778E=")</f>
        <v>#VALUE!</v>
      </c>
      <c r="GM94" s="22" t="e">
        <f aca="false">AND(#REF!,"AAAAAHP778I=")</f>
        <v>#VALUE!</v>
      </c>
      <c r="GN94" s="22" t="e">
        <f aca="false">IF(#REF!,"AAAAAHP778M=",0)</f>
        <v>#REF!</v>
      </c>
      <c r="GO94" s="22" t="e">
        <f aca="false">AND(#REF!,"AAAAAHP778Q=")</f>
        <v>#VALUE!</v>
      </c>
      <c r="GP94" s="22" t="e">
        <f aca="false">AND(#REF!,"AAAAAHP778U=")</f>
        <v>#VALUE!</v>
      </c>
      <c r="GQ94" s="22" t="e">
        <f aca="false">AND(#REF!,"AAAAAHP778Y=")</f>
        <v>#VALUE!</v>
      </c>
      <c r="GR94" s="22" t="e">
        <f aca="false">AND(#REF!,"AAAAAHP778c=")</f>
        <v>#VALUE!</v>
      </c>
      <c r="GS94" s="22" t="e">
        <f aca="false">AND(#REF!,"AAAAAHP778g=")</f>
        <v>#VALUE!</v>
      </c>
      <c r="GT94" s="22" t="e">
        <f aca="false">AND(#REF!,"AAAAAHP778k=")</f>
        <v>#VALUE!</v>
      </c>
      <c r="GU94" s="22" t="e">
        <f aca="false">AND(#REF!,"AAAAAHP778o=")</f>
        <v>#VALUE!</v>
      </c>
      <c r="GV94" s="22" t="e">
        <f aca="false">AND(#REF!,"AAAAAHP778s=")</f>
        <v>#VALUE!</v>
      </c>
      <c r="GW94" s="22" t="e">
        <f aca="false">IF(#REF!,"AAAAAHP778w=",0)</f>
        <v>#REF!</v>
      </c>
      <c r="GX94" s="22" t="e">
        <f aca="false">AND(#REF!,"AAAAAHP7780=")</f>
        <v>#VALUE!</v>
      </c>
      <c r="GY94" s="22" t="e">
        <f aca="false">AND(#REF!,"AAAAAHP7784=")</f>
        <v>#VALUE!</v>
      </c>
      <c r="GZ94" s="22" t="e">
        <f aca="false">AND(#REF!,"AAAAAHP7788=")</f>
        <v>#VALUE!</v>
      </c>
      <c r="HA94" s="22" t="e">
        <f aca="false">AND(#REF!,"AAAAAHP779A=")</f>
        <v>#VALUE!</v>
      </c>
      <c r="HB94" s="22" t="e">
        <f aca="false">AND(#REF!,"AAAAAHP779E=")</f>
        <v>#VALUE!</v>
      </c>
      <c r="HC94" s="22" t="e">
        <f aca="false">AND(#REF!,"AAAAAHP779I=")</f>
        <v>#VALUE!</v>
      </c>
      <c r="HD94" s="22" t="e">
        <f aca="false">AND(#REF!,"AAAAAHP779M=")</f>
        <v>#VALUE!</v>
      </c>
      <c r="HE94" s="22" t="e">
        <f aca="false">AND(#REF!,"AAAAAHP779Q=")</f>
        <v>#VALUE!</v>
      </c>
      <c r="HF94" s="22" t="e">
        <f aca="false">IF(#REF!,"AAAAAHP779U=",0)</f>
        <v>#REF!</v>
      </c>
      <c r="HG94" s="22" t="e">
        <f aca="false">AND(#REF!,"AAAAAHP779Y=")</f>
        <v>#VALUE!</v>
      </c>
      <c r="HH94" s="22" t="e">
        <f aca="false">AND(#REF!,"AAAAAHP779c=")</f>
        <v>#VALUE!</v>
      </c>
      <c r="HI94" s="22" t="e">
        <f aca="false">AND(#REF!,"AAAAAHP779g=")</f>
        <v>#VALUE!</v>
      </c>
      <c r="HJ94" s="22" t="e">
        <f aca="false">AND(#REF!,"AAAAAHP779k=")</f>
        <v>#VALUE!</v>
      </c>
      <c r="HK94" s="22" t="e">
        <f aca="false">AND(#REF!,"AAAAAHP779o=")</f>
        <v>#VALUE!</v>
      </c>
      <c r="HL94" s="22" t="e">
        <f aca="false">AND(#REF!,"AAAAAHP779s=")</f>
        <v>#VALUE!</v>
      </c>
      <c r="HM94" s="22" t="e">
        <f aca="false">AND(#REF!,"AAAAAHP779w=")</f>
        <v>#VALUE!</v>
      </c>
      <c r="HN94" s="22" t="e">
        <f aca="false">AND(#REF!,"AAAAAHP7790=")</f>
        <v>#VALUE!</v>
      </c>
      <c r="HO94" s="22" t="e">
        <f aca="false">IF(#REF!,"AAAAAHP7794=",0)</f>
        <v>#REF!</v>
      </c>
      <c r="HP94" s="22" t="e">
        <f aca="false">AND(#REF!,"AAAAAHP7798=")</f>
        <v>#VALUE!</v>
      </c>
      <c r="HQ94" s="22" t="e">
        <f aca="false">AND(#REF!,"AAAAAHP77+A=")</f>
        <v>#VALUE!</v>
      </c>
      <c r="HR94" s="22" t="e">
        <f aca="false">AND(#REF!,"AAAAAHP77+E=")</f>
        <v>#VALUE!</v>
      </c>
      <c r="HS94" s="22" t="e">
        <f aca="false">AND(#REF!,"AAAAAHP77+I=")</f>
        <v>#VALUE!</v>
      </c>
      <c r="HT94" s="22" t="e">
        <f aca="false">AND(#REF!,"AAAAAHP77+M=")</f>
        <v>#VALUE!</v>
      </c>
      <c r="HU94" s="22" t="e">
        <f aca="false">AND(#REF!,"AAAAAHP77+Q=")</f>
        <v>#VALUE!</v>
      </c>
      <c r="HV94" s="22" t="e">
        <f aca="false">AND(#REF!,"AAAAAHP77+U=")</f>
        <v>#VALUE!</v>
      </c>
      <c r="HW94" s="22" t="e">
        <f aca="false">AND(#REF!,"AAAAAHP77+Y=")</f>
        <v>#VALUE!</v>
      </c>
      <c r="HX94" s="22" t="e">
        <f aca="false">IF(#REF!,"AAAAAHP77+c=",0)</f>
        <v>#REF!</v>
      </c>
      <c r="HY94" s="22" t="e">
        <f aca="false">AND(#REF!,"AAAAAHP77+g=")</f>
        <v>#VALUE!</v>
      </c>
      <c r="HZ94" s="22" t="e">
        <f aca="false">AND(#REF!,"AAAAAHP77+k=")</f>
        <v>#VALUE!</v>
      </c>
      <c r="IA94" s="22" t="e">
        <f aca="false">AND(#REF!,"AAAAAHP77+o=")</f>
        <v>#VALUE!</v>
      </c>
      <c r="IB94" s="22" t="e">
        <f aca="false">AND(#REF!,"AAAAAHP77+s=")</f>
        <v>#VALUE!</v>
      </c>
      <c r="IC94" s="22" t="e">
        <f aca="false">AND(#REF!,"AAAAAHP77+w=")</f>
        <v>#VALUE!</v>
      </c>
      <c r="ID94" s="22" t="e">
        <f aca="false">AND(#REF!,"AAAAAHP77+0=")</f>
        <v>#VALUE!</v>
      </c>
      <c r="IE94" s="22" t="e">
        <f aca="false">AND(#REF!,"AAAAAHP77+4=")</f>
        <v>#VALUE!</v>
      </c>
      <c r="IF94" s="22" t="e">
        <f aca="false">AND(#REF!,"AAAAAHP77+8=")</f>
        <v>#VALUE!</v>
      </c>
      <c r="IG94" s="22" t="e">
        <f aca="false">IF(#REF!,"AAAAAHP77/A=",0)</f>
        <v>#REF!</v>
      </c>
      <c r="IH94" s="22" t="e">
        <f aca="false">AND(#REF!,"AAAAAHP77/E=")</f>
        <v>#VALUE!</v>
      </c>
      <c r="II94" s="22" t="e">
        <f aca="false">AND(#REF!,"AAAAAHP77/I=")</f>
        <v>#VALUE!</v>
      </c>
      <c r="IJ94" s="22" t="e">
        <f aca="false">AND(#REF!,"AAAAAHP77/M=")</f>
        <v>#VALUE!</v>
      </c>
      <c r="IK94" s="22" t="e">
        <f aca="false">AND(#REF!,"AAAAAHP77/Q=")</f>
        <v>#VALUE!</v>
      </c>
      <c r="IL94" s="22" t="e">
        <f aca="false">AND(#REF!,"AAAAAHP77/U=")</f>
        <v>#VALUE!</v>
      </c>
      <c r="IM94" s="22" t="e">
        <f aca="false">AND(#REF!,"AAAAAHP77/Y=")</f>
        <v>#VALUE!</v>
      </c>
      <c r="IN94" s="22" t="e">
        <f aca="false">AND(#REF!,"AAAAAHP77/c=")</f>
        <v>#VALUE!</v>
      </c>
      <c r="IO94" s="22" t="e">
        <f aca="false">AND(#REF!,"AAAAAHP77/g=")</f>
        <v>#VALUE!</v>
      </c>
      <c r="IP94" s="22" t="e">
        <f aca="false">IF(#REF!,"AAAAAHP77/k=",0)</f>
        <v>#REF!</v>
      </c>
      <c r="IQ94" s="22" t="e">
        <f aca="false">AND(#REF!,"AAAAAHP77/o=")</f>
        <v>#VALUE!</v>
      </c>
      <c r="IR94" s="22" t="e">
        <f aca="false">AND(#REF!,"AAAAAHP77/s=")</f>
        <v>#VALUE!</v>
      </c>
      <c r="IS94" s="22" t="e">
        <f aca="false">AND(#REF!,"AAAAAHP77/w=")</f>
        <v>#VALUE!</v>
      </c>
      <c r="IT94" s="22" t="e">
        <f aca="false">AND(#REF!,"AAAAAHP77/0=")</f>
        <v>#VALUE!</v>
      </c>
      <c r="IU94" s="22" t="e">
        <f aca="false">AND(#REF!,"AAAAAHP77/4=")</f>
        <v>#VALUE!</v>
      </c>
      <c r="IV94" s="22" t="e">
        <f aca="false">AND(#REF!,"AAAAAHP77/8=")</f>
        <v>#VALUE!</v>
      </c>
    </row>
    <row r="95" customFormat="false" ht="12.75" hidden="false" customHeight="false" outlineLevel="0" collapsed="false">
      <c r="A95" s="22" t="e">
        <f aca="false">AND(#REF!,"AAAAAD/56gA=")</f>
        <v>#VALUE!</v>
      </c>
      <c r="B95" s="22" t="e">
        <f aca="false">AND(#REF!,"AAAAAD/56gE=")</f>
        <v>#VALUE!</v>
      </c>
      <c r="C95" s="22" t="e">
        <f aca="false">IF(#REF!,"AAAAAD/56gI=",0)</f>
        <v>#REF!</v>
      </c>
      <c r="D95" s="22" t="e">
        <f aca="false">AND(#REF!,"AAAAAD/56gM=")</f>
        <v>#VALUE!</v>
      </c>
      <c r="E95" s="22" t="e">
        <f aca="false">AND(#REF!,"AAAAAD/56gQ=")</f>
        <v>#VALUE!</v>
      </c>
      <c r="F95" s="22" t="e">
        <f aca="false">AND(#REF!,"AAAAAD/56gU=")</f>
        <v>#VALUE!</v>
      </c>
      <c r="G95" s="22" t="e">
        <f aca="false">AND(#REF!,"AAAAAD/56gY=")</f>
        <v>#VALUE!</v>
      </c>
      <c r="H95" s="22" t="e">
        <f aca="false">AND(#REF!,"AAAAAD/56gc=")</f>
        <v>#VALUE!</v>
      </c>
      <c r="I95" s="22" t="e">
        <f aca="false">AND(#REF!,"AAAAAD/56gg=")</f>
        <v>#VALUE!</v>
      </c>
      <c r="J95" s="22" t="e">
        <f aca="false">AND(#REF!,"AAAAAD/56gk=")</f>
        <v>#VALUE!</v>
      </c>
      <c r="K95" s="22" t="e">
        <f aca="false">AND(#REF!,"AAAAAD/56go=")</f>
        <v>#VALUE!</v>
      </c>
      <c r="L95" s="22" t="e">
        <f aca="false">IF(#REF!,"AAAAAD/56gs=",0)</f>
        <v>#REF!</v>
      </c>
      <c r="M95" s="22" t="e">
        <f aca="false">AND(#REF!,"AAAAAD/56gw=")</f>
        <v>#VALUE!</v>
      </c>
      <c r="N95" s="22" t="e">
        <f aca="false">AND(#REF!,"AAAAAD/56g0=")</f>
        <v>#VALUE!</v>
      </c>
      <c r="O95" s="22" t="e">
        <f aca="false">AND(#REF!,"AAAAAD/56g4=")</f>
        <v>#VALUE!</v>
      </c>
      <c r="P95" s="22" t="e">
        <f aca="false">AND(#REF!,"AAAAAD/56g8=")</f>
        <v>#VALUE!</v>
      </c>
      <c r="Q95" s="22" t="e">
        <f aca="false">AND(#REF!,"AAAAAD/56hA=")</f>
        <v>#VALUE!</v>
      </c>
      <c r="R95" s="22" t="e">
        <f aca="false">AND(#REF!,"AAAAAD/56hE=")</f>
        <v>#VALUE!</v>
      </c>
      <c r="S95" s="22" t="e">
        <f aca="false">AND(#REF!,"AAAAAD/56hI=")</f>
        <v>#VALUE!</v>
      </c>
      <c r="T95" s="22" t="e">
        <f aca="false">AND(#REF!,"AAAAAD/56hM=")</f>
        <v>#VALUE!</v>
      </c>
      <c r="U95" s="22" t="e">
        <f aca="false">IF(#REF!,"AAAAAD/56hQ=",0)</f>
        <v>#REF!</v>
      </c>
      <c r="V95" s="22" t="e">
        <f aca="false">AND(#REF!,"AAAAAD/56hU=")</f>
        <v>#VALUE!</v>
      </c>
      <c r="W95" s="22" t="e">
        <f aca="false">AND(#REF!,"AAAAAD/56hY=")</f>
        <v>#VALUE!</v>
      </c>
      <c r="X95" s="22" t="e">
        <f aca="false">AND(#REF!,"AAAAAD/56hc=")</f>
        <v>#VALUE!</v>
      </c>
      <c r="Y95" s="22" t="e">
        <f aca="false">AND(#REF!,"AAAAAD/56hg=")</f>
        <v>#VALUE!</v>
      </c>
      <c r="Z95" s="22" t="e">
        <f aca="false">AND(#REF!,"AAAAAD/56hk=")</f>
        <v>#VALUE!</v>
      </c>
      <c r="AA95" s="22" t="e">
        <f aca="false">AND(#REF!,"AAAAAD/56ho=")</f>
        <v>#VALUE!</v>
      </c>
      <c r="AB95" s="22" t="e">
        <f aca="false">AND(#REF!,"AAAAAD/56hs=")</f>
        <v>#VALUE!</v>
      </c>
      <c r="AC95" s="22" t="e">
        <f aca="false">AND(#REF!,"AAAAAD/56hw=")</f>
        <v>#VALUE!</v>
      </c>
      <c r="AD95" s="22" t="e">
        <f aca="false">IF(#REF!,"AAAAAD/56h0=",0)</f>
        <v>#REF!</v>
      </c>
      <c r="AE95" s="22" t="e">
        <f aca="false">AND(#REF!,"AAAAAD/56h4=")</f>
        <v>#VALUE!</v>
      </c>
      <c r="AF95" s="22" t="e">
        <f aca="false">AND(#REF!,"AAAAAD/56h8=")</f>
        <v>#VALUE!</v>
      </c>
      <c r="AG95" s="22" t="e">
        <f aca="false">AND(#REF!,"AAAAAD/56iA=")</f>
        <v>#VALUE!</v>
      </c>
      <c r="AH95" s="22" t="e">
        <f aca="false">AND(#REF!,"AAAAAD/56iE=")</f>
        <v>#VALUE!</v>
      </c>
      <c r="AI95" s="22" t="e">
        <f aca="false">AND(#REF!,"AAAAAD/56iI=")</f>
        <v>#VALUE!</v>
      </c>
      <c r="AJ95" s="22" t="e">
        <f aca="false">AND(#REF!,"AAAAAD/56iM=")</f>
        <v>#VALUE!</v>
      </c>
      <c r="AK95" s="22" t="e">
        <f aca="false">AND(#REF!,"AAAAAD/56iQ=")</f>
        <v>#VALUE!</v>
      </c>
      <c r="AL95" s="22" t="e">
        <f aca="false">AND(#REF!,"AAAAAD/56iU=")</f>
        <v>#VALUE!</v>
      </c>
      <c r="AM95" s="22" t="e">
        <f aca="false">IF(#REF!,"AAAAAD/56iY=",0)</f>
        <v>#REF!</v>
      </c>
      <c r="AN95" s="22" t="e">
        <f aca="false">AND(#REF!,"AAAAAD/56ic=")</f>
        <v>#VALUE!</v>
      </c>
      <c r="AO95" s="22" t="e">
        <f aca="false">AND(#REF!,"AAAAAD/56ig=")</f>
        <v>#VALUE!</v>
      </c>
      <c r="AP95" s="22" t="e">
        <f aca="false">AND(#REF!,"AAAAAD/56ik=")</f>
        <v>#VALUE!</v>
      </c>
      <c r="AQ95" s="22" t="e">
        <f aca="false">AND(#REF!,"AAAAAD/56io=")</f>
        <v>#VALUE!</v>
      </c>
      <c r="AR95" s="22" t="e">
        <f aca="false">AND(#REF!,"AAAAAD/56is=")</f>
        <v>#VALUE!</v>
      </c>
      <c r="AS95" s="22" t="e">
        <f aca="false">AND(#REF!,"AAAAAD/56iw=")</f>
        <v>#VALUE!</v>
      </c>
      <c r="AT95" s="22" t="e">
        <f aca="false">AND(#REF!,"AAAAAD/56i0=")</f>
        <v>#VALUE!</v>
      </c>
      <c r="AU95" s="22" t="e">
        <f aca="false">AND(#REF!,"AAAAAD/56i4=")</f>
        <v>#VALUE!</v>
      </c>
      <c r="AV95" s="22" t="e">
        <f aca="false">IF(#REF!,"AAAAAD/56i8=",0)</f>
        <v>#REF!</v>
      </c>
      <c r="AW95" s="22" t="e">
        <f aca="false">AND(#REF!,"AAAAAD/56jA=")</f>
        <v>#VALUE!</v>
      </c>
      <c r="AX95" s="22" t="e">
        <f aca="false">AND(#REF!,"AAAAAD/56jE=")</f>
        <v>#VALUE!</v>
      </c>
      <c r="AY95" s="22" t="e">
        <f aca="false">AND(#REF!,"AAAAAD/56jI=")</f>
        <v>#VALUE!</v>
      </c>
      <c r="AZ95" s="22" t="e">
        <f aca="false">AND(#REF!,"AAAAAD/56jM=")</f>
        <v>#VALUE!</v>
      </c>
      <c r="BA95" s="22" t="e">
        <f aca="false">AND(#REF!,"AAAAAD/56jQ=")</f>
        <v>#VALUE!</v>
      </c>
      <c r="BB95" s="22" t="e">
        <f aca="false">AND(#REF!,"AAAAAD/56jU=")</f>
        <v>#VALUE!</v>
      </c>
      <c r="BC95" s="22" t="e">
        <f aca="false">AND(#REF!,"AAAAAD/56jY=")</f>
        <v>#VALUE!</v>
      </c>
      <c r="BD95" s="22" t="e">
        <f aca="false">AND(#REF!,"AAAAAD/56jc=")</f>
        <v>#VALUE!</v>
      </c>
      <c r="BE95" s="22" t="e">
        <f aca="false">IF(#REF!,"AAAAAD/56jg=",0)</f>
        <v>#REF!</v>
      </c>
      <c r="BF95" s="22" t="e">
        <f aca="false">AND(#REF!,"AAAAAD/56jk=")</f>
        <v>#VALUE!</v>
      </c>
      <c r="BG95" s="22" t="e">
        <f aca="false">AND(#REF!,"AAAAAD/56jo=")</f>
        <v>#VALUE!</v>
      </c>
      <c r="BH95" s="22" t="e">
        <f aca="false">AND(#REF!,"AAAAAD/56js=")</f>
        <v>#VALUE!</v>
      </c>
      <c r="BI95" s="22" t="e">
        <f aca="false">AND(#REF!,"AAAAAD/56jw=")</f>
        <v>#VALUE!</v>
      </c>
      <c r="BJ95" s="22" t="e">
        <f aca="false">AND(#REF!,"AAAAAD/56j0=")</f>
        <v>#VALUE!</v>
      </c>
      <c r="BK95" s="22" t="e">
        <f aca="false">AND(#REF!,"AAAAAD/56j4=")</f>
        <v>#VALUE!</v>
      </c>
      <c r="BL95" s="22" t="e">
        <f aca="false">AND(#REF!,"AAAAAD/56j8=")</f>
        <v>#VALUE!</v>
      </c>
      <c r="BM95" s="22" t="e">
        <f aca="false">AND(#REF!,"AAAAAD/56kA=")</f>
        <v>#VALUE!</v>
      </c>
      <c r="BN95" s="22" t="e">
        <f aca="false">IF(#REF!,"AAAAAD/56kE=",0)</f>
        <v>#REF!</v>
      </c>
      <c r="BO95" s="22" t="e">
        <f aca="false">AND(#REF!,"AAAAAD/56kI=")</f>
        <v>#VALUE!</v>
      </c>
      <c r="BP95" s="22" t="e">
        <f aca="false">AND(#REF!,"AAAAAD/56kM=")</f>
        <v>#VALUE!</v>
      </c>
      <c r="BQ95" s="22" t="e">
        <f aca="false">AND(#REF!,"AAAAAD/56kQ=")</f>
        <v>#VALUE!</v>
      </c>
      <c r="BR95" s="22" t="e">
        <f aca="false">AND(#REF!,"AAAAAD/56kU=")</f>
        <v>#VALUE!</v>
      </c>
      <c r="BS95" s="22" t="e">
        <f aca="false">AND(#REF!,"AAAAAD/56kY=")</f>
        <v>#VALUE!</v>
      </c>
      <c r="BT95" s="22" t="e">
        <f aca="false">AND(#REF!,"AAAAAD/56kc=")</f>
        <v>#VALUE!</v>
      </c>
      <c r="BU95" s="22" t="e">
        <f aca="false">AND(#REF!,"AAAAAD/56kg=")</f>
        <v>#VALUE!</v>
      </c>
      <c r="BV95" s="22" t="e">
        <f aca="false">AND(#REF!,"AAAAAD/56kk=")</f>
        <v>#VALUE!</v>
      </c>
      <c r="BW95" s="22" t="e">
        <f aca="false">IF(#REF!,"AAAAAD/56ko=",0)</f>
        <v>#REF!</v>
      </c>
      <c r="BX95" s="22" t="e">
        <f aca="false">AND(#REF!,"AAAAAD/56ks=")</f>
        <v>#VALUE!</v>
      </c>
      <c r="BY95" s="22" t="e">
        <f aca="false">AND(#REF!,"AAAAAD/56kw=")</f>
        <v>#VALUE!</v>
      </c>
      <c r="BZ95" s="22" t="e">
        <f aca="false">AND(#REF!,"AAAAAD/56k0=")</f>
        <v>#VALUE!</v>
      </c>
      <c r="CA95" s="22" t="e">
        <f aca="false">AND(#REF!,"AAAAAD/56k4=")</f>
        <v>#VALUE!</v>
      </c>
      <c r="CB95" s="22" t="e">
        <f aca="false">AND(#REF!,"AAAAAD/56k8=")</f>
        <v>#VALUE!</v>
      </c>
      <c r="CC95" s="22" t="e">
        <f aca="false">AND(#REF!,"AAAAAD/56lA=")</f>
        <v>#VALUE!</v>
      </c>
      <c r="CD95" s="22" t="e">
        <f aca="false">AND(#REF!,"AAAAAD/56lE=")</f>
        <v>#VALUE!</v>
      </c>
      <c r="CE95" s="22" t="e">
        <f aca="false">AND(#REF!,"AAAAAD/56lI=")</f>
        <v>#VALUE!</v>
      </c>
      <c r="CF95" s="22" t="e">
        <f aca="false">IF(#REF!,"AAAAAD/56lM=",0)</f>
        <v>#REF!</v>
      </c>
      <c r="CG95" s="22" t="e">
        <f aca="false">AND(#REF!,"AAAAAD/56lQ=")</f>
        <v>#VALUE!</v>
      </c>
      <c r="CH95" s="22" t="e">
        <f aca="false">AND(#REF!,"AAAAAD/56lU=")</f>
        <v>#VALUE!</v>
      </c>
      <c r="CI95" s="22" t="e">
        <f aca="false">AND(#REF!,"AAAAAD/56lY=")</f>
        <v>#VALUE!</v>
      </c>
      <c r="CJ95" s="22" t="e">
        <f aca="false">AND(#REF!,"AAAAAD/56lc=")</f>
        <v>#VALUE!</v>
      </c>
      <c r="CK95" s="22" t="e">
        <f aca="false">AND(#REF!,"AAAAAD/56lg=")</f>
        <v>#VALUE!</v>
      </c>
      <c r="CL95" s="22" t="e">
        <f aca="false">AND(#REF!,"AAAAAD/56lk=")</f>
        <v>#VALUE!</v>
      </c>
      <c r="CM95" s="22" t="e">
        <f aca="false">AND(#REF!,"AAAAAD/56lo=")</f>
        <v>#VALUE!</v>
      </c>
      <c r="CN95" s="22" t="e">
        <f aca="false">AND(#REF!,"AAAAAD/56ls=")</f>
        <v>#VALUE!</v>
      </c>
      <c r="CO95" s="22" t="e">
        <f aca="false">IF(#REF!,"AAAAAD/56lw=",0)</f>
        <v>#REF!</v>
      </c>
      <c r="CP95" s="22" t="e">
        <f aca="false">AND(#REF!,"AAAAAD/56l0=")</f>
        <v>#VALUE!</v>
      </c>
      <c r="CQ95" s="22" t="e">
        <f aca="false">AND(#REF!,"AAAAAD/56l4=")</f>
        <v>#VALUE!</v>
      </c>
      <c r="CR95" s="22" t="e">
        <f aca="false">AND(#REF!,"AAAAAD/56l8=")</f>
        <v>#VALUE!</v>
      </c>
      <c r="CS95" s="22" t="e">
        <f aca="false">AND(#REF!,"AAAAAD/56mA=")</f>
        <v>#VALUE!</v>
      </c>
      <c r="CT95" s="22" t="e">
        <f aca="false">AND(#REF!,"AAAAAD/56mE=")</f>
        <v>#VALUE!</v>
      </c>
      <c r="CU95" s="22" t="e">
        <f aca="false">AND(#REF!,"AAAAAD/56mI=")</f>
        <v>#VALUE!</v>
      </c>
      <c r="CV95" s="22" t="e">
        <f aca="false">AND(#REF!,"AAAAAD/56mM=")</f>
        <v>#VALUE!</v>
      </c>
      <c r="CW95" s="22" t="e">
        <f aca="false">AND(#REF!,"AAAAAD/56mQ=")</f>
        <v>#VALUE!</v>
      </c>
      <c r="CX95" s="22" t="e">
        <f aca="false">IF(#REF!,"AAAAAD/56mU=",0)</f>
        <v>#REF!</v>
      </c>
      <c r="CY95" s="22" t="e">
        <f aca="false">AND(#REF!,"AAAAAD/56mY=")</f>
        <v>#VALUE!</v>
      </c>
      <c r="CZ95" s="22" t="e">
        <f aca="false">AND(#REF!,"AAAAAD/56mc=")</f>
        <v>#VALUE!</v>
      </c>
      <c r="DA95" s="22" t="e">
        <f aca="false">AND(#REF!,"AAAAAD/56mg=")</f>
        <v>#VALUE!</v>
      </c>
      <c r="DB95" s="22" t="e">
        <f aca="false">AND(#REF!,"AAAAAD/56mk=")</f>
        <v>#VALUE!</v>
      </c>
      <c r="DC95" s="22" t="e">
        <f aca="false">AND(#REF!,"AAAAAD/56mo=")</f>
        <v>#VALUE!</v>
      </c>
      <c r="DD95" s="22" t="e">
        <f aca="false">AND(#REF!,"AAAAAD/56ms=")</f>
        <v>#VALUE!</v>
      </c>
      <c r="DE95" s="22" t="e">
        <f aca="false">AND(#REF!,"AAAAAD/56mw=")</f>
        <v>#VALUE!</v>
      </c>
      <c r="DF95" s="22" t="e">
        <f aca="false">AND(#REF!,"AAAAAD/56m0=")</f>
        <v>#VALUE!</v>
      </c>
      <c r="DG95" s="22" t="e">
        <f aca="false">IF(#REF!,"AAAAAD/56m4=",0)</f>
        <v>#REF!</v>
      </c>
      <c r="DH95" s="22" t="e">
        <f aca="false">AND(#REF!,"AAAAAD/56m8=")</f>
        <v>#VALUE!</v>
      </c>
      <c r="DI95" s="22" t="e">
        <f aca="false">AND(#REF!,"AAAAAD/56nA=")</f>
        <v>#VALUE!</v>
      </c>
      <c r="DJ95" s="22" t="e">
        <f aca="false">AND(#REF!,"AAAAAD/56nE=")</f>
        <v>#VALUE!</v>
      </c>
      <c r="DK95" s="22" t="e">
        <f aca="false">AND(#REF!,"AAAAAD/56nI=")</f>
        <v>#VALUE!</v>
      </c>
      <c r="DL95" s="22" t="e">
        <f aca="false">AND(#REF!,"AAAAAD/56nM=")</f>
        <v>#VALUE!</v>
      </c>
      <c r="DM95" s="22" t="e">
        <f aca="false">AND(#REF!,"AAAAAD/56nQ=")</f>
        <v>#VALUE!</v>
      </c>
      <c r="DN95" s="22" t="e">
        <f aca="false">AND(#REF!,"AAAAAD/56nU=")</f>
        <v>#VALUE!</v>
      </c>
      <c r="DO95" s="22" t="e">
        <f aca="false">AND(#REF!,"AAAAAD/56nY=")</f>
        <v>#VALUE!</v>
      </c>
      <c r="DP95" s="22" t="e">
        <f aca="false">IF(#REF!,"AAAAAD/56nc=",0)</f>
        <v>#REF!</v>
      </c>
      <c r="DQ95" s="22" t="e">
        <f aca="false">AND(#REF!,"AAAAAD/56ng=")</f>
        <v>#VALUE!</v>
      </c>
      <c r="DR95" s="22" t="e">
        <f aca="false">AND(#REF!,"AAAAAD/56nk=")</f>
        <v>#VALUE!</v>
      </c>
      <c r="DS95" s="22" t="e">
        <f aca="false">AND(#REF!,"AAAAAD/56no=")</f>
        <v>#VALUE!</v>
      </c>
      <c r="DT95" s="22" t="e">
        <f aca="false">AND(#REF!,"AAAAAD/56ns=")</f>
        <v>#VALUE!</v>
      </c>
      <c r="DU95" s="22" t="e">
        <f aca="false">AND(#REF!,"AAAAAD/56nw=")</f>
        <v>#VALUE!</v>
      </c>
      <c r="DV95" s="22" t="e">
        <f aca="false">AND(#REF!,"AAAAAD/56n0=")</f>
        <v>#VALUE!</v>
      </c>
      <c r="DW95" s="22" t="e">
        <f aca="false">AND(#REF!,"AAAAAD/56n4=")</f>
        <v>#VALUE!</v>
      </c>
      <c r="DX95" s="22" t="e">
        <f aca="false">AND(#REF!,"AAAAAD/56n8=")</f>
        <v>#VALUE!</v>
      </c>
      <c r="DY95" s="22" t="e">
        <f aca="false">IF(#REF!,"AAAAAD/56oA=",0)</f>
        <v>#REF!</v>
      </c>
      <c r="DZ95" s="22" t="e">
        <f aca="false">AND(#REF!,"AAAAAD/56oE=")</f>
        <v>#VALUE!</v>
      </c>
      <c r="EA95" s="22" t="e">
        <f aca="false">AND(#REF!,"AAAAAD/56oI=")</f>
        <v>#VALUE!</v>
      </c>
      <c r="EB95" s="22" t="e">
        <f aca="false">AND(#REF!,"AAAAAD/56oM=")</f>
        <v>#VALUE!</v>
      </c>
      <c r="EC95" s="22" t="e">
        <f aca="false">AND(#REF!,"AAAAAD/56oQ=")</f>
        <v>#VALUE!</v>
      </c>
      <c r="ED95" s="22" t="e">
        <f aca="false">AND(#REF!,"AAAAAD/56oU=")</f>
        <v>#VALUE!</v>
      </c>
      <c r="EE95" s="22" t="e">
        <f aca="false">AND(#REF!,"AAAAAD/56oY=")</f>
        <v>#VALUE!</v>
      </c>
      <c r="EF95" s="22" t="e">
        <f aca="false">AND(#REF!,"AAAAAD/56oc=")</f>
        <v>#VALUE!</v>
      </c>
      <c r="EG95" s="22" t="e">
        <f aca="false">AND(#REF!,"AAAAAD/56og=")</f>
        <v>#VALUE!</v>
      </c>
      <c r="EH95" s="22" t="e">
        <f aca="false">IF(#REF!,"AAAAAD/56ok=",0)</f>
        <v>#REF!</v>
      </c>
      <c r="EI95" s="22" t="e">
        <f aca="false">AND(#REF!,"AAAAAD/56oo=")</f>
        <v>#VALUE!</v>
      </c>
      <c r="EJ95" s="22" t="e">
        <f aca="false">AND(#REF!,"AAAAAD/56os=")</f>
        <v>#VALUE!</v>
      </c>
      <c r="EK95" s="22" t="e">
        <f aca="false">AND(#REF!,"AAAAAD/56ow=")</f>
        <v>#VALUE!</v>
      </c>
      <c r="EL95" s="22" t="e">
        <f aca="false">AND(#REF!,"AAAAAD/56o0=")</f>
        <v>#VALUE!</v>
      </c>
      <c r="EM95" s="22" t="e">
        <f aca="false">AND(#REF!,"AAAAAD/56o4=")</f>
        <v>#VALUE!</v>
      </c>
      <c r="EN95" s="22" t="e">
        <f aca="false">AND(#REF!,"AAAAAD/56o8=")</f>
        <v>#VALUE!</v>
      </c>
      <c r="EO95" s="22" t="e">
        <f aca="false">AND(#REF!,"AAAAAD/56pA=")</f>
        <v>#VALUE!</v>
      </c>
      <c r="EP95" s="22" t="e">
        <f aca="false">AND(#REF!,"AAAAAD/56pE=")</f>
        <v>#VALUE!</v>
      </c>
      <c r="EQ95" s="22" t="e">
        <f aca="false">IF(#REF!,"AAAAAD/56pI=",0)</f>
        <v>#REF!</v>
      </c>
      <c r="ER95" s="22" t="e">
        <f aca="false">AND(#REF!,"AAAAAD/56pM=")</f>
        <v>#VALUE!</v>
      </c>
      <c r="ES95" s="22" t="e">
        <f aca="false">AND(#REF!,"AAAAAD/56pQ=")</f>
        <v>#VALUE!</v>
      </c>
      <c r="ET95" s="22" t="e">
        <f aca="false">AND(#REF!,"AAAAAD/56pU=")</f>
        <v>#VALUE!</v>
      </c>
      <c r="EU95" s="22" t="e">
        <f aca="false">AND(#REF!,"AAAAAD/56pY=")</f>
        <v>#VALUE!</v>
      </c>
      <c r="EV95" s="22" t="e">
        <f aca="false">AND(#REF!,"AAAAAD/56pc=")</f>
        <v>#VALUE!</v>
      </c>
      <c r="EW95" s="22" t="e">
        <f aca="false">AND(#REF!,"AAAAAD/56pg=")</f>
        <v>#VALUE!</v>
      </c>
      <c r="EX95" s="22" t="e">
        <f aca="false">AND(#REF!,"AAAAAD/56pk=")</f>
        <v>#VALUE!</v>
      </c>
      <c r="EY95" s="22" t="e">
        <f aca="false">AND(#REF!,"AAAAAD/56po=")</f>
        <v>#VALUE!</v>
      </c>
      <c r="EZ95" s="22" t="e">
        <f aca="false">IF(#REF!,"AAAAAD/56ps=",0)</f>
        <v>#REF!</v>
      </c>
      <c r="FA95" s="22" t="e">
        <f aca="false">AND(#REF!,"AAAAAD/56pw=")</f>
        <v>#VALUE!</v>
      </c>
      <c r="FB95" s="22" t="e">
        <f aca="false">AND(#REF!,"AAAAAD/56p0=")</f>
        <v>#VALUE!</v>
      </c>
      <c r="FC95" s="22" t="e">
        <f aca="false">AND(#REF!,"AAAAAD/56p4=")</f>
        <v>#VALUE!</v>
      </c>
      <c r="FD95" s="22" t="e">
        <f aca="false">AND(#REF!,"AAAAAD/56p8=")</f>
        <v>#VALUE!</v>
      </c>
      <c r="FE95" s="22" t="e">
        <f aca="false">AND(#REF!,"AAAAAD/56qA=")</f>
        <v>#VALUE!</v>
      </c>
      <c r="FF95" s="22" t="e">
        <f aca="false">AND(#REF!,"AAAAAD/56qE=")</f>
        <v>#VALUE!</v>
      </c>
      <c r="FG95" s="22" t="e">
        <f aca="false">AND(#REF!,"AAAAAD/56qI=")</f>
        <v>#VALUE!</v>
      </c>
      <c r="FH95" s="22" t="e">
        <f aca="false">AND(#REF!,"AAAAAD/56qM=")</f>
        <v>#VALUE!</v>
      </c>
      <c r="FI95" s="22" t="e">
        <f aca="false">IF(#REF!,"AAAAAD/56qQ=",0)</f>
        <v>#REF!</v>
      </c>
      <c r="FJ95" s="22" t="e">
        <f aca="false">AND(#REF!,"AAAAAD/56qU=")</f>
        <v>#VALUE!</v>
      </c>
      <c r="FK95" s="22" t="e">
        <f aca="false">AND(#REF!,"AAAAAD/56qY=")</f>
        <v>#VALUE!</v>
      </c>
      <c r="FL95" s="22" t="e">
        <f aca="false">AND(#REF!,"AAAAAD/56qc=")</f>
        <v>#VALUE!</v>
      </c>
      <c r="FM95" s="22" t="e">
        <f aca="false">AND(#REF!,"AAAAAD/56qg=")</f>
        <v>#VALUE!</v>
      </c>
      <c r="FN95" s="22" t="e">
        <f aca="false">AND(#REF!,"AAAAAD/56qk=")</f>
        <v>#VALUE!</v>
      </c>
      <c r="FO95" s="22" t="e">
        <f aca="false">AND(#REF!,"AAAAAD/56qo=")</f>
        <v>#VALUE!</v>
      </c>
      <c r="FP95" s="22" t="e">
        <f aca="false">AND(#REF!,"AAAAAD/56qs=")</f>
        <v>#VALUE!</v>
      </c>
      <c r="FQ95" s="22" t="e">
        <f aca="false">AND(#REF!,"AAAAAD/56qw=")</f>
        <v>#VALUE!</v>
      </c>
      <c r="FR95" s="22" t="e">
        <f aca="false">IF(#REF!,"AAAAAD/56q0=",0)</f>
        <v>#REF!</v>
      </c>
      <c r="FS95" s="22" t="e">
        <f aca="false">AND(#REF!,"AAAAAD/56q4=")</f>
        <v>#VALUE!</v>
      </c>
      <c r="FT95" s="22" t="e">
        <f aca="false">AND(#REF!,"AAAAAD/56q8=")</f>
        <v>#VALUE!</v>
      </c>
      <c r="FU95" s="22" t="e">
        <f aca="false">AND(#REF!,"AAAAAD/56rA=")</f>
        <v>#VALUE!</v>
      </c>
      <c r="FV95" s="22" t="e">
        <f aca="false">AND(#REF!,"AAAAAD/56rE=")</f>
        <v>#VALUE!</v>
      </c>
      <c r="FW95" s="22" t="e">
        <f aca="false">AND(#REF!,"AAAAAD/56rI=")</f>
        <v>#VALUE!</v>
      </c>
      <c r="FX95" s="22" t="e">
        <f aca="false">AND(#REF!,"AAAAAD/56rM=")</f>
        <v>#VALUE!</v>
      </c>
      <c r="FY95" s="22" t="e">
        <f aca="false">AND(#REF!,"AAAAAD/56rQ=")</f>
        <v>#VALUE!</v>
      </c>
      <c r="FZ95" s="22" t="e">
        <f aca="false">AND(#REF!,"AAAAAD/56rU=")</f>
        <v>#VALUE!</v>
      </c>
      <c r="GA95" s="22" t="e">
        <f aca="false">IF(#REF!,"AAAAAD/56rY=",0)</f>
        <v>#REF!</v>
      </c>
      <c r="GB95" s="22" t="e">
        <f aca="false">AND(#REF!,"AAAAAD/56rc=")</f>
        <v>#VALUE!</v>
      </c>
      <c r="GC95" s="22" t="e">
        <f aca="false">AND(#REF!,"AAAAAD/56rg=")</f>
        <v>#VALUE!</v>
      </c>
      <c r="GD95" s="22" t="e">
        <f aca="false">AND(#REF!,"AAAAAD/56rk=")</f>
        <v>#VALUE!</v>
      </c>
      <c r="GE95" s="22" t="e">
        <f aca="false">AND(#REF!,"AAAAAD/56ro=")</f>
        <v>#VALUE!</v>
      </c>
      <c r="GF95" s="22" t="e">
        <f aca="false">AND(#REF!,"AAAAAD/56rs=")</f>
        <v>#VALUE!</v>
      </c>
      <c r="GG95" s="22" t="e">
        <f aca="false">AND(#REF!,"AAAAAD/56rw=")</f>
        <v>#VALUE!</v>
      </c>
      <c r="GH95" s="22" t="e">
        <f aca="false">AND(#REF!,"AAAAAD/56r0=")</f>
        <v>#VALUE!</v>
      </c>
      <c r="GI95" s="22" t="e">
        <f aca="false">AND(#REF!,"AAAAAD/56r4=")</f>
        <v>#VALUE!</v>
      </c>
      <c r="GJ95" s="22" t="e">
        <f aca="false">IF(#REF!,"AAAAAD/56r8=",0)</f>
        <v>#REF!</v>
      </c>
      <c r="GK95" s="22" t="e">
        <f aca="false">AND(#REF!,"AAAAAD/56sA=")</f>
        <v>#VALUE!</v>
      </c>
      <c r="GL95" s="22" t="e">
        <f aca="false">AND(#REF!,"AAAAAD/56sE=")</f>
        <v>#VALUE!</v>
      </c>
      <c r="GM95" s="22" t="e">
        <f aca="false">AND(#REF!,"AAAAAD/56sI=")</f>
        <v>#VALUE!</v>
      </c>
      <c r="GN95" s="22" t="e">
        <f aca="false">AND(#REF!,"AAAAAD/56sM=")</f>
        <v>#VALUE!</v>
      </c>
      <c r="GO95" s="22" t="e">
        <f aca="false">AND(#REF!,"AAAAAD/56sQ=")</f>
        <v>#VALUE!</v>
      </c>
      <c r="GP95" s="22" t="e">
        <f aca="false">AND(#REF!,"AAAAAD/56sU=")</f>
        <v>#VALUE!</v>
      </c>
      <c r="GQ95" s="22" t="e">
        <f aca="false">AND(#REF!,"AAAAAD/56sY=")</f>
        <v>#VALUE!</v>
      </c>
      <c r="GR95" s="22" t="e">
        <f aca="false">AND(#REF!,"AAAAAD/56sc=")</f>
        <v>#VALUE!</v>
      </c>
      <c r="GS95" s="22" t="e">
        <f aca="false">IF(#REF!,"AAAAAD/56sg=",0)</f>
        <v>#REF!</v>
      </c>
      <c r="GT95" s="22" t="e">
        <f aca="false">AND(#REF!,"AAAAAD/56sk=")</f>
        <v>#VALUE!</v>
      </c>
      <c r="GU95" s="22" t="e">
        <f aca="false">AND(#REF!,"AAAAAD/56so=")</f>
        <v>#VALUE!</v>
      </c>
      <c r="GV95" s="22" t="e">
        <f aca="false">AND(#REF!,"AAAAAD/56ss=")</f>
        <v>#VALUE!</v>
      </c>
      <c r="GW95" s="22" t="e">
        <f aca="false">AND(#REF!,"AAAAAD/56sw=")</f>
        <v>#VALUE!</v>
      </c>
      <c r="GX95" s="22" t="e">
        <f aca="false">AND(#REF!,"AAAAAD/56s0=")</f>
        <v>#VALUE!</v>
      </c>
      <c r="GY95" s="22" t="e">
        <f aca="false">AND(#REF!,"AAAAAD/56s4=")</f>
        <v>#VALUE!</v>
      </c>
      <c r="GZ95" s="22" t="e">
        <f aca="false">AND(#REF!,"AAAAAD/56s8=")</f>
        <v>#VALUE!</v>
      </c>
      <c r="HA95" s="22" t="e">
        <f aca="false">AND(#REF!,"AAAAAD/56tA=")</f>
        <v>#VALUE!</v>
      </c>
      <c r="HB95" s="22" t="e">
        <f aca="false">IF(#REF!,"AAAAAD/56tE=",0)</f>
        <v>#REF!</v>
      </c>
      <c r="HC95" s="22" t="e">
        <f aca="false">AND(#REF!,"AAAAAD/56tI=")</f>
        <v>#VALUE!</v>
      </c>
      <c r="HD95" s="22" t="e">
        <f aca="false">AND(#REF!,"AAAAAD/56tM=")</f>
        <v>#VALUE!</v>
      </c>
      <c r="HE95" s="22" t="e">
        <f aca="false">AND(#REF!,"AAAAAD/56tQ=")</f>
        <v>#VALUE!</v>
      </c>
      <c r="HF95" s="22" t="e">
        <f aca="false">AND(#REF!,"AAAAAD/56tU=")</f>
        <v>#VALUE!</v>
      </c>
      <c r="HG95" s="22" t="e">
        <f aca="false">AND(#REF!,"AAAAAD/56tY=")</f>
        <v>#VALUE!</v>
      </c>
      <c r="HH95" s="22" t="e">
        <f aca="false">AND(#REF!,"AAAAAD/56tc=")</f>
        <v>#VALUE!</v>
      </c>
      <c r="HI95" s="22" t="e">
        <f aca="false">AND(#REF!,"AAAAAD/56tg=")</f>
        <v>#VALUE!</v>
      </c>
      <c r="HJ95" s="22" t="e">
        <f aca="false">AND(#REF!,"AAAAAD/56tk=")</f>
        <v>#VALUE!</v>
      </c>
      <c r="HK95" s="22" t="e">
        <f aca="false">IF(#REF!,"AAAAAD/56to=",0)</f>
        <v>#REF!</v>
      </c>
      <c r="HL95" s="22" t="e">
        <f aca="false">AND(#REF!,"AAAAAD/56ts=")</f>
        <v>#VALUE!</v>
      </c>
      <c r="HM95" s="22" t="e">
        <f aca="false">AND(#REF!,"AAAAAD/56tw=")</f>
        <v>#VALUE!</v>
      </c>
      <c r="HN95" s="22" t="e">
        <f aca="false">AND(#REF!,"AAAAAD/56t0=")</f>
        <v>#VALUE!</v>
      </c>
      <c r="HO95" s="22" t="e">
        <f aca="false">AND(#REF!,"AAAAAD/56t4=")</f>
        <v>#VALUE!</v>
      </c>
      <c r="HP95" s="22" t="e">
        <f aca="false">AND(#REF!,"AAAAAD/56t8=")</f>
        <v>#VALUE!</v>
      </c>
      <c r="HQ95" s="22" t="e">
        <f aca="false">AND(#REF!,"AAAAAD/56uA=")</f>
        <v>#VALUE!</v>
      </c>
      <c r="HR95" s="22" t="e">
        <f aca="false">AND(#REF!,"AAAAAD/56uE=")</f>
        <v>#VALUE!</v>
      </c>
      <c r="HS95" s="22" t="e">
        <f aca="false">AND(#REF!,"AAAAAD/56uI=")</f>
        <v>#VALUE!</v>
      </c>
      <c r="HT95" s="22" t="e">
        <f aca="false">IF(#REF!,"AAAAAD/56uM=",0)</f>
        <v>#REF!</v>
      </c>
      <c r="HU95" s="22" t="e">
        <f aca="false">AND(#REF!,"AAAAAD/56uQ=")</f>
        <v>#VALUE!</v>
      </c>
      <c r="HV95" s="22" t="e">
        <f aca="false">AND(#REF!,"AAAAAD/56uU=")</f>
        <v>#VALUE!</v>
      </c>
      <c r="HW95" s="22" t="e">
        <f aca="false">AND(#REF!,"AAAAAD/56uY=")</f>
        <v>#VALUE!</v>
      </c>
      <c r="HX95" s="22" t="e">
        <f aca="false">AND(#REF!,"AAAAAD/56uc=")</f>
        <v>#VALUE!</v>
      </c>
      <c r="HY95" s="22" t="e">
        <f aca="false">AND(#REF!,"AAAAAD/56ug=")</f>
        <v>#VALUE!</v>
      </c>
      <c r="HZ95" s="22" t="e">
        <f aca="false">AND(#REF!,"AAAAAD/56uk=")</f>
        <v>#VALUE!</v>
      </c>
      <c r="IA95" s="22" t="e">
        <f aca="false">AND(#REF!,"AAAAAD/56uo=")</f>
        <v>#VALUE!</v>
      </c>
      <c r="IB95" s="22" t="e">
        <f aca="false">AND(#REF!,"AAAAAD/56us=")</f>
        <v>#VALUE!</v>
      </c>
      <c r="IC95" s="22" t="e">
        <f aca="false">IF(#REF!,"AAAAAD/56uw=",0)</f>
        <v>#REF!</v>
      </c>
      <c r="ID95" s="22" t="e">
        <f aca="false">AND(#REF!,"AAAAAD/56u0=")</f>
        <v>#VALUE!</v>
      </c>
      <c r="IE95" s="22" t="e">
        <f aca="false">AND(#REF!,"AAAAAD/56u4=")</f>
        <v>#VALUE!</v>
      </c>
      <c r="IF95" s="22" t="e">
        <f aca="false">AND(#REF!,"AAAAAD/56u8=")</f>
        <v>#VALUE!</v>
      </c>
      <c r="IG95" s="22" t="e">
        <f aca="false">AND(#REF!,"AAAAAD/56vA=")</f>
        <v>#VALUE!</v>
      </c>
      <c r="IH95" s="22" t="e">
        <f aca="false">AND(#REF!,"AAAAAD/56vE=")</f>
        <v>#VALUE!</v>
      </c>
      <c r="II95" s="22" t="e">
        <f aca="false">AND(#REF!,"AAAAAD/56vI=")</f>
        <v>#VALUE!</v>
      </c>
      <c r="IJ95" s="22" t="e">
        <f aca="false">AND(#REF!,"AAAAAD/56vM=")</f>
        <v>#VALUE!</v>
      </c>
      <c r="IK95" s="22" t="e">
        <f aca="false">AND(#REF!,"AAAAAD/56vQ=")</f>
        <v>#VALUE!</v>
      </c>
      <c r="IL95" s="22" t="e">
        <f aca="false">IF(#REF!,"AAAAAD/56vU=",0)</f>
        <v>#REF!</v>
      </c>
      <c r="IM95" s="22" t="e">
        <f aca="false">AND(#REF!,"AAAAAD/56vY=")</f>
        <v>#VALUE!</v>
      </c>
      <c r="IN95" s="22" t="e">
        <f aca="false">AND(#REF!,"AAAAAD/56vc=")</f>
        <v>#VALUE!</v>
      </c>
      <c r="IO95" s="22" t="e">
        <f aca="false">AND(#REF!,"AAAAAD/56vg=")</f>
        <v>#VALUE!</v>
      </c>
      <c r="IP95" s="22" t="e">
        <f aca="false">AND(#REF!,"AAAAAD/56vk=")</f>
        <v>#VALUE!</v>
      </c>
      <c r="IQ95" s="22" t="e">
        <f aca="false">AND(#REF!,"AAAAAD/56vo=")</f>
        <v>#VALUE!</v>
      </c>
      <c r="IR95" s="22" t="e">
        <f aca="false">AND(#REF!,"AAAAAD/56vs=")</f>
        <v>#VALUE!</v>
      </c>
      <c r="IS95" s="22" t="e">
        <f aca="false">AND(#REF!,"AAAAAD/56vw=")</f>
        <v>#VALUE!</v>
      </c>
      <c r="IT95" s="22" t="e">
        <f aca="false">AND(#REF!,"AAAAAD/56v0=")</f>
        <v>#VALUE!</v>
      </c>
      <c r="IU95" s="22" t="e">
        <f aca="false">IF(#REF!,"AAAAAD/56v4=",0)</f>
        <v>#REF!</v>
      </c>
      <c r="IV95" s="22" t="e">
        <f aca="false">AND(#REF!,"AAAAAD/56v8=")</f>
        <v>#VALUE!</v>
      </c>
    </row>
    <row r="96" customFormat="false" ht="12.75" hidden="false" customHeight="false" outlineLevel="0" collapsed="false">
      <c r="A96" s="22" t="e">
        <f aca="false">AND(#REF!,"AAAAAH7T+QA=")</f>
        <v>#VALUE!</v>
      </c>
      <c r="B96" s="22" t="e">
        <f aca="false">AND(#REF!,"AAAAAH7T+QE=")</f>
        <v>#VALUE!</v>
      </c>
      <c r="C96" s="22" t="e">
        <f aca="false">AND(#REF!,"AAAAAH7T+QI=")</f>
        <v>#VALUE!</v>
      </c>
      <c r="D96" s="22" t="e">
        <f aca="false">AND(#REF!,"AAAAAH7T+QM=")</f>
        <v>#VALUE!</v>
      </c>
      <c r="E96" s="22" t="e">
        <f aca="false">AND(#REF!,"AAAAAH7T+QQ=")</f>
        <v>#VALUE!</v>
      </c>
      <c r="F96" s="22" t="e">
        <f aca="false">AND(#REF!,"AAAAAH7T+QU=")</f>
        <v>#VALUE!</v>
      </c>
      <c r="G96" s="22" t="e">
        <f aca="false">AND(#REF!,"AAAAAH7T+QY=")</f>
        <v>#VALUE!</v>
      </c>
      <c r="H96" s="22" t="e">
        <f aca="false">IF(#REF!,"AAAAAH7T+Qc=",0)</f>
        <v>#REF!</v>
      </c>
      <c r="I96" s="22" t="e">
        <f aca="false">AND(#REF!,"AAAAAH7T+Qg=")</f>
        <v>#VALUE!</v>
      </c>
      <c r="J96" s="22" t="e">
        <f aca="false">AND(#REF!,"AAAAAH7T+Qk=")</f>
        <v>#VALUE!</v>
      </c>
      <c r="K96" s="22" t="e">
        <f aca="false">AND(#REF!,"AAAAAH7T+Qo=")</f>
        <v>#VALUE!</v>
      </c>
      <c r="L96" s="22" t="e">
        <f aca="false">AND(#REF!,"AAAAAH7T+Qs=")</f>
        <v>#VALUE!</v>
      </c>
      <c r="M96" s="22" t="e">
        <f aca="false">AND(#REF!,"AAAAAH7T+Qw=")</f>
        <v>#VALUE!</v>
      </c>
      <c r="N96" s="22" t="e">
        <f aca="false">AND(#REF!,"AAAAAH7T+Q0=")</f>
        <v>#VALUE!</v>
      </c>
      <c r="O96" s="22" t="e">
        <f aca="false">AND(#REF!,"AAAAAH7T+Q4=")</f>
        <v>#VALUE!</v>
      </c>
      <c r="P96" s="22" t="e">
        <f aca="false">AND(#REF!,"AAAAAH7T+Q8=")</f>
        <v>#VALUE!</v>
      </c>
      <c r="Q96" s="22" t="e">
        <f aca="false">IF(#REF!,"AAAAAH7T+RA=",0)</f>
        <v>#REF!</v>
      </c>
      <c r="R96" s="22" t="e">
        <f aca="false">AND(#REF!,"AAAAAH7T+RE=")</f>
        <v>#VALUE!</v>
      </c>
      <c r="S96" s="22" t="e">
        <f aca="false">AND(#REF!,"AAAAAH7T+RI=")</f>
        <v>#VALUE!</v>
      </c>
      <c r="T96" s="22" t="e">
        <f aca="false">AND(#REF!,"AAAAAH7T+RM=")</f>
        <v>#VALUE!</v>
      </c>
      <c r="U96" s="22" t="e">
        <f aca="false">AND(#REF!,"AAAAAH7T+RQ=")</f>
        <v>#VALUE!</v>
      </c>
      <c r="V96" s="22" t="e">
        <f aca="false">AND(#REF!,"AAAAAH7T+RU=")</f>
        <v>#VALUE!</v>
      </c>
      <c r="W96" s="22" t="e">
        <f aca="false">AND(#REF!,"AAAAAH7T+RY=")</f>
        <v>#VALUE!</v>
      </c>
      <c r="X96" s="22" t="e">
        <f aca="false">AND(#REF!,"AAAAAH7T+Rc=")</f>
        <v>#VALUE!</v>
      </c>
      <c r="Y96" s="22" t="e">
        <f aca="false">AND(#REF!,"AAAAAH7T+Rg=")</f>
        <v>#VALUE!</v>
      </c>
      <c r="Z96" s="22" t="e">
        <f aca="false">IF(#REF!,"AAAAAH7T+Rk=",0)</f>
        <v>#REF!</v>
      </c>
      <c r="AA96" s="22" t="e">
        <f aca="false">AND(#REF!,"AAAAAH7T+Ro=")</f>
        <v>#VALUE!</v>
      </c>
      <c r="AB96" s="22" t="e">
        <f aca="false">AND(#REF!,"AAAAAH7T+Rs=")</f>
        <v>#VALUE!</v>
      </c>
      <c r="AC96" s="22" t="e">
        <f aca="false">AND(#REF!,"AAAAAH7T+Rw=")</f>
        <v>#VALUE!</v>
      </c>
      <c r="AD96" s="22" t="e">
        <f aca="false">AND(#REF!,"AAAAAH7T+R0=")</f>
        <v>#VALUE!</v>
      </c>
      <c r="AE96" s="22" t="e">
        <f aca="false">AND(#REF!,"AAAAAH7T+R4=")</f>
        <v>#VALUE!</v>
      </c>
      <c r="AF96" s="22" t="e">
        <f aca="false">AND(#REF!,"AAAAAH7T+R8=")</f>
        <v>#VALUE!</v>
      </c>
      <c r="AG96" s="22" t="e">
        <f aca="false">AND(#REF!,"AAAAAH7T+SA=")</f>
        <v>#VALUE!</v>
      </c>
      <c r="AH96" s="22" t="e">
        <f aca="false">AND(#REF!,"AAAAAH7T+SE=")</f>
        <v>#VALUE!</v>
      </c>
      <c r="AI96" s="22" t="e">
        <f aca="false">IF(#REF!,"AAAAAH7T+SI=",0)</f>
        <v>#REF!</v>
      </c>
      <c r="AJ96" s="22" t="e">
        <f aca="false">AND(#REF!,"AAAAAH7T+SM=")</f>
        <v>#VALUE!</v>
      </c>
      <c r="AK96" s="22" t="e">
        <f aca="false">AND(#REF!,"AAAAAH7T+SQ=")</f>
        <v>#VALUE!</v>
      </c>
      <c r="AL96" s="22" t="e">
        <f aca="false">AND(#REF!,"AAAAAH7T+SU=")</f>
        <v>#VALUE!</v>
      </c>
      <c r="AM96" s="22" t="e">
        <f aca="false">AND(#REF!,"AAAAAH7T+SY=")</f>
        <v>#VALUE!</v>
      </c>
      <c r="AN96" s="22" t="e">
        <f aca="false">AND(#REF!,"AAAAAH7T+Sc=")</f>
        <v>#VALUE!</v>
      </c>
      <c r="AO96" s="22" t="e">
        <f aca="false">AND(#REF!,"AAAAAH7T+Sg=")</f>
        <v>#VALUE!</v>
      </c>
      <c r="AP96" s="22" t="e">
        <f aca="false">AND(#REF!,"AAAAAH7T+Sk=")</f>
        <v>#VALUE!</v>
      </c>
      <c r="AQ96" s="22" t="e">
        <f aca="false">AND(#REF!,"AAAAAH7T+So=")</f>
        <v>#VALUE!</v>
      </c>
      <c r="AR96" s="22" t="e">
        <f aca="false">IF(#REF!,"AAAAAH7T+Ss=",0)</f>
        <v>#REF!</v>
      </c>
      <c r="AS96" s="22" t="e">
        <f aca="false">AND(#REF!,"AAAAAH7T+Sw=")</f>
        <v>#VALUE!</v>
      </c>
      <c r="AT96" s="22" t="e">
        <f aca="false">AND(#REF!,"AAAAAH7T+S0=")</f>
        <v>#VALUE!</v>
      </c>
      <c r="AU96" s="22" t="e">
        <f aca="false">AND(#REF!,"AAAAAH7T+S4=")</f>
        <v>#VALUE!</v>
      </c>
      <c r="AV96" s="22" t="e">
        <f aca="false">AND(#REF!,"AAAAAH7T+S8=")</f>
        <v>#VALUE!</v>
      </c>
      <c r="AW96" s="22" t="e">
        <f aca="false">AND(#REF!,"AAAAAH7T+TA=")</f>
        <v>#VALUE!</v>
      </c>
      <c r="AX96" s="22" t="e">
        <f aca="false">AND(#REF!,"AAAAAH7T+TE=")</f>
        <v>#VALUE!</v>
      </c>
      <c r="AY96" s="22" t="e">
        <f aca="false">AND(#REF!,"AAAAAH7T+TI=")</f>
        <v>#VALUE!</v>
      </c>
      <c r="AZ96" s="22" t="e">
        <f aca="false">AND(#REF!,"AAAAAH7T+TM=")</f>
        <v>#VALUE!</v>
      </c>
      <c r="BA96" s="22" t="e">
        <f aca="false">IF(#REF!,"AAAAAH7T+TQ=",0)</f>
        <v>#REF!</v>
      </c>
      <c r="BB96" s="22" t="e">
        <f aca="false">AND(#REF!,"AAAAAH7T+TU=")</f>
        <v>#VALUE!</v>
      </c>
      <c r="BC96" s="22" t="e">
        <f aca="false">AND(#REF!,"AAAAAH7T+TY=")</f>
        <v>#VALUE!</v>
      </c>
      <c r="BD96" s="22" t="e">
        <f aca="false">AND(#REF!,"AAAAAH7T+Tc=")</f>
        <v>#VALUE!</v>
      </c>
      <c r="BE96" s="22" t="e">
        <f aca="false">AND(#REF!,"AAAAAH7T+Tg=")</f>
        <v>#VALUE!</v>
      </c>
      <c r="BF96" s="22" t="e">
        <f aca="false">AND(#REF!,"AAAAAH7T+Tk=")</f>
        <v>#VALUE!</v>
      </c>
      <c r="BG96" s="22" t="e">
        <f aca="false">AND(#REF!,"AAAAAH7T+To=")</f>
        <v>#VALUE!</v>
      </c>
      <c r="BH96" s="22" t="e">
        <f aca="false">AND(#REF!,"AAAAAH7T+Ts=")</f>
        <v>#VALUE!</v>
      </c>
      <c r="BI96" s="22" t="e">
        <f aca="false">AND(#REF!,"AAAAAH7T+Tw=")</f>
        <v>#VALUE!</v>
      </c>
      <c r="BJ96" s="22" t="e">
        <f aca="false">IF(#REF!,"AAAAAH7T+T0=",0)</f>
        <v>#REF!</v>
      </c>
      <c r="BK96" s="22" t="e">
        <f aca="false">AND(#REF!,"AAAAAH7T+T4=")</f>
        <v>#VALUE!</v>
      </c>
      <c r="BL96" s="22" t="e">
        <f aca="false">AND(#REF!,"AAAAAH7T+T8=")</f>
        <v>#VALUE!</v>
      </c>
      <c r="BM96" s="22" t="e">
        <f aca="false">AND(#REF!,"AAAAAH7T+UA=")</f>
        <v>#VALUE!</v>
      </c>
      <c r="BN96" s="22" t="e">
        <f aca="false">AND(#REF!,"AAAAAH7T+UE=")</f>
        <v>#VALUE!</v>
      </c>
      <c r="BO96" s="22" t="e">
        <f aca="false">AND(#REF!,"AAAAAH7T+UI=")</f>
        <v>#VALUE!</v>
      </c>
      <c r="BP96" s="22" t="e">
        <f aca="false">AND(#REF!,"AAAAAH7T+UM=")</f>
        <v>#VALUE!</v>
      </c>
      <c r="BQ96" s="22" t="e">
        <f aca="false">AND(#REF!,"AAAAAH7T+UQ=")</f>
        <v>#VALUE!</v>
      </c>
      <c r="BR96" s="22" t="e">
        <f aca="false">AND(#REF!,"AAAAAH7T+UU=")</f>
        <v>#VALUE!</v>
      </c>
      <c r="BS96" s="22" t="e">
        <f aca="false">IF(#REF!,"AAAAAH7T+UY=",0)</f>
        <v>#REF!</v>
      </c>
      <c r="BT96" s="22" t="e">
        <f aca="false">AND(#REF!,"AAAAAH7T+Uc=")</f>
        <v>#VALUE!</v>
      </c>
      <c r="BU96" s="22" t="e">
        <f aca="false">AND(#REF!,"AAAAAH7T+Ug=")</f>
        <v>#VALUE!</v>
      </c>
      <c r="BV96" s="22" t="e">
        <f aca="false">AND(#REF!,"AAAAAH7T+Uk=")</f>
        <v>#VALUE!</v>
      </c>
      <c r="BW96" s="22" t="e">
        <f aca="false">AND(#REF!,"AAAAAH7T+Uo=")</f>
        <v>#VALUE!</v>
      </c>
      <c r="BX96" s="22" t="e">
        <f aca="false">AND(#REF!,"AAAAAH7T+Us=")</f>
        <v>#VALUE!</v>
      </c>
      <c r="BY96" s="22" t="e">
        <f aca="false">AND(#REF!,"AAAAAH7T+Uw=")</f>
        <v>#VALUE!</v>
      </c>
      <c r="BZ96" s="22" t="e">
        <f aca="false">AND(#REF!,"AAAAAH7T+U0=")</f>
        <v>#VALUE!</v>
      </c>
      <c r="CA96" s="22" t="e">
        <f aca="false">AND(#REF!,"AAAAAH7T+U4=")</f>
        <v>#VALUE!</v>
      </c>
      <c r="CB96" s="22" t="e">
        <f aca="false">IF(#REF!,"AAAAAH7T+U8=",0)</f>
        <v>#REF!</v>
      </c>
      <c r="CC96" s="22" t="e">
        <f aca="false">AND(#REF!,"AAAAAH7T+VA=")</f>
        <v>#VALUE!</v>
      </c>
      <c r="CD96" s="22" t="e">
        <f aca="false">AND(#REF!,"AAAAAH7T+VE=")</f>
        <v>#VALUE!</v>
      </c>
      <c r="CE96" s="22" t="e">
        <f aca="false">AND(#REF!,"AAAAAH7T+VI=")</f>
        <v>#VALUE!</v>
      </c>
      <c r="CF96" s="22" t="e">
        <f aca="false">AND(#REF!,"AAAAAH7T+VM=")</f>
        <v>#VALUE!</v>
      </c>
      <c r="CG96" s="22" t="e">
        <f aca="false">AND(#REF!,"AAAAAH7T+VQ=")</f>
        <v>#VALUE!</v>
      </c>
      <c r="CH96" s="22" t="e">
        <f aca="false">AND(#REF!,"AAAAAH7T+VU=")</f>
        <v>#VALUE!</v>
      </c>
      <c r="CI96" s="22" t="e">
        <f aca="false">AND(#REF!,"AAAAAH7T+VY=")</f>
        <v>#VALUE!</v>
      </c>
      <c r="CJ96" s="22" t="e">
        <f aca="false">AND(#REF!,"AAAAAH7T+Vc=")</f>
        <v>#VALUE!</v>
      </c>
      <c r="CK96" s="22" t="e">
        <f aca="false">IF(#REF!,"AAAAAH7T+Vg=",0)</f>
        <v>#REF!</v>
      </c>
      <c r="CL96" s="22" t="e">
        <f aca="false">AND(#REF!,"AAAAAH7T+Vk=")</f>
        <v>#VALUE!</v>
      </c>
      <c r="CM96" s="22" t="e">
        <f aca="false">AND(#REF!,"AAAAAH7T+Vo=")</f>
        <v>#VALUE!</v>
      </c>
      <c r="CN96" s="22" t="e">
        <f aca="false">AND(#REF!,"AAAAAH7T+Vs=")</f>
        <v>#VALUE!</v>
      </c>
      <c r="CO96" s="22" t="e">
        <f aca="false">AND(#REF!,"AAAAAH7T+Vw=")</f>
        <v>#VALUE!</v>
      </c>
      <c r="CP96" s="22" t="e">
        <f aca="false">AND(#REF!,"AAAAAH7T+V0=")</f>
        <v>#VALUE!</v>
      </c>
      <c r="CQ96" s="22" t="e">
        <f aca="false">AND(#REF!,"AAAAAH7T+V4=")</f>
        <v>#VALUE!</v>
      </c>
      <c r="CR96" s="22" t="e">
        <f aca="false">AND(#REF!,"AAAAAH7T+V8=")</f>
        <v>#VALUE!</v>
      </c>
      <c r="CS96" s="22" t="e">
        <f aca="false">AND(#REF!,"AAAAAH7T+WA=")</f>
        <v>#VALUE!</v>
      </c>
      <c r="CT96" s="22" t="e">
        <f aca="false">IF(#REF!,"AAAAAH7T+WE=",0)</f>
        <v>#REF!</v>
      </c>
      <c r="CU96" s="22" t="e">
        <f aca="false">AND(#REF!,"AAAAAH7T+WI=")</f>
        <v>#VALUE!</v>
      </c>
      <c r="CV96" s="22" t="e">
        <f aca="false">AND(#REF!,"AAAAAH7T+WM=")</f>
        <v>#VALUE!</v>
      </c>
      <c r="CW96" s="22" t="e">
        <f aca="false">AND(#REF!,"AAAAAH7T+WQ=")</f>
        <v>#VALUE!</v>
      </c>
      <c r="CX96" s="22" t="e">
        <f aca="false">AND(#REF!,"AAAAAH7T+WU=")</f>
        <v>#VALUE!</v>
      </c>
      <c r="CY96" s="22" t="e">
        <f aca="false">AND(#REF!,"AAAAAH7T+WY=")</f>
        <v>#VALUE!</v>
      </c>
      <c r="CZ96" s="22" t="e">
        <f aca="false">AND(#REF!,"AAAAAH7T+Wc=")</f>
        <v>#VALUE!</v>
      </c>
      <c r="DA96" s="22" t="e">
        <f aca="false">AND(#REF!,"AAAAAH7T+Wg=")</f>
        <v>#VALUE!</v>
      </c>
      <c r="DB96" s="22" t="e">
        <f aca="false">AND(#REF!,"AAAAAH7T+Wk=")</f>
        <v>#VALUE!</v>
      </c>
      <c r="DC96" s="22" t="e">
        <f aca="false">IF(#REF!,"AAAAAH7T+Wo=",0)</f>
        <v>#REF!</v>
      </c>
      <c r="DD96" s="22" t="e">
        <f aca="false">AND(#REF!,"AAAAAH7T+Ws=")</f>
        <v>#VALUE!</v>
      </c>
      <c r="DE96" s="22" t="e">
        <f aca="false">AND(#REF!,"AAAAAH7T+Ww=")</f>
        <v>#VALUE!</v>
      </c>
      <c r="DF96" s="22" t="e">
        <f aca="false">AND(#REF!,"AAAAAH7T+W0=")</f>
        <v>#VALUE!</v>
      </c>
      <c r="DG96" s="22" t="e">
        <f aca="false">AND(#REF!,"AAAAAH7T+W4=")</f>
        <v>#VALUE!</v>
      </c>
      <c r="DH96" s="22" t="e">
        <f aca="false">AND(#REF!,"AAAAAH7T+W8=")</f>
        <v>#VALUE!</v>
      </c>
      <c r="DI96" s="22" t="e">
        <f aca="false">AND(#REF!,"AAAAAH7T+XA=")</f>
        <v>#VALUE!</v>
      </c>
      <c r="DJ96" s="22" t="e">
        <f aca="false">AND(#REF!,"AAAAAH7T+XE=")</f>
        <v>#VALUE!</v>
      </c>
      <c r="DK96" s="22" t="e">
        <f aca="false">AND(#REF!,"AAAAAH7T+XI=")</f>
        <v>#VALUE!</v>
      </c>
      <c r="DL96" s="22" t="e">
        <f aca="false">IF(#REF!,"AAAAAH7T+XM=",0)</f>
        <v>#REF!</v>
      </c>
      <c r="DM96" s="22" t="e">
        <f aca="false">AND(#REF!,"AAAAAH7T+XQ=")</f>
        <v>#VALUE!</v>
      </c>
      <c r="DN96" s="22" t="e">
        <f aca="false">AND(#REF!,"AAAAAH7T+XU=")</f>
        <v>#VALUE!</v>
      </c>
      <c r="DO96" s="22" t="e">
        <f aca="false">AND(#REF!,"AAAAAH7T+XY=")</f>
        <v>#VALUE!</v>
      </c>
      <c r="DP96" s="22" t="e">
        <f aca="false">AND(#REF!,"AAAAAH7T+Xc=")</f>
        <v>#VALUE!</v>
      </c>
      <c r="DQ96" s="22" t="e">
        <f aca="false">AND(#REF!,"AAAAAH7T+Xg=")</f>
        <v>#VALUE!</v>
      </c>
      <c r="DR96" s="22" t="e">
        <f aca="false">AND(#REF!,"AAAAAH7T+Xk=")</f>
        <v>#VALUE!</v>
      </c>
      <c r="DS96" s="22" t="e">
        <f aca="false">AND(#REF!,"AAAAAH7T+Xo=")</f>
        <v>#VALUE!</v>
      </c>
      <c r="DT96" s="22" t="e">
        <f aca="false">AND(#REF!,"AAAAAH7T+Xs=")</f>
        <v>#VALUE!</v>
      </c>
      <c r="DU96" s="22" t="e">
        <f aca="false">IF(#REF!,"AAAAAH7T+Xw=",0)</f>
        <v>#REF!</v>
      </c>
      <c r="DV96" s="22" t="e">
        <f aca="false">AND(#REF!,"AAAAAH7T+X0=")</f>
        <v>#VALUE!</v>
      </c>
      <c r="DW96" s="22" t="e">
        <f aca="false">AND(#REF!,"AAAAAH7T+X4=")</f>
        <v>#VALUE!</v>
      </c>
      <c r="DX96" s="22" t="e">
        <f aca="false">AND(#REF!,"AAAAAH7T+X8=")</f>
        <v>#VALUE!</v>
      </c>
      <c r="DY96" s="22" t="e">
        <f aca="false">AND(#REF!,"AAAAAH7T+YA=")</f>
        <v>#VALUE!</v>
      </c>
      <c r="DZ96" s="22" t="e">
        <f aca="false">AND(#REF!,"AAAAAH7T+YE=")</f>
        <v>#VALUE!</v>
      </c>
      <c r="EA96" s="22" t="e">
        <f aca="false">AND(#REF!,"AAAAAH7T+YI=")</f>
        <v>#VALUE!</v>
      </c>
      <c r="EB96" s="22" t="e">
        <f aca="false">AND(#REF!,"AAAAAH7T+YM=")</f>
        <v>#VALUE!</v>
      </c>
      <c r="EC96" s="22" t="e">
        <f aca="false">AND(#REF!,"AAAAAH7T+YQ=")</f>
        <v>#VALUE!</v>
      </c>
      <c r="ED96" s="22" t="e">
        <f aca="false">IF(#REF!,"AAAAAH7T+YU=",0)</f>
        <v>#REF!</v>
      </c>
      <c r="EE96" s="22" t="e">
        <f aca="false">AND(#REF!,"AAAAAH7T+YY=")</f>
        <v>#VALUE!</v>
      </c>
      <c r="EF96" s="22" t="e">
        <f aca="false">AND(#REF!,"AAAAAH7T+Yc=")</f>
        <v>#VALUE!</v>
      </c>
      <c r="EG96" s="22" t="e">
        <f aca="false">AND(#REF!,"AAAAAH7T+Yg=")</f>
        <v>#VALUE!</v>
      </c>
      <c r="EH96" s="22" t="e">
        <f aca="false">AND(#REF!,"AAAAAH7T+Yk=")</f>
        <v>#VALUE!</v>
      </c>
      <c r="EI96" s="22" t="e">
        <f aca="false">AND(#REF!,"AAAAAH7T+Yo=")</f>
        <v>#VALUE!</v>
      </c>
      <c r="EJ96" s="22" t="e">
        <f aca="false">AND(#REF!,"AAAAAH7T+Ys=")</f>
        <v>#VALUE!</v>
      </c>
      <c r="EK96" s="22" t="e">
        <f aca="false">AND(#REF!,"AAAAAH7T+Yw=")</f>
        <v>#VALUE!</v>
      </c>
      <c r="EL96" s="22" t="e">
        <f aca="false">AND(#REF!,"AAAAAH7T+Y0=")</f>
        <v>#VALUE!</v>
      </c>
      <c r="EM96" s="22" t="e">
        <f aca="false">IF(#REF!,"AAAAAH7T+Y4=",0)</f>
        <v>#REF!</v>
      </c>
      <c r="EN96" s="22" t="e">
        <f aca="false">AND(#REF!,"AAAAAH7T+Y8=")</f>
        <v>#VALUE!</v>
      </c>
      <c r="EO96" s="22" t="e">
        <f aca="false">AND(#REF!,"AAAAAH7T+ZA=")</f>
        <v>#VALUE!</v>
      </c>
      <c r="EP96" s="22" t="e">
        <f aca="false">AND(#REF!,"AAAAAH7T+ZE=")</f>
        <v>#VALUE!</v>
      </c>
      <c r="EQ96" s="22" t="e">
        <f aca="false">AND(#REF!,"AAAAAH7T+ZI=")</f>
        <v>#VALUE!</v>
      </c>
      <c r="ER96" s="22" t="e">
        <f aca="false">AND(#REF!,"AAAAAH7T+ZM=")</f>
        <v>#VALUE!</v>
      </c>
      <c r="ES96" s="22" t="e">
        <f aca="false">AND(#REF!,"AAAAAH7T+ZQ=")</f>
        <v>#VALUE!</v>
      </c>
      <c r="ET96" s="22" t="e">
        <f aca="false">AND(#REF!,"AAAAAH7T+ZU=")</f>
        <v>#VALUE!</v>
      </c>
      <c r="EU96" s="22" t="e">
        <f aca="false">AND(#REF!,"AAAAAH7T+ZY=")</f>
        <v>#VALUE!</v>
      </c>
      <c r="EV96" s="22" t="e">
        <f aca="false">IF(#REF!,"AAAAAH7T+Zc=",0)</f>
        <v>#REF!</v>
      </c>
      <c r="EW96" s="22" t="e">
        <f aca="false">AND(#REF!,"AAAAAH7T+Zg=")</f>
        <v>#VALUE!</v>
      </c>
      <c r="EX96" s="22" t="e">
        <f aca="false">AND(#REF!,"AAAAAH7T+Zk=")</f>
        <v>#VALUE!</v>
      </c>
      <c r="EY96" s="22" t="e">
        <f aca="false">AND(#REF!,"AAAAAH7T+Zo=")</f>
        <v>#VALUE!</v>
      </c>
      <c r="EZ96" s="22" t="e">
        <f aca="false">AND(#REF!,"AAAAAH7T+Zs=")</f>
        <v>#VALUE!</v>
      </c>
      <c r="FA96" s="22" t="e">
        <f aca="false">AND(#REF!,"AAAAAH7T+Zw=")</f>
        <v>#VALUE!</v>
      </c>
      <c r="FB96" s="22" t="e">
        <f aca="false">AND(#REF!,"AAAAAH7T+Z0=")</f>
        <v>#VALUE!</v>
      </c>
      <c r="FC96" s="22" t="e">
        <f aca="false">AND(#REF!,"AAAAAH7T+Z4=")</f>
        <v>#VALUE!</v>
      </c>
      <c r="FD96" s="22" t="e">
        <f aca="false">AND(#REF!,"AAAAAH7T+Z8=")</f>
        <v>#VALUE!</v>
      </c>
      <c r="FE96" s="22" t="e">
        <f aca="false">IF(#REF!,"AAAAAH7T+aA=",0)</f>
        <v>#REF!</v>
      </c>
      <c r="FF96" s="22" t="e">
        <f aca="false">AND(#REF!,"AAAAAH7T+aE=")</f>
        <v>#VALUE!</v>
      </c>
      <c r="FG96" s="22" t="e">
        <f aca="false">AND(#REF!,"AAAAAH7T+aI=")</f>
        <v>#VALUE!</v>
      </c>
      <c r="FH96" s="22" t="e">
        <f aca="false">AND(#REF!,"AAAAAH7T+aM=")</f>
        <v>#VALUE!</v>
      </c>
      <c r="FI96" s="22" t="e">
        <f aca="false">AND(#REF!,"AAAAAH7T+aQ=")</f>
        <v>#VALUE!</v>
      </c>
      <c r="FJ96" s="22" t="e">
        <f aca="false">AND(#REF!,"AAAAAH7T+aU=")</f>
        <v>#VALUE!</v>
      </c>
      <c r="FK96" s="22" t="e">
        <f aca="false">AND(#REF!,"AAAAAH7T+aY=")</f>
        <v>#VALUE!</v>
      </c>
      <c r="FL96" s="22" t="e">
        <f aca="false">AND(#REF!,"AAAAAH7T+ac=")</f>
        <v>#VALUE!</v>
      </c>
      <c r="FM96" s="22" t="e">
        <f aca="false">AND(#REF!,"AAAAAH7T+ag=")</f>
        <v>#VALUE!</v>
      </c>
      <c r="FN96" s="22" t="e">
        <f aca="false">IF(#REF!,"AAAAAH7T+ak=",0)</f>
        <v>#REF!</v>
      </c>
      <c r="FO96" s="22" t="e">
        <f aca="false">AND(#REF!,"AAAAAH7T+ao=")</f>
        <v>#VALUE!</v>
      </c>
      <c r="FP96" s="22" t="e">
        <f aca="false">AND(#REF!,"AAAAAH7T+as=")</f>
        <v>#VALUE!</v>
      </c>
      <c r="FQ96" s="22" t="e">
        <f aca="false">AND(#REF!,"AAAAAH7T+aw=")</f>
        <v>#VALUE!</v>
      </c>
      <c r="FR96" s="22" t="e">
        <f aca="false">AND(#REF!,"AAAAAH7T+a0=")</f>
        <v>#VALUE!</v>
      </c>
      <c r="FS96" s="22" t="e">
        <f aca="false">AND(#REF!,"AAAAAH7T+a4=")</f>
        <v>#VALUE!</v>
      </c>
      <c r="FT96" s="22" t="e">
        <f aca="false">AND(#REF!,"AAAAAH7T+a8=")</f>
        <v>#VALUE!</v>
      </c>
      <c r="FU96" s="22" t="e">
        <f aca="false">AND(#REF!,"AAAAAH7T+bA=")</f>
        <v>#VALUE!</v>
      </c>
      <c r="FV96" s="22" t="e">
        <f aca="false">AND(#REF!,"AAAAAH7T+bE=")</f>
        <v>#VALUE!</v>
      </c>
      <c r="FW96" s="22" t="e">
        <f aca="false">IF(#REF!,"AAAAAH7T+bI=",0)</f>
        <v>#REF!</v>
      </c>
      <c r="FX96" s="22" t="e">
        <f aca="false">AND(#REF!,"AAAAAH7T+bM=")</f>
        <v>#VALUE!</v>
      </c>
      <c r="FY96" s="22" t="e">
        <f aca="false">AND(#REF!,"AAAAAH7T+bQ=")</f>
        <v>#VALUE!</v>
      </c>
      <c r="FZ96" s="22" t="e">
        <f aca="false">AND(#REF!,"AAAAAH7T+bU=")</f>
        <v>#VALUE!</v>
      </c>
      <c r="GA96" s="22" t="e">
        <f aca="false">AND(#REF!,"AAAAAH7T+bY=")</f>
        <v>#VALUE!</v>
      </c>
      <c r="GB96" s="22" t="e">
        <f aca="false">AND(#REF!,"AAAAAH7T+bc=")</f>
        <v>#VALUE!</v>
      </c>
      <c r="GC96" s="22" t="e">
        <f aca="false">AND(#REF!,"AAAAAH7T+bg=")</f>
        <v>#VALUE!</v>
      </c>
      <c r="GD96" s="22" t="e">
        <f aca="false">AND(#REF!,"AAAAAH7T+bk=")</f>
        <v>#VALUE!</v>
      </c>
      <c r="GE96" s="22" t="e">
        <f aca="false">AND(#REF!,"AAAAAH7T+bo=")</f>
        <v>#VALUE!</v>
      </c>
      <c r="GF96" s="22" t="e">
        <f aca="false">IF(#REF!,"AAAAAH7T+bs=",0)</f>
        <v>#REF!</v>
      </c>
      <c r="GG96" s="22" t="e">
        <f aca="false">AND(#REF!,"AAAAAH7T+bw=")</f>
        <v>#VALUE!</v>
      </c>
      <c r="GH96" s="22" t="e">
        <f aca="false">AND(#REF!,"AAAAAH7T+b0=")</f>
        <v>#VALUE!</v>
      </c>
      <c r="GI96" s="22" t="e">
        <f aca="false">AND(#REF!,"AAAAAH7T+b4=")</f>
        <v>#VALUE!</v>
      </c>
      <c r="GJ96" s="22" t="e">
        <f aca="false">AND(#REF!,"AAAAAH7T+b8=")</f>
        <v>#VALUE!</v>
      </c>
      <c r="GK96" s="22" t="e">
        <f aca="false">AND(#REF!,"AAAAAH7T+cA=")</f>
        <v>#VALUE!</v>
      </c>
      <c r="GL96" s="22" t="e">
        <f aca="false">AND(#REF!,"AAAAAH7T+cE=")</f>
        <v>#VALUE!</v>
      </c>
      <c r="GM96" s="22" t="e">
        <f aca="false">AND(#REF!,"AAAAAH7T+cI=")</f>
        <v>#VALUE!</v>
      </c>
      <c r="GN96" s="22" t="e">
        <f aca="false">AND(#REF!,"AAAAAH7T+cM=")</f>
        <v>#VALUE!</v>
      </c>
      <c r="GO96" s="22" t="e">
        <f aca="false">IF(#REF!,"AAAAAH7T+cQ=",0)</f>
        <v>#REF!</v>
      </c>
      <c r="GP96" s="22" t="e">
        <f aca="false">AND(#REF!,"AAAAAH7T+cU=")</f>
        <v>#VALUE!</v>
      </c>
      <c r="GQ96" s="22" t="e">
        <f aca="false">AND(#REF!,"AAAAAH7T+cY=")</f>
        <v>#VALUE!</v>
      </c>
      <c r="GR96" s="22" t="e">
        <f aca="false">AND(#REF!,"AAAAAH7T+cc=")</f>
        <v>#VALUE!</v>
      </c>
      <c r="GS96" s="22" t="e">
        <f aca="false">AND(#REF!,"AAAAAH7T+cg=")</f>
        <v>#VALUE!</v>
      </c>
      <c r="GT96" s="22" t="e">
        <f aca="false">AND(#REF!,"AAAAAH7T+ck=")</f>
        <v>#VALUE!</v>
      </c>
      <c r="GU96" s="22" t="e">
        <f aca="false">AND(#REF!,"AAAAAH7T+co=")</f>
        <v>#VALUE!</v>
      </c>
      <c r="GV96" s="22" t="e">
        <f aca="false">AND(#REF!,"AAAAAH7T+cs=")</f>
        <v>#VALUE!</v>
      </c>
      <c r="GW96" s="22" t="e">
        <f aca="false">AND(#REF!,"AAAAAH7T+cw=")</f>
        <v>#VALUE!</v>
      </c>
      <c r="GX96" s="22" t="e">
        <f aca="false">IF(#REF!,"AAAAAH7T+c0=",0)</f>
        <v>#REF!</v>
      </c>
      <c r="GY96" s="22" t="e">
        <f aca="false">AND(#REF!,"AAAAAH7T+c4=")</f>
        <v>#VALUE!</v>
      </c>
      <c r="GZ96" s="22" t="e">
        <f aca="false">AND(#REF!,"AAAAAH7T+c8=")</f>
        <v>#VALUE!</v>
      </c>
      <c r="HA96" s="22" t="e">
        <f aca="false">AND(#REF!,"AAAAAH7T+dA=")</f>
        <v>#VALUE!</v>
      </c>
      <c r="HB96" s="22" t="e">
        <f aca="false">AND(#REF!,"AAAAAH7T+dE=")</f>
        <v>#VALUE!</v>
      </c>
      <c r="HC96" s="22" t="e">
        <f aca="false">AND(#REF!,"AAAAAH7T+dI=")</f>
        <v>#VALUE!</v>
      </c>
      <c r="HD96" s="22" t="e">
        <f aca="false">AND(#REF!,"AAAAAH7T+dM=")</f>
        <v>#VALUE!</v>
      </c>
      <c r="HE96" s="22" t="e">
        <f aca="false">AND(#REF!,"AAAAAH7T+dQ=")</f>
        <v>#VALUE!</v>
      </c>
      <c r="HF96" s="22" t="e">
        <f aca="false">AND(#REF!,"AAAAAH7T+dU=")</f>
        <v>#VALUE!</v>
      </c>
      <c r="HG96" s="22" t="e">
        <f aca="false">IF(#REF!,"AAAAAH7T+dY=",0)</f>
        <v>#REF!</v>
      </c>
      <c r="HH96" s="22" t="e">
        <f aca="false">AND(#REF!,"AAAAAH7T+dc=")</f>
        <v>#VALUE!</v>
      </c>
      <c r="HI96" s="22" t="e">
        <f aca="false">AND(#REF!,"AAAAAH7T+dg=")</f>
        <v>#VALUE!</v>
      </c>
      <c r="HJ96" s="22" t="e">
        <f aca="false">AND(#REF!,"AAAAAH7T+dk=")</f>
        <v>#VALUE!</v>
      </c>
      <c r="HK96" s="22" t="e">
        <f aca="false">AND(#REF!,"AAAAAH7T+do=")</f>
        <v>#VALUE!</v>
      </c>
      <c r="HL96" s="22" t="e">
        <f aca="false">AND(#REF!,"AAAAAH7T+ds=")</f>
        <v>#VALUE!</v>
      </c>
      <c r="HM96" s="22" t="e">
        <f aca="false">AND(#REF!,"AAAAAH7T+dw=")</f>
        <v>#VALUE!</v>
      </c>
      <c r="HN96" s="22" t="e">
        <f aca="false">AND(#REF!,"AAAAAH7T+d0=")</f>
        <v>#VALUE!</v>
      </c>
      <c r="HO96" s="22" t="e">
        <f aca="false">AND(#REF!,"AAAAAH7T+d4=")</f>
        <v>#VALUE!</v>
      </c>
      <c r="HP96" s="22" t="e">
        <f aca="false">IF(#REF!,"AAAAAH7T+d8=",0)</f>
        <v>#REF!</v>
      </c>
      <c r="HQ96" s="22" t="e">
        <f aca="false">AND(#REF!,"AAAAAH7T+eA=")</f>
        <v>#VALUE!</v>
      </c>
      <c r="HR96" s="22" t="e">
        <f aca="false">AND(#REF!,"AAAAAH7T+eE=")</f>
        <v>#VALUE!</v>
      </c>
      <c r="HS96" s="22" t="e">
        <f aca="false">AND(#REF!,"AAAAAH7T+eI=")</f>
        <v>#VALUE!</v>
      </c>
      <c r="HT96" s="22" t="e">
        <f aca="false">AND(#REF!,"AAAAAH7T+eM=")</f>
        <v>#VALUE!</v>
      </c>
      <c r="HU96" s="22" t="e">
        <f aca="false">AND(#REF!,"AAAAAH7T+eQ=")</f>
        <v>#VALUE!</v>
      </c>
      <c r="HV96" s="22" t="e">
        <f aca="false">AND(#REF!,"AAAAAH7T+eU=")</f>
        <v>#VALUE!</v>
      </c>
      <c r="HW96" s="22" t="e">
        <f aca="false">AND(#REF!,"AAAAAH7T+eY=")</f>
        <v>#VALUE!</v>
      </c>
      <c r="HX96" s="22" t="e">
        <f aca="false">AND(#REF!,"AAAAAH7T+ec=")</f>
        <v>#VALUE!</v>
      </c>
      <c r="HY96" s="22" t="e">
        <f aca="false">IF(#REF!,"AAAAAH7T+eg=",0)</f>
        <v>#REF!</v>
      </c>
      <c r="HZ96" s="22" t="e">
        <f aca="false">AND(#REF!,"AAAAAH7T+ek=")</f>
        <v>#VALUE!</v>
      </c>
      <c r="IA96" s="22" t="e">
        <f aca="false">AND(#REF!,"AAAAAH7T+eo=")</f>
        <v>#VALUE!</v>
      </c>
      <c r="IB96" s="22" t="e">
        <f aca="false">AND(#REF!,"AAAAAH7T+es=")</f>
        <v>#VALUE!</v>
      </c>
      <c r="IC96" s="22" t="e">
        <f aca="false">AND(#REF!,"AAAAAH7T+ew=")</f>
        <v>#VALUE!</v>
      </c>
      <c r="ID96" s="22" t="e">
        <f aca="false">AND(#REF!,"AAAAAH7T+e0=")</f>
        <v>#VALUE!</v>
      </c>
      <c r="IE96" s="22" t="e">
        <f aca="false">AND(#REF!,"AAAAAH7T+e4=")</f>
        <v>#VALUE!</v>
      </c>
      <c r="IF96" s="22" t="e">
        <f aca="false">AND(#REF!,"AAAAAH7T+e8=")</f>
        <v>#VALUE!</v>
      </c>
      <c r="IG96" s="22" t="e">
        <f aca="false">AND(#REF!,"AAAAAH7T+fA=")</f>
        <v>#VALUE!</v>
      </c>
      <c r="IH96" s="22" t="e">
        <f aca="false">IF(#REF!,"AAAAAH7T+fE=",0)</f>
        <v>#REF!</v>
      </c>
      <c r="II96" s="22" t="e">
        <f aca="false">AND(#REF!,"AAAAAH7T+fI=")</f>
        <v>#VALUE!</v>
      </c>
      <c r="IJ96" s="22" t="e">
        <f aca="false">AND(#REF!,"AAAAAH7T+fM=")</f>
        <v>#VALUE!</v>
      </c>
      <c r="IK96" s="22" t="e">
        <f aca="false">AND(#REF!,"AAAAAH7T+fQ=")</f>
        <v>#VALUE!</v>
      </c>
      <c r="IL96" s="22" t="e">
        <f aca="false">AND(#REF!,"AAAAAH7T+fU=")</f>
        <v>#VALUE!</v>
      </c>
      <c r="IM96" s="22" t="e">
        <f aca="false">AND(#REF!,"AAAAAH7T+fY=")</f>
        <v>#VALUE!</v>
      </c>
      <c r="IN96" s="22" t="e">
        <f aca="false">AND(#REF!,"AAAAAH7T+fc=")</f>
        <v>#VALUE!</v>
      </c>
      <c r="IO96" s="22" t="e">
        <f aca="false">AND(#REF!,"AAAAAH7T+fg=")</f>
        <v>#VALUE!</v>
      </c>
      <c r="IP96" s="22" t="e">
        <f aca="false">AND(#REF!,"AAAAAH7T+fk=")</f>
        <v>#VALUE!</v>
      </c>
      <c r="IQ96" s="22" t="e">
        <f aca="false">IF(#REF!,"AAAAAH7T+fo=",0)</f>
        <v>#REF!</v>
      </c>
      <c r="IR96" s="22" t="e">
        <f aca="false">AND(#REF!,"AAAAAH7T+fs=")</f>
        <v>#VALUE!</v>
      </c>
      <c r="IS96" s="22" t="e">
        <f aca="false">AND(#REF!,"AAAAAH7T+fw=")</f>
        <v>#VALUE!</v>
      </c>
      <c r="IT96" s="22" t="e">
        <f aca="false">AND(#REF!,"AAAAAH7T+f0=")</f>
        <v>#VALUE!</v>
      </c>
      <c r="IU96" s="22" t="e">
        <f aca="false">AND(#REF!,"AAAAAH7T+f4=")</f>
        <v>#VALUE!</v>
      </c>
      <c r="IV96" s="22" t="e">
        <f aca="false">AND(#REF!,"AAAAAH7T+f8=")</f>
        <v>#VALUE!</v>
      </c>
    </row>
    <row r="97" customFormat="false" ht="12.75" hidden="false" customHeight="false" outlineLevel="0" collapsed="false">
      <c r="A97" s="22" t="e">
        <f aca="false">AND(#REF!,"AAAAAFxSvQA=")</f>
        <v>#VALUE!</v>
      </c>
      <c r="B97" s="22" t="e">
        <f aca="false">AND(#REF!,"AAAAAFxSvQE=")</f>
        <v>#VALUE!</v>
      </c>
      <c r="C97" s="22" t="e">
        <f aca="false">AND(#REF!,"AAAAAFxSvQI=")</f>
        <v>#VALUE!</v>
      </c>
      <c r="D97" s="22" t="e">
        <f aca="false">IF(#REF!,"AAAAAFxSvQM=",0)</f>
        <v>#REF!</v>
      </c>
      <c r="E97" s="22" t="e">
        <f aca="false">AND(#REF!,"AAAAAFxSvQQ=")</f>
        <v>#VALUE!</v>
      </c>
      <c r="F97" s="22" t="e">
        <f aca="false">AND(#REF!,"AAAAAFxSvQU=")</f>
        <v>#VALUE!</v>
      </c>
      <c r="G97" s="22" t="e">
        <f aca="false">AND(#REF!,"AAAAAFxSvQY=")</f>
        <v>#VALUE!</v>
      </c>
      <c r="H97" s="22" t="e">
        <f aca="false">AND(#REF!,"AAAAAFxSvQc=")</f>
        <v>#VALUE!</v>
      </c>
      <c r="I97" s="22" t="e">
        <f aca="false">AND(#REF!,"AAAAAFxSvQg=")</f>
        <v>#VALUE!</v>
      </c>
      <c r="J97" s="22" t="e">
        <f aca="false">AND(#REF!,"AAAAAFxSvQk=")</f>
        <v>#VALUE!</v>
      </c>
      <c r="K97" s="22" t="e">
        <f aca="false">AND(#REF!,"AAAAAFxSvQo=")</f>
        <v>#VALUE!</v>
      </c>
      <c r="L97" s="22" t="e">
        <f aca="false">AND(#REF!,"AAAAAFxSvQs=")</f>
        <v>#VALUE!</v>
      </c>
      <c r="M97" s="22" t="e">
        <f aca="false">IF(#REF!,"AAAAAFxSvQw=",0)</f>
        <v>#REF!</v>
      </c>
      <c r="N97" s="22" t="e">
        <f aca="false">AND(#REF!,"AAAAAFxSvQ0=")</f>
        <v>#VALUE!</v>
      </c>
      <c r="O97" s="22" t="e">
        <f aca="false">AND(#REF!,"AAAAAFxSvQ4=")</f>
        <v>#VALUE!</v>
      </c>
      <c r="P97" s="22" t="e">
        <f aca="false">AND(#REF!,"AAAAAFxSvQ8=")</f>
        <v>#VALUE!</v>
      </c>
      <c r="Q97" s="22" t="e">
        <f aca="false">AND(#REF!,"AAAAAFxSvRA=")</f>
        <v>#VALUE!</v>
      </c>
      <c r="R97" s="22" t="e">
        <f aca="false">AND(#REF!,"AAAAAFxSvRE=")</f>
        <v>#VALUE!</v>
      </c>
      <c r="S97" s="22" t="e">
        <f aca="false">AND(#REF!,"AAAAAFxSvRI=")</f>
        <v>#VALUE!</v>
      </c>
      <c r="T97" s="22" t="e">
        <f aca="false">AND(#REF!,"AAAAAFxSvRM=")</f>
        <v>#VALUE!</v>
      </c>
      <c r="U97" s="22" t="e">
        <f aca="false">AND(#REF!,"AAAAAFxSvRQ=")</f>
        <v>#VALUE!</v>
      </c>
      <c r="V97" s="22" t="e">
        <f aca="false">IF(#REF!,"AAAAAFxSvRU=",0)</f>
        <v>#REF!</v>
      </c>
      <c r="W97" s="22" t="e">
        <f aca="false">AND(#REF!,"AAAAAFxSvRY=")</f>
        <v>#VALUE!</v>
      </c>
      <c r="X97" s="22" t="e">
        <f aca="false">AND(#REF!,"AAAAAFxSvRc=")</f>
        <v>#VALUE!</v>
      </c>
      <c r="Y97" s="22" t="e">
        <f aca="false">AND(#REF!,"AAAAAFxSvRg=")</f>
        <v>#VALUE!</v>
      </c>
      <c r="Z97" s="22" t="e">
        <f aca="false">AND(#REF!,"AAAAAFxSvRk=")</f>
        <v>#VALUE!</v>
      </c>
      <c r="AA97" s="22" t="e">
        <f aca="false">AND(#REF!,"AAAAAFxSvRo=")</f>
        <v>#VALUE!</v>
      </c>
      <c r="AB97" s="22" t="e">
        <f aca="false">AND(#REF!,"AAAAAFxSvRs=")</f>
        <v>#VALUE!</v>
      </c>
      <c r="AC97" s="22" t="e">
        <f aca="false">AND(#REF!,"AAAAAFxSvRw=")</f>
        <v>#VALUE!</v>
      </c>
      <c r="AD97" s="22" t="e">
        <f aca="false">AND(#REF!,"AAAAAFxSvR0=")</f>
        <v>#VALUE!</v>
      </c>
      <c r="AE97" s="22" t="e">
        <f aca="false">IF(#REF!,"AAAAAFxSvR4=",0)</f>
        <v>#REF!</v>
      </c>
      <c r="AF97" s="22" t="e">
        <f aca="false">AND(#REF!,"AAAAAFxSvR8=")</f>
        <v>#VALUE!</v>
      </c>
      <c r="AG97" s="22" t="e">
        <f aca="false">AND(#REF!,"AAAAAFxSvSA=")</f>
        <v>#VALUE!</v>
      </c>
      <c r="AH97" s="22" t="e">
        <f aca="false">AND(#REF!,"AAAAAFxSvSE=")</f>
        <v>#VALUE!</v>
      </c>
      <c r="AI97" s="22" t="e">
        <f aca="false">AND(#REF!,"AAAAAFxSvSI=")</f>
        <v>#VALUE!</v>
      </c>
      <c r="AJ97" s="22" t="e">
        <f aca="false">AND(#REF!,"AAAAAFxSvSM=")</f>
        <v>#VALUE!</v>
      </c>
      <c r="AK97" s="22" t="e">
        <f aca="false">AND(#REF!,"AAAAAFxSvSQ=")</f>
        <v>#VALUE!</v>
      </c>
      <c r="AL97" s="22" t="e">
        <f aca="false">AND(#REF!,"AAAAAFxSvSU=")</f>
        <v>#VALUE!</v>
      </c>
      <c r="AM97" s="22" t="e">
        <f aca="false">AND(#REF!,"AAAAAFxSvSY=")</f>
        <v>#VALUE!</v>
      </c>
      <c r="AN97" s="22" t="e">
        <f aca="false">IF(#REF!,"AAAAAFxSvSc=",0)</f>
        <v>#REF!</v>
      </c>
      <c r="AO97" s="22" t="e">
        <f aca="false">AND(#REF!,"AAAAAFxSvSg=")</f>
        <v>#VALUE!</v>
      </c>
      <c r="AP97" s="22" t="e">
        <f aca="false">AND(#REF!,"AAAAAFxSvSk=")</f>
        <v>#VALUE!</v>
      </c>
      <c r="AQ97" s="22" t="e">
        <f aca="false">AND(#REF!,"AAAAAFxSvSo=")</f>
        <v>#VALUE!</v>
      </c>
      <c r="AR97" s="22" t="e">
        <f aca="false">AND(#REF!,"AAAAAFxSvSs=")</f>
        <v>#VALUE!</v>
      </c>
      <c r="AS97" s="22" t="e">
        <f aca="false">AND(#REF!,"AAAAAFxSvSw=")</f>
        <v>#VALUE!</v>
      </c>
      <c r="AT97" s="22" t="e">
        <f aca="false">AND(#REF!,"AAAAAFxSvS0=")</f>
        <v>#VALUE!</v>
      </c>
      <c r="AU97" s="22" t="e">
        <f aca="false">AND(#REF!,"AAAAAFxSvS4=")</f>
        <v>#VALUE!</v>
      </c>
      <c r="AV97" s="22" t="e">
        <f aca="false">AND(#REF!,"AAAAAFxSvS8=")</f>
        <v>#VALUE!</v>
      </c>
      <c r="AW97" s="22" t="e">
        <f aca="false">IF(#REF!,"AAAAAFxSvTA=",0)</f>
        <v>#REF!</v>
      </c>
      <c r="AX97" s="22" t="e">
        <f aca="false">AND(#REF!,"AAAAAFxSvTE=")</f>
        <v>#VALUE!</v>
      </c>
      <c r="AY97" s="22" t="e">
        <f aca="false">AND(#REF!,"AAAAAFxSvTI=")</f>
        <v>#VALUE!</v>
      </c>
      <c r="AZ97" s="22" t="e">
        <f aca="false">AND(#REF!,"AAAAAFxSvTM=")</f>
        <v>#VALUE!</v>
      </c>
      <c r="BA97" s="22" t="e">
        <f aca="false">AND(#REF!,"AAAAAFxSvTQ=")</f>
        <v>#VALUE!</v>
      </c>
      <c r="BB97" s="22" t="e">
        <f aca="false">AND(#REF!,"AAAAAFxSvTU=")</f>
        <v>#VALUE!</v>
      </c>
      <c r="BC97" s="22" t="e">
        <f aca="false">AND(#REF!,"AAAAAFxSvTY=")</f>
        <v>#VALUE!</v>
      </c>
      <c r="BD97" s="22" t="e">
        <f aca="false">AND(#REF!,"AAAAAFxSvTc=")</f>
        <v>#VALUE!</v>
      </c>
      <c r="BE97" s="22" t="e">
        <f aca="false">AND(#REF!,"AAAAAFxSvTg=")</f>
        <v>#VALUE!</v>
      </c>
      <c r="BF97" s="22" t="e">
        <f aca="false">IF(#REF!,"AAAAAFxSvTk=",0)</f>
        <v>#REF!</v>
      </c>
      <c r="BG97" s="22" t="e">
        <f aca="false">AND(#REF!,"AAAAAFxSvTo=")</f>
        <v>#VALUE!</v>
      </c>
      <c r="BH97" s="22" t="e">
        <f aca="false">AND(#REF!,"AAAAAFxSvTs=")</f>
        <v>#VALUE!</v>
      </c>
      <c r="BI97" s="22" t="e">
        <f aca="false">AND(#REF!,"AAAAAFxSvTw=")</f>
        <v>#VALUE!</v>
      </c>
      <c r="BJ97" s="22" t="e">
        <f aca="false">AND(#REF!,"AAAAAFxSvT0=")</f>
        <v>#VALUE!</v>
      </c>
      <c r="BK97" s="22" t="e">
        <f aca="false">AND(#REF!,"AAAAAFxSvT4=")</f>
        <v>#VALUE!</v>
      </c>
      <c r="BL97" s="22" t="e">
        <f aca="false">AND(#REF!,"AAAAAFxSvT8=")</f>
        <v>#VALUE!</v>
      </c>
      <c r="BM97" s="22" t="e">
        <f aca="false">AND(#REF!,"AAAAAFxSvUA=")</f>
        <v>#VALUE!</v>
      </c>
      <c r="BN97" s="22" t="e">
        <f aca="false">AND(#REF!,"AAAAAFxSvUE=")</f>
        <v>#VALUE!</v>
      </c>
      <c r="BO97" s="22" t="e">
        <f aca="false">IF(#REF!,"AAAAAFxSvUI=",0)</f>
        <v>#REF!</v>
      </c>
      <c r="BP97" s="22" t="e">
        <f aca="false">AND(#REF!,"AAAAAFxSvUM=")</f>
        <v>#VALUE!</v>
      </c>
      <c r="BQ97" s="22" t="e">
        <f aca="false">AND(#REF!,"AAAAAFxSvUQ=")</f>
        <v>#VALUE!</v>
      </c>
      <c r="BR97" s="22" t="e">
        <f aca="false">AND(#REF!,"AAAAAFxSvUU=")</f>
        <v>#VALUE!</v>
      </c>
      <c r="BS97" s="22" t="e">
        <f aca="false">AND(#REF!,"AAAAAFxSvUY=")</f>
        <v>#VALUE!</v>
      </c>
      <c r="BT97" s="22" t="e">
        <f aca="false">AND(#REF!,"AAAAAFxSvUc=")</f>
        <v>#VALUE!</v>
      </c>
      <c r="BU97" s="22" t="e">
        <f aca="false">AND(#REF!,"AAAAAFxSvUg=")</f>
        <v>#VALUE!</v>
      </c>
      <c r="BV97" s="22" t="e">
        <f aca="false">AND(#REF!,"AAAAAFxSvUk=")</f>
        <v>#VALUE!</v>
      </c>
      <c r="BW97" s="22" t="e">
        <f aca="false">AND(#REF!,"AAAAAFxSvUo=")</f>
        <v>#VALUE!</v>
      </c>
      <c r="BX97" s="22" t="e">
        <f aca="false">IF(#REF!,"AAAAAFxSvUs=",0)</f>
        <v>#REF!</v>
      </c>
      <c r="BY97" s="22" t="e">
        <f aca="false">AND(#REF!,"AAAAAFxSvUw=")</f>
        <v>#VALUE!</v>
      </c>
      <c r="BZ97" s="22" t="e">
        <f aca="false">AND(#REF!,"AAAAAFxSvU0=")</f>
        <v>#VALUE!</v>
      </c>
      <c r="CA97" s="22" t="e">
        <f aca="false">AND(#REF!,"AAAAAFxSvU4=")</f>
        <v>#VALUE!</v>
      </c>
      <c r="CB97" s="22" t="e">
        <f aca="false">AND(#REF!,"AAAAAFxSvU8=")</f>
        <v>#VALUE!</v>
      </c>
      <c r="CC97" s="22" t="e">
        <f aca="false">AND(#REF!,"AAAAAFxSvVA=")</f>
        <v>#VALUE!</v>
      </c>
      <c r="CD97" s="22" t="e">
        <f aca="false">AND(#REF!,"AAAAAFxSvVE=")</f>
        <v>#VALUE!</v>
      </c>
      <c r="CE97" s="22" t="e">
        <f aca="false">AND(#REF!,"AAAAAFxSvVI=")</f>
        <v>#VALUE!</v>
      </c>
      <c r="CF97" s="22" t="e">
        <f aca="false">AND(#REF!,"AAAAAFxSvVM=")</f>
        <v>#VALUE!</v>
      </c>
      <c r="CG97" s="22" t="e">
        <f aca="false">IF(#REF!,"AAAAAFxSvVQ=",0)</f>
        <v>#REF!</v>
      </c>
      <c r="CH97" s="22" t="e">
        <f aca="false">AND(#REF!,"AAAAAFxSvVU=")</f>
        <v>#VALUE!</v>
      </c>
      <c r="CI97" s="22" t="e">
        <f aca="false">AND(#REF!,"AAAAAFxSvVY=")</f>
        <v>#VALUE!</v>
      </c>
      <c r="CJ97" s="22" t="e">
        <f aca="false">AND(#REF!,"AAAAAFxSvVc=")</f>
        <v>#VALUE!</v>
      </c>
      <c r="CK97" s="22" t="e">
        <f aca="false">AND(#REF!,"AAAAAFxSvVg=")</f>
        <v>#VALUE!</v>
      </c>
      <c r="CL97" s="22" t="e">
        <f aca="false">AND(#REF!,"AAAAAFxSvVk=")</f>
        <v>#VALUE!</v>
      </c>
      <c r="CM97" s="22" t="e">
        <f aca="false">AND(#REF!,"AAAAAFxSvVo=")</f>
        <v>#VALUE!</v>
      </c>
      <c r="CN97" s="22" t="e">
        <f aca="false">AND(#REF!,"AAAAAFxSvVs=")</f>
        <v>#VALUE!</v>
      </c>
      <c r="CO97" s="22" t="e">
        <f aca="false">AND(#REF!,"AAAAAFxSvVw=")</f>
        <v>#VALUE!</v>
      </c>
      <c r="CP97" s="22" t="e">
        <f aca="false">IF(#REF!,"AAAAAFxSvV0=",0)</f>
        <v>#REF!</v>
      </c>
      <c r="CQ97" s="22" t="e">
        <f aca="false">AND(#REF!,"AAAAAFxSvV4=")</f>
        <v>#VALUE!</v>
      </c>
      <c r="CR97" s="22" t="e">
        <f aca="false">AND(#REF!,"AAAAAFxSvV8=")</f>
        <v>#VALUE!</v>
      </c>
      <c r="CS97" s="22" t="e">
        <f aca="false">AND(#REF!,"AAAAAFxSvWA=")</f>
        <v>#VALUE!</v>
      </c>
      <c r="CT97" s="22" t="e">
        <f aca="false">AND(#REF!,"AAAAAFxSvWE=")</f>
        <v>#VALUE!</v>
      </c>
      <c r="CU97" s="22" t="e">
        <f aca="false">AND(#REF!,"AAAAAFxSvWI=")</f>
        <v>#VALUE!</v>
      </c>
      <c r="CV97" s="22" t="e">
        <f aca="false">AND(#REF!,"AAAAAFxSvWM=")</f>
        <v>#VALUE!</v>
      </c>
      <c r="CW97" s="22" t="e">
        <f aca="false">AND(#REF!,"AAAAAFxSvWQ=")</f>
        <v>#VALUE!</v>
      </c>
      <c r="CX97" s="22" t="e">
        <f aca="false">AND(#REF!,"AAAAAFxSvWU=")</f>
        <v>#VALUE!</v>
      </c>
      <c r="CY97" s="22" t="e">
        <f aca="false">IF(#REF!,"AAAAAFxSvWY=",0)</f>
        <v>#REF!</v>
      </c>
      <c r="CZ97" s="22" t="e">
        <f aca="false">AND(#REF!,"AAAAAFxSvWc=")</f>
        <v>#VALUE!</v>
      </c>
      <c r="DA97" s="22" t="e">
        <f aca="false">AND(#REF!,"AAAAAFxSvWg=")</f>
        <v>#VALUE!</v>
      </c>
      <c r="DB97" s="22" t="e">
        <f aca="false">AND(#REF!,"AAAAAFxSvWk=")</f>
        <v>#VALUE!</v>
      </c>
      <c r="DC97" s="22" t="e">
        <f aca="false">AND(#REF!,"AAAAAFxSvWo=")</f>
        <v>#VALUE!</v>
      </c>
      <c r="DD97" s="22" t="e">
        <f aca="false">AND(#REF!,"AAAAAFxSvWs=")</f>
        <v>#VALUE!</v>
      </c>
      <c r="DE97" s="22" t="e">
        <f aca="false">AND(#REF!,"AAAAAFxSvWw=")</f>
        <v>#VALUE!</v>
      </c>
      <c r="DF97" s="22" t="e">
        <f aca="false">AND(#REF!,"AAAAAFxSvW0=")</f>
        <v>#VALUE!</v>
      </c>
      <c r="DG97" s="22" t="e">
        <f aca="false">AND(#REF!,"AAAAAFxSvW4=")</f>
        <v>#VALUE!</v>
      </c>
      <c r="DH97" s="22" t="e">
        <f aca="false">IF(#REF!,"AAAAAFxSvW8=",0)</f>
        <v>#REF!</v>
      </c>
      <c r="DI97" s="22" t="e">
        <f aca="false">AND(#REF!,"AAAAAFxSvXA=")</f>
        <v>#VALUE!</v>
      </c>
      <c r="DJ97" s="22" t="e">
        <f aca="false">AND(#REF!,"AAAAAFxSvXE=")</f>
        <v>#VALUE!</v>
      </c>
      <c r="DK97" s="22" t="e">
        <f aca="false">AND(#REF!,"AAAAAFxSvXI=")</f>
        <v>#VALUE!</v>
      </c>
      <c r="DL97" s="22" t="e">
        <f aca="false">AND(#REF!,"AAAAAFxSvXM=")</f>
        <v>#VALUE!</v>
      </c>
      <c r="DM97" s="22" t="e">
        <f aca="false">AND(#REF!,"AAAAAFxSvXQ=")</f>
        <v>#VALUE!</v>
      </c>
      <c r="DN97" s="22" t="e">
        <f aca="false">AND(#REF!,"AAAAAFxSvXU=")</f>
        <v>#VALUE!</v>
      </c>
      <c r="DO97" s="22" t="e">
        <f aca="false">AND(#REF!,"AAAAAFxSvXY=")</f>
        <v>#VALUE!</v>
      </c>
      <c r="DP97" s="22" t="e">
        <f aca="false">AND(#REF!,"AAAAAFxSvXc=")</f>
        <v>#VALUE!</v>
      </c>
      <c r="DQ97" s="22" t="e">
        <f aca="false">IF(#REF!,"AAAAAFxSvXg=",0)</f>
        <v>#REF!</v>
      </c>
      <c r="DR97" s="22" t="e">
        <f aca="false">AND(#REF!,"AAAAAFxSvXk=")</f>
        <v>#VALUE!</v>
      </c>
      <c r="DS97" s="22" t="e">
        <f aca="false">AND(#REF!,"AAAAAFxSvXo=")</f>
        <v>#VALUE!</v>
      </c>
      <c r="DT97" s="22" t="e">
        <f aca="false">AND(#REF!,"AAAAAFxSvXs=")</f>
        <v>#VALUE!</v>
      </c>
      <c r="DU97" s="22" t="e">
        <f aca="false">AND(#REF!,"AAAAAFxSvXw=")</f>
        <v>#VALUE!</v>
      </c>
      <c r="DV97" s="22" t="e">
        <f aca="false">AND(#REF!,"AAAAAFxSvX0=")</f>
        <v>#VALUE!</v>
      </c>
      <c r="DW97" s="22" t="e">
        <f aca="false">AND(#REF!,"AAAAAFxSvX4=")</f>
        <v>#VALUE!</v>
      </c>
      <c r="DX97" s="22" t="e">
        <f aca="false">AND(#REF!,"AAAAAFxSvX8=")</f>
        <v>#VALUE!</v>
      </c>
      <c r="DY97" s="22" t="e">
        <f aca="false">AND(#REF!,"AAAAAFxSvYA=")</f>
        <v>#VALUE!</v>
      </c>
      <c r="DZ97" s="22" t="e">
        <f aca="false">IF(#REF!,"AAAAAFxSvYE=",0)</f>
        <v>#REF!</v>
      </c>
      <c r="EA97" s="22" t="e">
        <f aca="false">AND(#REF!,"AAAAAFxSvYI=")</f>
        <v>#VALUE!</v>
      </c>
      <c r="EB97" s="22" t="e">
        <f aca="false">AND(#REF!,"AAAAAFxSvYM=")</f>
        <v>#VALUE!</v>
      </c>
      <c r="EC97" s="22" t="e">
        <f aca="false">AND(#REF!,"AAAAAFxSvYQ=")</f>
        <v>#VALUE!</v>
      </c>
      <c r="ED97" s="22" t="e">
        <f aca="false">AND(#REF!,"AAAAAFxSvYU=")</f>
        <v>#VALUE!</v>
      </c>
      <c r="EE97" s="22" t="e">
        <f aca="false">AND(#REF!,"AAAAAFxSvYY=")</f>
        <v>#VALUE!</v>
      </c>
      <c r="EF97" s="22" t="e">
        <f aca="false">AND(#REF!,"AAAAAFxSvYc=")</f>
        <v>#VALUE!</v>
      </c>
      <c r="EG97" s="22" t="e">
        <f aca="false">AND(#REF!,"AAAAAFxSvYg=")</f>
        <v>#VALUE!</v>
      </c>
      <c r="EH97" s="22" t="e">
        <f aca="false">AND(#REF!,"AAAAAFxSvYk=")</f>
        <v>#VALUE!</v>
      </c>
      <c r="EI97" s="22" t="e">
        <f aca="false">IF(#REF!,"AAAAAFxSvYo=",0)</f>
        <v>#REF!</v>
      </c>
      <c r="EJ97" s="22" t="e">
        <f aca="false">AND(#REF!,"AAAAAFxSvYs=")</f>
        <v>#VALUE!</v>
      </c>
      <c r="EK97" s="22" t="e">
        <f aca="false">AND(#REF!,"AAAAAFxSvYw=")</f>
        <v>#VALUE!</v>
      </c>
      <c r="EL97" s="22" t="e">
        <f aca="false">AND(#REF!,"AAAAAFxSvY0=")</f>
        <v>#VALUE!</v>
      </c>
      <c r="EM97" s="22" t="e">
        <f aca="false">AND(#REF!,"AAAAAFxSvY4=")</f>
        <v>#VALUE!</v>
      </c>
      <c r="EN97" s="22" t="e">
        <f aca="false">AND(#REF!,"AAAAAFxSvY8=")</f>
        <v>#VALUE!</v>
      </c>
      <c r="EO97" s="22" t="e">
        <f aca="false">AND(#REF!,"AAAAAFxSvZA=")</f>
        <v>#VALUE!</v>
      </c>
      <c r="EP97" s="22" t="e">
        <f aca="false">AND(#REF!,"AAAAAFxSvZE=")</f>
        <v>#VALUE!</v>
      </c>
      <c r="EQ97" s="22" t="e">
        <f aca="false">AND(#REF!,"AAAAAFxSvZI=")</f>
        <v>#VALUE!</v>
      </c>
      <c r="ER97" s="22" t="e">
        <f aca="false">IF(#REF!,"AAAAAFxSvZM=",0)</f>
        <v>#REF!</v>
      </c>
      <c r="ES97" s="22" t="e">
        <f aca="false">AND(#REF!,"AAAAAFxSvZQ=")</f>
        <v>#VALUE!</v>
      </c>
      <c r="ET97" s="22" t="e">
        <f aca="false">AND(#REF!,"AAAAAFxSvZU=")</f>
        <v>#VALUE!</v>
      </c>
      <c r="EU97" s="22" t="e">
        <f aca="false">AND(#REF!,"AAAAAFxSvZY=")</f>
        <v>#VALUE!</v>
      </c>
      <c r="EV97" s="22" t="e">
        <f aca="false">AND(#REF!,"AAAAAFxSvZc=")</f>
        <v>#VALUE!</v>
      </c>
      <c r="EW97" s="22" t="e">
        <f aca="false">AND(#REF!,"AAAAAFxSvZg=")</f>
        <v>#VALUE!</v>
      </c>
      <c r="EX97" s="22" t="e">
        <f aca="false">AND(#REF!,"AAAAAFxSvZk=")</f>
        <v>#VALUE!</v>
      </c>
      <c r="EY97" s="22" t="e">
        <f aca="false">AND(#REF!,"AAAAAFxSvZo=")</f>
        <v>#VALUE!</v>
      </c>
      <c r="EZ97" s="22" t="e">
        <f aca="false">AND(#REF!,"AAAAAFxSvZs=")</f>
        <v>#VALUE!</v>
      </c>
      <c r="FA97" s="22" t="e">
        <f aca="false">IF(#REF!,"AAAAAFxSvZw=",0)</f>
        <v>#REF!</v>
      </c>
      <c r="FB97" s="22" t="e">
        <f aca="false">AND(#REF!,"AAAAAFxSvZ0=")</f>
        <v>#VALUE!</v>
      </c>
      <c r="FC97" s="22" t="e">
        <f aca="false">AND(#REF!,"AAAAAFxSvZ4=")</f>
        <v>#VALUE!</v>
      </c>
      <c r="FD97" s="22" t="e">
        <f aca="false">AND(#REF!,"AAAAAFxSvZ8=")</f>
        <v>#VALUE!</v>
      </c>
      <c r="FE97" s="22" t="e">
        <f aca="false">AND(#REF!,"AAAAAFxSvaA=")</f>
        <v>#VALUE!</v>
      </c>
      <c r="FF97" s="22" t="e">
        <f aca="false">AND(#REF!,"AAAAAFxSvaE=")</f>
        <v>#VALUE!</v>
      </c>
      <c r="FG97" s="22" t="e">
        <f aca="false">AND(#REF!,"AAAAAFxSvaI=")</f>
        <v>#VALUE!</v>
      </c>
      <c r="FH97" s="22" t="e">
        <f aca="false">AND(#REF!,"AAAAAFxSvaM=")</f>
        <v>#VALUE!</v>
      </c>
      <c r="FI97" s="22" t="e">
        <f aca="false">AND(#REF!,"AAAAAFxSvaQ=")</f>
        <v>#VALUE!</v>
      </c>
      <c r="FJ97" s="22" t="e">
        <f aca="false">IF(#REF!,"AAAAAFxSvaU=",0)</f>
        <v>#REF!</v>
      </c>
      <c r="FK97" s="22" t="e">
        <f aca="false">AND(#REF!,"AAAAAFxSvaY=")</f>
        <v>#VALUE!</v>
      </c>
      <c r="FL97" s="22" t="e">
        <f aca="false">AND(#REF!,"AAAAAFxSvac=")</f>
        <v>#VALUE!</v>
      </c>
      <c r="FM97" s="22" t="e">
        <f aca="false">AND(#REF!,"AAAAAFxSvag=")</f>
        <v>#VALUE!</v>
      </c>
      <c r="FN97" s="22" t="e">
        <f aca="false">AND(#REF!,"AAAAAFxSvak=")</f>
        <v>#VALUE!</v>
      </c>
      <c r="FO97" s="22" t="e">
        <f aca="false">AND(#REF!,"AAAAAFxSvao=")</f>
        <v>#VALUE!</v>
      </c>
      <c r="FP97" s="22" t="e">
        <f aca="false">AND(#REF!,"AAAAAFxSvas=")</f>
        <v>#VALUE!</v>
      </c>
      <c r="FQ97" s="22" t="e">
        <f aca="false">AND(#REF!,"AAAAAFxSvaw=")</f>
        <v>#VALUE!</v>
      </c>
      <c r="FR97" s="22" t="e">
        <f aca="false">AND(#REF!,"AAAAAFxSva0=")</f>
        <v>#VALUE!</v>
      </c>
      <c r="FS97" s="22" t="e">
        <f aca="false">IF(#REF!,"AAAAAFxSva4=",0)</f>
        <v>#REF!</v>
      </c>
      <c r="FT97" s="22" t="e">
        <f aca="false">AND(#REF!,"AAAAAFxSva8=")</f>
        <v>#VALUE!</v>
      </c>
      <c r="FU97" s="22" t="e">
        <f aca="false">AND(#REF!,"AAAAAFxSvbA=")</f>
        <v>#VALUE!</v>
      </c>
      <c r="FV97" s="22" t="e">
        <f aca="false">AND(#REF!,"AAAAAFxSvbE=")</f>
        <v>#VALUE!</v>
      </c>
      <c r="FW97" s="22" t="e">
        <f aca="false">AND(#REF!,"AAAAAFxSvbI=")</f>
        <v>#VALUE!</v>
      </c>
      <c r="FX97" s="22" t="e">
        <f aca="false">AND(#REF!,"AAAAAFxSvbM=")</f>
        <v>#VALUE!</v>
      </c>
      <c r="FY97" s="22" t="e">
        <f aca="false">AND(#REF!,"AAAAAFxSvbQ=")</f>
        <v>#VALUE!</v>
      </c>
      <c r="FZ97" s="22" t="e">
        <f aca="false">AND(#REF!,"AAAAAFxSvbU=")</f>
        <v>#VALUE!</v>
      </c>
      <c r="GA97" s="22" t="e">
        <f aca="false">AND(#REF!,"AAAAAFxSvbY=")</f>
        <v>#VALUE!</v>
      </c>
      <c r="GB97" s="22" t="e">
        <f aca="false">IF(#REF!,"AAAAAFxSvbc=",0)</f>
        <v>#REF!</v>
      </c>
      <c r="GC97" s="22" t="e">
        <f aca="false">AND(#REF!,"AAAAAFxSvbg=")</f>
        <v>#VALUE!</v>
      </c>
      <c r="GD97" s="22" t="e">
        <f aca="false">AND(#REF!,"AAAAAFxSvbk=")</f>
        <v>#VALUE!</v>
      </c>
      <c r="GE97" s="22" t="e">
        <f aca="false">AND(#REF!,"AAAAAFxSvbo=")</f>
        <v>#VALUE!</v>
      </c>
      <c r="GF97" s="22" t="e">
        <f aca="false">AND(#REF!,"AAAAAFxSvbs=")</f>
        <v>#VALUE!</v>
      </c>
      <c r="GG97" s="22" t="e">
        <f aca="false">AND(#REF!,"AAAAAFxSvbw=")</f>
        <v>#VALUE!</v>
      </c>
      <c r="GH97" s="22" t="e">
        <f aca="false">AND(#REF!,"AAAAAFxSvb0=")</f>
        <v>#VALUE!</v>
      </c>
      <c r="GI97" s="22" t="e">
        <f aca="false">AND(#REF!,"AAAAAFxSvb4=")</f>
        <v>#VALUE!</v>
      </c>
      <c r="GJ97" s="22" t="e">
        <f aca="false">AND(#REF!,"AAAAAFxSvb8=")</f>
        <v>#VALUE!</v>
      </c>
      <c r="GK97" s="22" t="e">
        <f aca="false">IF(#REF!,"AAAAAFxSvcA=",0)</f>
        <v>#REF!</v>
      </c>
      <c r="GL97" s="22" t="e">
        <f aca="false">AND(#REF!,"AAAAAFxSvcE=")</f>
        <v>#VALUE!</v>
      </c>
      <c r="GM97" s="22" t="e">
        <f aca="false">AND(#REF!,"AAAAAFxSvcI=")</f>
        <v>#VALUE!</v>
      </c>
      <c r="GN97" s="22" t="e">
        <f aca="false">AND(#REF!,"AAAAAFxSvcM=")</f>
        <v>#VALUE!</v>
      </c>
      <c r="GO97" s="22" t="e">
        <f aca="false">AND(#REF!,"AAAAAFxSvcQ=")</f>
        <v>#VALUE!</v>
      </c>
      <c r="GP97" s="22" t="e">
        <f aca="false">AND(#REF!,"AAAAAFxSvcU=")</f>
        <v>#VALUE!</v>
      </c>
      <c r="GQ97" s="22" t="e">
        <f aca="false">AND(#REF!,"AAAAAFxSvcY=")</f>
        <v>#VALUE!</v>
      </c>
      <c r="GR97" s="22" t="e">
        <f aca="false">AND(#REF!,"AAAAAFxSvcc=")</f>
        <v>#VALUE!</v>
      </c>
      <c r="GS97" s="22" t="e">
        <f aca="false">AND(#REF!,"AAAAAFxSvcg=")</f>
        <v>#VALUE!</v>
      </c>
      <c r="GT97" s="22" t="e">
        <f aca="false">IF(#REF!,"AAAAAFxSvck=",0)</f>
        <v>#REF!</v>
      </c>
      <c r="GU97" s="22" t="e">
        <f aca="false">AND(#REF!,"AAAAAFxSvco=")</f>
        <v>#VALUE!</v>
      </c>
      <c r="GV97" s="22" t="e">
        <f aca="false">AND(#REF!,"AAAAAFxSvcs=")</f>
        <v>#VALUE!</v>
      </c>
      <c r="GW97" s="22" t="e">
        <f aca="false">AND(#REF!,"AAAAAFxSvcw=")</f>
        <v>#VALUE!</v>
      </c>
      <c r="GX97" s="22" t="e">
        <f aca="false">AND(#REF!,"AAAAAFxSvc0=")</f>
        <v>#VALUE!</v>
      </c>
      <c r="GY97" s="22" t="e">
        <f aca="false">AND(#REF!,"AAAAAFxSvc4=")</f>
        <v>#VALUE!</v>
      </c>
      <c r="GZ97" s="22" t="e">
        <f aca="false">AND(#REF!,"AAAAAFxSvc8=")</f>
        <v>#VALUE!</v>
      </c>
      <c r="HA97" s="22" t="e">
        <f aca="false">AND(#REF!,"AAAAAFxSvdA=")</f>
        <v>#VALUE!</v>
      </c>
      <c r="HB97" s="22" t="e">
        <f aca="false">AND(#REF!,"AAAAAFxSvdE=")</f>
        <v>#VALUE!</v>
      </c>
      <c r="HC97" s="22" t="e">
        <f aca="false">IF(#REF!,"AAAAAFxSvdI=",0)</f>
        <v>#REF!</v>
      </c>
      <c r="HD97" s="22" t="e">
        <f aca="false">AND(#REF!,"AAAAAFxSvdM=")</f>
        <v>#VALUE!</v>
      </c>
      <c r="HE97" s="22" t="e">
        <f aca="false">AND(#REF!,"AAAAAFxSvdQ=")</f>
        <v>#VALUE!</v>
      </c>
      <c r="HF97" s="22" t="e">
        <f aca="false">AND(#REF!,"AAAAAFxSvdU=")</f>
        <v>#VALUE!</v>
      </c>
      <c r="HG97" s="22" t="e">
        <f aca="false">AND(#REF!,"AAAAAFxSvdY=")</f>
        <v>#VALUE!</v>
      </c>
      <c r="HH97" s="22" t="e">
        <f aca="false">AND(#REF!,"AAAAAFxSvdc=")</f>
        <v>#VALUE!</v>
      </c>
      <c r="HI97" s="22" t="e">
        <f aca="false">AND(#REF!,"AAAAAFxSvdg=")</f>
        <v>#VALUE!</v>
      </c>
      <c r="HJ97" s="22" t="e">
        <f aca="false">AND(#REF!,"AAAAAFxSvdk=")</f>
        <v>#VALUE!</v>
      </c>
      <c r="HK97" s="22" t="e">
        <f aca="false">AND(#REF!,"AAAAAFxSvdo=")</f>
        <v>#VALUE!</v>
      </c>
      <c r="HL97" s="22" t="e">
        <f aca="false">IF(#REF!,"AAAAAFxSvds=",0)</f>
        <v>#REF!</v>
      </c>
      <c r="HM97" s="22" t="e">
        <f aca="false">AND(#REF!,"AAAAAFxSvdw=")</f>
        <v>#VALUE!</v>
      </c>
      <c r="HN97" s="22" t="e">
        <f aca="false">AND(#REF!,"AAAAAFxSvd0=")</f>
        <v>#VALUE!</v>
      </c>
      <c r="HO97" s="22" t="e">
        <f aca="false">AND(#REF!,"AAAAAFxSvd4=")</f>
        <v>#VALUE!</v>
      </c>
      <c r="HP97" s="22" t="e">
        <f aca="false">AND(#REF!,"AAAAAFxSvd8=")</f>
        <v>#VALUE!</v>
      </c>
      <c r="HQ97" s="22" t="e">
        <f aca="false">AND(#REF!,"AAAAAFxSveA=")</f>
        <v>#VALUE!</v>
      </c>
      <c r="HR97" s="22" t="e">
        <f aca="false">AND(#REF!,"AAAAAFxSveE=")</f>
        <v>#VALUE!</v>
      </c>
      <c r="HS97" s="22" t="e">
        <f aca="false">AND(#REF!,"AAAAAFxSveI=")</f>
        <v>#VALUE!</v>
      </c>
      <c r="HT97" s="22" t="e">
        <f aca="false">AND(#REF!,"AAAAAFxSveM=")</f>
        <v>#VALUE!</v>
      </c>
      <c r="HU97" s="22" t="e">
        <f aca="false">IF(#REF!,"AAAAAFxSveQ=",0)</f>
        <v>#REF!</v>
      </c>
      <c r="HV97" s="22" t="e">
        <f aca="false">AND(#REF!,"AAAAAFxSveU=")</f>
        <v>#VALUE!</v>
      </c>
      <c r="HW97" s="22" t="e">
        <f aca="false">AND(#REF!,"AAAAAFxSveY=")</f>
        <v>#VALUE!</v>
      </c>
      <c r="HX97" s="22" t="e">
        <f aca="false">AND(#REF!,"AAAAAFxSvec=")</f>
        <v>#VALUE!</v>
      </c>
      <c r="HY97" s="22" t="e">
        <f aca="false">AND(#REF!,"AAAAAFxSveg=")</f>
        <v>#VALUE!</v>
      </c>
      <c r="HZ97" s="22" t="e">
        <f aca="false">AND(#REF!,"AAAAAFxSvek=")</f>
        <v>#VALUE!</v>
      </c>
      <c r="IA97" s="22" t="e">
        <f aca="false">AND(#REF!,"AAAAAFxSveo=")</f>
        <v>#VALUE!</v>
      </c>
      <c r="IB97" s="22" t="e">
        <f aca="false">AND(#REF!,"AAAAAFxSves=")</f>
        <v>#VALUE!</v>
      </c>
      <c r="IC97" s="22" t="e">
        <f aca="false">AND(#REF!,"AAAAAFxSvew=")</f>
        <v>#VALUE!</v>
      </c>
      <c r="ID97" s="22" t="e">
        <f aca="false">IF(#REF!,"AAAAAFxSve0=",0)</f>
        <v>#REF!</v>
      </c>
      <c r="IE97" s="22" t="e">
        <f aca="false">AND(#REF!,"AAAAAFxSve4=")</f>
        <v>#VALUE!</v>
      </c>
      <c r="IF97" s="22" t="e">
        <f aca="false">AND(#REF!,"AAAAAFxSve8=")</f>
        <v>#VALUE!</v>
      </c>
      <c r="IG97" s="22" t="e">
        <f aca="false">AND(#REF!,"AAAAAFxSvfA=")</f>
        <v>#VALUE!</v>
      </c>
      <c r="IH97" s="22" t="e">
        <f aca="false">AND(#REF!,"AAAAAFxSvfE=")</f>
        <v>#VALUE!</v>
      </c>
      <c r="II97" s="22" t="e">
        <f aca="false">AND(#REF!,"AAAAAFxSvfI=")</f>
        <v>#VALUE!</v>
      </c>
      <c r="IJ97" s="22" t="e">
        <f aca="false">AND(#REF!,"AAAAAFxSvfM=")</f>
        <v>#VALUE!</v>
      </c>
      <c r="IK97" s="22" t="e">
        <f aca="false">AND(#REF!,"AAAAAFxSvfQ=")</f>
        <v>#VALUE!</v>
      </c>
      <c r="IL97" s="22" t="e">
        <f aca="false">AND(#REF!,"AAAAAFxSvfU=")</f>
        <v>#VALUE!</v>
      </c>
      <c r="IM97" s="22" t="e">
        <f aca="false">IF(#REF!,"AAAAAFxSvfY=",0)</f>
        <v>#REF!</v>
      </c>
      <c r="IN97" s="22" t="e">
        <f aca="false">AND(#REF!,"AAAAAFxSvfc=")</f>
        <v>#VALUE!</v>
      </c>
      <c r="IO97" s="22" t="e">
        <f aca="false">AND(#REF!,"AAAAAFxSvfg=")</f>
        <v>#VALUE!</v>
      </c>
      <c r="IP97" s="22" t="e">
        <f aca="false">AND(#REF!,"AAAAAFxSvfk=")</f>
        <v>#VALUE!</v>
      </c>
      <c r="IQ97" s="22" t="e">
        <f aca="false">AND(#REF!,"AAAAAFxSvfo=")</f>
        <v>#VALUE!</v>
      </c>
      <c r="IR97" s="22" t="e">
        <f aca="false">AND(#REF!,"AAAAAFxSvfs=")</f>
        <v>#VALUE!</v>
      </c>
      <c r="IS97" s="22" t="e">
        <f aca="false">AND(#REF!,"AAAAAFxSvfw=")</f>
        <v>#VALUE!</v>
      </c>
      <c r="IT97" s="22" t="e">
        <f aca="false">AND(#REF!,"AAAAAFxSvf0=")</f>
        <v>#VALUE!</v>
      </c>
      <c r="IU97" s="22" t="e">
        <f aca="false">AND(#REF!,"AAAAAFxSvf4=")</f>
        <v>#VALUE!</v>
      </c>
      <c r="IV97" s="22" t="e">
        <f aca="false">IF(#REF!,"AAAAAFxSvf8=",0)</f>
        <v>#REF!</v>
      </c>
    </row>
    <row r="98" customFormat="false" ht="12.75" hidden="false" customHeight="false" outlineLevel="0" collapsed="false">
      <c r="A98" s="22" t="e">
        <f aca="false">AND(#REF!,"AAAAAH/vDgA=")</f>
        <v>#VALUE!</v>
      </c>
      <c r="B98" s="22" t="e">
        <f aca="false">AND(#REF!,"AAAAAH/vDgE=")</f>
        <v>#VALUE!</v>
      </c>
      <c r="C98" s="22" t="e">
        <f aca="false">AND(#REF!,"AAAAAH/vDgI=")</f>
        <v>#VALUE!</v>
      </c>
      <c r="D98" s="22" t="e">
        <f aca="false">AND(#REF!,"AAAAAH/vDgM=")</f>
        <v>#VALUE!</v>
      </c>
      <c r="E98" s="22" t="e">
        <f aca="false">AND(#REF!,"AAAAAH/vDgQ=")</f>
        <v>#VALUE!</v>
      </c>
      <c r="F98" s="22" t="e">
        <f aca="false">AND(#REF!,"AAAAAH/vDgU=")</f>
        <v>#VALUE!</v>
      </c>
      <c r="G98" s="22" t="e">
        <f aca="false">AND(#REF!,"AAAAAH/vDgY=")</f>
        <v>#VALUE!</v>
      </c>
      <c r="H98" s="22" t="e">
        <f aca="false">AND(#REF!,"AAAAAH/vDgc=")</f>
        <v>#VALUE!</v>
      </c>
      <c r="I98" s="22" t="e">
        <f aca="false">IF(#REF!,"AAAAAH/vDgg=",0)</f>
        <v>#REF!</v>
      </c>
      <c r="J98" s="22" t="e">
        <f aca="false">AND(#REF!,"AAAAAH/vDgk=")</f>
        <v>#VALUE!</v>
      </c>
      <c r="K98" s="22" t="e">
        <f aca="false">AND(#REF!,"AAAAAH/vDgo=")</f>
        <v>#VALUE!</v>
      </c>
      <c r="L98" s="22" t="e">
        <f aca="false">AND(#REF!,"AAAAAH/vDgs=")</f>
        <v>#VALUE!</v>
      </c>
      <c r="M98" s="22" t="e">
        <f aca="false">AND(#REF!,"AAAAAH/vDgw=")</f>
        <v>#VALUE!</v>
      </c>
      <c r="N98" s="22" t="e">
        <f aca="false">AND(#REF!,"AAAAAH/vDg0=")</f>
        <v>#VALUE!</v>
      </c>
      <c r="O98" s="22" t="e">
        <f aca="false">AND(#REF!,"AAAAAH/vDg4=")</f>
        <v>#VALUE!</v>
      </c>
      <c r="P98" s="22" t="e">
        <f aca="false">AND(#REF!,"AAAAAH/vDg8=")</f>
        <v>#VALUE!</v>
      </c>
      <c r="Q98" s="22" t="e">
        <f aca="false">AND(#REF!,"AAAAAH/vDhA=")</f>
        <v>#VALUE!</v>
      </c>
      <c r="R98" s="22" t="e">
        <f aca="false">IF(#REF!,"AAAAAH/vDhE=",0)</f>
        <v>#REF!</v>
      </c>
      <c r="S98" s="22" t="e">
        <f aca="false">AND(#REF!,"AAAAAH/vDhI=")</f>
        <v>#VALUE!</v>
      </c>
      <c r="T98" s="22" t="e">
        <f aca="false">AND(#REF!,"AAAAAH/vDhM=")</f>
        <v>#VALUE!</v>
      </c>
      <c r="U98" s="22" t="e">
        <f aca="false">AND(#REF!,"AAAAAH/vDhQ=")</f>
        <v>#VALUE!</v>
      </c>
      <c r="V98" s="22" t="e">
        <f aca="false">AND(#REF!,"AAAAAH/vDhU=")</f>
        <v>#VALUE!</v>
      </c>
      <c r="W98" s="22" t="e">
        <f aca="false">AND(#REF!,"AAAAAH/vDhY=")</f>
        <v>#VALUE!</v>
      </c>
      <c r="X98" s="22" t="e">
        <f aca="false">AND(#REF!,"AAAAAH/vDhc=")</f>
        <v>#VALUE!</v>
      </c>
      <c r="Y98" s="22" t="e">
        <f aca="false">AND(#REF!,"AAAAAH/vDhg=")</f>
        <v>#VALUE!</v>
      </c>
      <c r="Z98" s="22" t="e">
        <f aca="false">AND(#REF!,"AAAAAH/vDhk=")</f>
        <v>#VALUE!</v>
      </c>
      <c r="AA98" s="22" t="e">
        <f aca="false">IF(#REF!,"AAAAAH/vDho=",0)</f>
        <v>#REF!</v>
      </c>
      <c r="AB98" s="22" t="e">
        <f aca="false">AND(#REF!,"AAAAAH/vDhs=")</f>
        <v>#VALUE!</v>
      </c>
      <c r="AC98" s="22" t="e">
        <f aca="false">AND(#REF!,"AAAAAH/vDhw=")</f>
        <v>#VALUE!</v>
      </c>
      <c r="AD98" s="22" t="e">
        <f aca="false">AND(#REF!,"AAAAAH/vDh0=")</f>
        <v>#VALUE!</v>
      </c>
      <c r="AE98" s="22" t="e">
        <f aca="false">AND(#REF!,"AAAAAH/vDh4=")</f>
        <v>#VALUE!</v>
      </c>
      <c r="AF98" s="22" t="e">
        <f aca="false">AND(#REF!,"AAAAAH/vDh8=")</f>
        <v>#VALUE!</v>
      </c>
      <c r="AG98" s="22" t="e">
        <f aca="false">AND(#REF!,"AAAAAH/vDiA=")</f>
        <v>#VALUE!</v>
      </c>
      <c r="AH98" s="22" t="e">
        <f aca="false">AND(#REF!,"AAAAAH/vDiE=")</f>
        <v>#VALUE!</v>
      </c>
      <c r="AI98" s="22" t="e">
        <f aca="false">AND(#REF!,"AAAAAH/vDiI=")</f>
        <v>#VALUE!</v>
      </c>
      <c r="AJ98" s="22" t="e">
        <f aca="false">IF(#REF!,"AAAAAH/vDiM=",0)</f>
        <v>#REF!</v>
      </c>
      <c r="AK98" s="22" t="e">
        <f aca="false">AND(#REF!,"AAAAAH/vDiQ=")</f>
        <v>#VALUE!</v>
      </c>
      <c r="AL98" s="22" t="e">
        <f aca="false">AND(#REF!,"AAAAAH/vDiU=")</f>
        <v>#VALUE!</v>
      </c>
      <c r="AM98" s="22" t="e">
        <f aca="false">AND(#REF!,"AAAAAH/vDiY=")</f>
        <v>#VALUE!</v>
      </c>
      <c r="AN98" s="22" t="e">
        <f aca="false">AND(#REF!,"AAAAAH/vDic=")</f>
        <v>#VALUE!</v>
      </c>
      <c r="AO98" s="22" t="e">
        <f aca="false">AND(#REF!,"AAAAAH/vDig=")</f>
        <v>#VALUE!</v>
      </c>
      <c r="AP98" s="22" t="e">
        <f aca="false">AND(#REF!,"AAAAAH/vDik=")</f>
        <v>#VALUE!</v>
      </c>
      <c r="AQ98" s="22" t="e">
        <f aca="false">AND(#REF!,"AAAAAH/vDio=")</f>
        <v>#VALUE!</v>
      </c>
      <c r="AR98" s="22" t="e">
        <f aca="false">AND(#REF!,"AAAAAH/vDis=")</f>
        <v>#VALUE!</v>
      </c>
      <c r="AS98" s="22" t="e">
        <f aca="false">IF(#REF!,"AAAAAH/vDiw=",0)</f>
        <v>#REF!</v>
      </c>
      <c r="AT98" s="22" t="e">
        <f aca="false">AND(#REF!,"AAAAAH/vDi0=")</f>
        <v>#VALUE!</v>
      </c>
      <c r="AU98" s="22" t="e">
        <f aca="false">AND(#REF!,"AAAAAH/vDi4=")</f>
        <v>#VALUE!</v>
      </c>
      <c r="AV98" s="22" t="e">
        <f aca="false">AND(#REF!,"AAAAAH/vDi8=")</f>
        <v>#VALUE!</v>
      </c>
      <c r="AW98" s="22" t="e">
        <f aca="false">AND(#REF!,"AAAAAH/vDjA=")</f>
        <v>#VALUE!</v>
      </c>
      <c r="AX98" s="22" t="e">
        <f aca="false">AND(#REF!,"AAAAAH/vDjE=")</f>
        <v>#VALUE!</v>
      </c>
      <c r="AY98" s="22" t="e">
        <f aca="false">AND(#REF!,"AAAAAH/vDjI=")</f>
        <v>#VALUE!</v>
      </c>
      <c r="AZ98" s="22" t="e">
        <f aca="false">AND(#REF!,"AAAAAH/vDjM=")</f>
        <v>#VALUE!</v>
      </c>
      <c r="BA98" s="22" t="e">
        <f aca="false">AND(#REF!,"AAAAAH/vDjQ=")</f>
        <v>#VALUE!</v>
      </c>
      <c r="BB98" s="22" t="e">
        <f aca="false">IF(#REF!,"AAAAAH/vDjU=",0)</f>
        <v>#REF!</v>
      </c>
      <c r="BC98" s="22" t="e">
        <f aca="false">AND(#REF!,"AAAAAH/vDjY=")</f>
        <v>#VALUE!</v>
      </c>
      <c r="BD98" s="22" t="e">
        <f aca="false">AND(#REF!,"AAAAAH/vDjc=")</f>
        <v>#VALUE!</v>
      </c>
      <c r="BE98" s="22" t="e">
        <f aca="false">AND(#REF!,"AAAAAH/vDjg=")</f>
        <v>#VALUE!</v>
      </c>
      <c r="BF98" s="22" t="e">
        <f aca="false">AND(#REF!,"AAAAAH/vDjk=")</f>
        <v>#VALUE!</v>
      </c>
      <c r="BG98" s="22" t="e">
        <f aca="false">AND(#REF!,"AAAAAH/vDjo=")</f>
        <v>#VALUE!</v>
      </c>
      <c r="BH98" s="22" t="e">
        <f aca="false">AND(#REF!,"AAAAAH/vDjs=")</f>
        <v>#VALUE!</v>
      </c>
      <c r="BI98" s="22" t="e">
        <f aca="false">AND(#REF!,"AAAAAH/vDjw=")</f>
        <v>#VALUE!</v>
      </c>
      <c r="BJ98" s="22" t="e">
        <f aca="false">AND(#REF!,"AAAAAH/vDj0=")</f>
        <v>#VALUE!</v>
      </c>
      <c r="BK98" s="22" t="e">
        <f aca="false">IF(#REF!,"AAAAAH/vDj4=",0)</f>
        <v>#REF!</v>
      </c>
      <c r="BL98" s="22" t="e">
        <f aca="false">AND(#REF!,"AAAAAH/vDj8=")</f>
        <v>#VALUE!</v>
      </c>
      <c r="BM98" s="22" t="e">
        <f aca="false">AND(#REF!,"AAAAAH/vDkA=")</f>
        <v>#VALUE!</v>
      </c>
      <c r="BN98" s="22" t="e">
        <f aca="false">AND(#REF!,"AAAAAH/vDkE=")</f>
        <v>#VALUE!</v>
      </c>
      <c r="BO98" s="22" t="e">
        <f aca="false">AND(#REF!,"AAAAAH/vDkI=")</f>
        <v>#VALUE!</v>
      </c>
      <c r="BP98" s="22" t="e">
        <f aca="false">AND(#REF!,"AAAAAH/vDkM=")</f>
        <v>#VALUE!</v>
      </c>
      <c r="BQ98" s="22" t="e">
        <f aca="false">AND(#REF!,"AAAAAH/vDkQ=")</f>
        <v>#VALUE!</v>
      </c>
      <c r="BR98" s="22" t="e">
        <f aca="false">AND(#REF!,"AAAAAH/vDkU=")</f>
        <v>#VALUE!</v>
      </c>
      <c r="BS98" s="22" t="e">
        <f aca="false">AND(#REF!,"AAAAAH/vDkY=")</f>
        <v>#VALUE!</v>
      </c>
      <c r="BT98" s="22" t="e">
        <f aca="false">IF(#REF!,"AAAAAH/vDkc=",0)</f>
        <v>#REF!</v>
      </c>
      <c r="BU98" s="22" t="e">
        <f aca="false">AND(#REF!,"AAAAAH/vDkg=")</f>
        <v>#VALUE!</v>
      </c>
      <c r="BV98" s="22" t="e">
        <f aca="false">AND(#REF!,"AAAAAH/vDkk=")</f>
        <v>#VALUE!</v>
      </c>
      <c r="BW98" s="22" t="e">
        <f aca="false">AND(#REF!,"AAAAAH/vDko=")</f>
        <v>#VALUE!</v>
      </c>
      <c r="BX98" s="22" t="e">
        <f aca="false">AND(#REF!,"AAAAAH/vDks=")</f>
        <v>#VALUE!</v>
      </c>
      <c r="BY98" s="22" t="e">
        <f aca="false">AND(#REF!,"AAAAAH/vDkw=")</f>
        <v>#VALUE!</v>
      </c>
      <c r="BZ98" s="22" t="e">
        <f aca="false">AND(#REF!,"AAAAAH/vDk0=")</f>
        <v>#VALUE!</v>
      </c>
      <c r="CA98" s="22" t="e">
        <f aca="false">AND(#REF!,"AAAAAH/vDk4=")</f>
        <v>#VALUE!</v>
      </c>
      <c r="CB98" s="22" t="e">
        <f aca="false">AND(#REF!,"AAAAAH/vDk8=")</f>
        <v>#VALUE!</v>
      </c>
      <c r="CC98" s="22" t="e">
        <f aca="false">IF(#REF!,"AAAAAH/vDlA=",0)</f>
        <v>#REF!</v>
      </c>
      <c r="CD98" s="22" t="e">
        <f aca="false">AND(#REF!,"AAAAAH/vDlE=")</f>
        <v>#VALUE!</v>
      </c>
      <c r="CE98" s="22" t="e">
        <f aca="false">AND(#REF!,"AAAAAH/vDlI=")</f>
        <v>#VALUE!</v>
      </c>
      <c r="CF98" s="22" t="e">
        <f aca="false">AND(#REF!,"AAAAAH/vDlM=")</f>
        <v>#VALUE!</v>
      </c>
      <c r="CG98" s="22" t="e">
        <f aca="false">AND(#REF!,"AAAAAH/vDlQ=")</f>
        <v>#VALUE!</v>
      </c>
      <c r="CH98" s="22" t="e">
        <f aca="false">AND(#REF!,"AAAAAH/vDlU=")</f>
        <v>#VALUE!</v>
      </c>
      <c r="CI98" s="22" t="e">
        <f aca="false">AND(#REF!,"AAAAAH/vDlY=")</f>
        <v>#VALUE!</v>
      </c>
      <c r="CJ98" s="22" t="e">
        <f aca="false">AND(#REF!,"AAAAAH/vDlc=")</f>
        <v>#VALUE!</v>
      </c>
      <c r="CK98" s="22" t="e">
        <f aca="false">AND(#REF!,"AAAAAH/vDlg=")</f>
        <v>#VALUE!</v>
      </c>
      <c r="CL98" s="22" t="e">
        <f aca="false">IF(#REF!,"AAAAAH/vDlk=",0)</f>
        <v>#REF!</v>
      </c>
      <c r="CM98" s="22" t="e">
        <f aca="false">AND(#REF!,"AAAAAH/vDlo=")</f>
        <v>#VALUE!</v>
      </c>
      <c r="CN98" s="22" t="e">
        <f aca="false">AND(#REF!,"AAAAAH/vDls=")</f>
        <v>#VALUE!</v>
      </c>
      <c r="CO98" s="22" t="e">
        <f aca="false">AND(#REF!,"AAAAAH/vDlw=")</f>
        <v>#VALUE!</v>
      </c>
      <c r="CP98" s="22" t="e">
        <f aca="false">AND(#REF!,"AAAAAH/vDl0=")</f>
        <v>#VALUE!</v>
      </c>
      <c r="CQ98" s="22" t="e">
        <f aca="false">AND(#REF!,"AAAAAH/vDl4=")</f>
        <v>#VALUE!</v>
      </c>
      <c r="CR98" s="22" t="e">
        <f aca="false">AND(#REF!,"AAAAAH/vDl8=")</f>
        <v>#VALUE!</v>
      </c>
      <c r="CS98" s="22" t="e">
        <f aca="false">AND(#REF!,"AAAAAH/vDmA=")</f>
        <v>#VALUE!</v>
      </c>
      <c r="CT98" s="22" t="e">
        <f aca="false">AND(#REF!,"AAAAAH/vDmE=")</f>
        <v>#VALUE!</v>
      </c>
      <c r="CU98" s="22" t="e">
        <f aca="false">IF(#REF!,"AAAAAH/vDmI=",0)</f>
        <v>#REF!</v>
      </c>
      <c r="CV98" s="22" t="e">
        <f aca="false">AND(#REF!,"AAAAAH/vDmM=")</f>
        <v>#VALUE!</v>
      </c>
      <c r="CW98" s="22" t="e">
        <f aca="false">AND(#REF!,"AAAAAH/vDmQ=")</f>
        <v>#VALUE!</v>
      </c>
      <c r="CX98" s="22" t="e">
        <f aca="false">AND(#REF!,"AAAAAH/vDmU=")</f>
        <v>#VALUE!</v>
      </c>
      <c r="CY98" s="22" t="e">
        <f aca="false">AND(#REF!,"AAAAAH/vDmY=")</f>
        <v>#VALUE!</v>
      </c>
      <c r="CZ98" s="22" t="e">
        <f aca="false">AND(#REF!,"AAAAAH/vDmc=")</f>
        <v>#VALUE!</v>
      </c>
      <c r="DA98" s="22" t="e">
        <f aca="false">AND(#REF!,"AAAAAH/vDmg=")</f>
        <v>#VALUE!</v>
      </c>
      <c r="DB98" s="22" t="e">
        <f aca="false">AND(#REF!,"AAAAAH/vDmk=")</f>
        <v>#VALUE!</v>
      </c>
      <c r="DC98" s="22" t="e">
        <f aca="false">AND(#REF!,"AAAAAH/vDmo=")</f>
        <v>#VALUE!</v>
      </c>
      <c r="DD98" s="22" t="e">
        <f aca="false">IF(#REF!,"AAAAAH/vDms=",0)</f>
        <v>#REF!</v>
      </c>
      <c r="DE98" s="22" t="e">
        <f aca="false">AND(#REF!,"AAAAAH/vDmw=")</f>
        <v>#VALUE!</v>
      </c>
      <c r="DF98" s="22" t="e">
        <f aca="false">AND(#REF!,"AAAAAH/vDm0=")</f>
        <v>#VALUE!</v>
      </c>
      <c r="DG98" s="22" t="e">
        <f aca="false">AND(#REF!,"AAAAAH/vDm4=")</f>
        <v>#VALUE!</v>
      </c>
      <c r="DH98" s="22" t="e">
        <f aca="false">AND(#REF!,"AAAAAH/vDm8=")</f>
        <v>#VALUE!</v>
      </c>
      <c r="DI98" s="22" t="e">
        <f aca="false">AND(#REF!,"AAAAAH/vDnA=")</f>
        <v>#VALUE!</v>
      </c>
      <c r="DJ98" s="22" t="e">
        <f aca="false">AND(#REF!,"AAAAAH/vDnE=")</f>
        <v>#VALUE!</v>
      </c>
      <c r="DK98" s="22" t="e">
        <f aca="false">AND(#REF!,"AAAAAH/vDnI=")</f>
        <v>#VALUE!</v>
      </c>
      <c r="DL98" s="22" t="e">
        <f aca="false">AND(#REF!,"AAAAAH/vDnM=")</f>
        <v>#VALUE!</v>
      </c>
      <c r="DM98" s="22" t="e">
        <f aca="false">IF(#REF!,"AAAAAH/vDnQ=",0)</f>
        <v>#REF!</v>
      </c>
      <c r="DN98" s="22" t="e">
        <f aca="false">AND(#REF!,"AAAAAH/vDnU=")</f>
        <v>#VALUE!</v>
      </c>
      <c r="DO98" s="22" t="e">
        <f aca="false">AND(#REF!,"AAAAAH/vDnY=")</f>
        <v>#VALUE!</v>
      </c>
      <c r="DP98" s="22" t="e">
        <f aca="false">AND(#REF!,"AAAAAH/vDnc=")</f>
        <v>#VALUE!</v>
      </c>
      <c r="DQ98" s="22" t="e">
        <f aca="false">AND(#REF!,"AAAAAH/vDng=")</f>
        <v>#VALUE!</v>
      </c>
      <c r="DR98" s="22" t="e">
        <f aca="false">AND(#REF!,"AAAAAH/vDnk=")</f>
        <v>#VALUE!</v>
      </c>
      <c r="DS98" s="22" t="e">
        <f aca="false">AND(#REF!,"AAAAAH/vDno=")</f>
        <v>#VALUE!</v>
      </c>
      <c r="DT98" s="22" t="e">
        <f aca="false">AND(#REF!,"AAAAAH/vDns=")</f>
        <v>#VALUE!</v>
      </c>
      <c r="DU98" s="22" t="e">
        <f aca="false">AND(#REF!,"AAAAAH/vDnw=")</f>
        <v>#VALUE!</v>
      </c>
      <c r="DV98" s="22" t="e">
        <f aca="false">IF(#REF!,"AAAAAH/vDn0=",0)</f>
        <v>#REF!</v>
      </c>
      <c r="DW98" s="22" t="e">
        <f aca="false">AND(#REF!,"AAAAAH/vDn4=")</f>
        <v>#VALUE!</v>
      </c>
      <c r="DX98" s="22" t="e">
        <f aca="false">AND(#REF!,"AAAAAH/vDn8=")</f>
        <v>#VALUE!</v>
      </c>
      <c r="DY98" s="22" t="e">
        <f aca="false">AND(#REF!,"AAAAAH/vDoA=")</f>
        <v>#VALUE!</v>
      </c>
      <c r="DZ98" s="22" t="e">
        <f aca="false">AND(#REF!,"AAAAAH/vDoE=")</f>
        <v>#VALUE!</v>
      </c>
      <c r="EA98" s="22" t="e">
        <f aca="false">AND(#REF!,"AAAAAH/vDoI=")</f>
        <v>#VALUE!</v>
      </c>
      <c r="EB98" s="22" t="e">
        <f aca="false">AND(#REF!,"AAAAAH/vDoM=")</f>
        <v>#VALUE!</v>
      </c>
      <c r="EC98" s="22" t="e">
        <f aca="false">AND(#REF!,"AAAAAH/vDoQ=")</f>
        <v>#VALUE!</v>
      </c>
      <c r="ED98" s="22" t="e">
        <f aca="false">AND(#REF!,"AAAAAH/vDoU=")</f>
        <v>#VALUE!</v>
      </c>
      <c r="EE98" s="22" t="e">
        <f aca="false">IF(#REF!,"AAAAAH/vDoY=",0)</f>
        <v>#REF!</v>
      </c>
      <c r="EF98" s="22" t="e">
        <f aca="false">AND(#REF!,"AAAAAH/vDoc=")</f>
        <v>#VALUE!</v>
      </c>
      <c r="EG98" s="22" t="e">
        <f aca="false">AND(#REF!,"AAAAAH/vDog=")</f>
        <v>#VALUE!</v>
      </c>
      <c r="EH98" s="22" t="e">
        <f aca="false">AND(#REF!,"AAAAAH/vDok=")</f>
        <v>#VALUE!</v>
      </c>
      <c r="EI98" s="22" t="e">
        <f aca="false">AND(#REF!,"AAAAAH/vDoo=")</f>
        <v>#VALUE!</v>
      </c>
      <c r="EJ98" s="22" t="e">
        <f aca="false">AND(#REF!,"AAAAAH/vDos=")</f>
        <v>#VALUE!</v>
      </c>
      <c r="EK98" s="22" t="e">
        <f aca="false">AND(#REF!,"AAAAAH/vDow=")</f>
        <v>#VALUE!</v>
      </c>
      <c r="EL98" s="22" t="e">
        <f aca="false">AND(#REF!,"AAAAAH/vDo0=")</f>
        <v>#VALUE!</v>
      </c>
      <c r="EM98" s="22" t="e">
        <f aca="false">AND(#REF!,"AAAAAH/vDo4=")</f>
        <v>#VALUE!</v>
      </c>
      <c r="EN98" s="22" t="e">
        <f aca="false">IF(#REF!,"AAAAAH/vDo8=",0)</f>
        <v>#REF!</v>
      </c>
      <c r="EO98" s="22" t="e">
        <f aca="false">AND(#REF!,"AAAAAH/vDpA=")</f>
        <v>#VALUE!</v>
      </c>
      <c r="EP98" s="22" t="e">
        <f aca="false">AND(#REF!,"AAAAAH/vDpE=")</f>
        <v>#VALUE!</v>
      </c>
      <c r="EQ98" s="22" t="e">
        <f aca="false">AND(#REF!,"AAAAAH/vDpI=")</f>
        <v>#VALUE!</v>
      </c>
      <c r="ER98" s="22" t="e">
        <f aca="false">AND(#REF!,"AAAAAH/vDpM=")</f>
        <v>#VALUE!</v>
      </c>
      <c r="ES98" s="22" t="e">
        <f aca="false">AND(#REF!,"AAAAAH/vDpQ=")</f>
        <v>#VALUE!</v>
      </c>
      <c r="ET98" s="22" t="e">
        <f aca="false">AND(#REF!,"AAAAAH/vDpU=")</f>
        <v>#VALUE!</v>
      </c>
      <c r="EU98" s="22" t="e">
        <f aca="false">AND(#REF!,"AAAAAH/vDpY=")</f>
        <v>#VALUE!</v>
      </c>
      <c r="EV98" s="22" t="e">
        <f aca="false">AND(#REF!,"AAAAAH/vDpc=")</f>
        <v>#VALUE!</v>
      </c>
      <c r="EW98" s="22" t="e">
        <f aca="false">IF(#REF!,"AAAAAH/vDpg=",0)</f>
        <v>#REF!</v>
      </c>
      <c r="EX98" s="22" t="e">
        <f aca="false">AND(#REF!,"AAAAAH/vDpk=")</f>
        <v>#VALUE!</v>
      </c>
      <c r="EY98" s="22" t="e">
        <f aca="false">AND(#REF!,"AAAAAH/vDpo=")</f>
        <v>#VALUE!</v>
      </c>
      <c r="EZ98" s="22" t="e">
        <f aca="false">AND(#REF!,"AAAAAH/vDps=")</f>
        <v>#VALUE!</v>
      </c>
      <c r="FA98" s="22" t="e">
        <f aca="false">AND(#REF!,"AAAAAH/vDpw=")</f>
        <v>#VALUE!</v>
      </c>
      <c r="FB98" s="22" t="e">
        <f aca="false">AND(#REF!,"AAAAAH/vDp0=")</f>
        <v>#VALUE!</v>
      </c>
      <c r="FC98" s="22" t="e">
        <f aca="false">AND(#REF!,"AAAAAH/vDp4=")</f>
        <v>#VALUE!</v>
      </c>
      <c r="FD98" s="22" t="e">
        <f aca="false">AND(#REF!,"AAAAAH/vDp8=")</f>
        <v>#VALUE!</v>
      </c>
      <c r="FE98" s="22" t="e">
        <f aca="false">AND(#REF!,"AAAAAH/vDqA=")</f>
        <v>#VALUE!</v>
      </c>
      <c r="FF98" s="22" t="e">
        <f aca="false">IF(#REF!,"AAAAAH/vDqE=",0)</f>
        <v>#REF!</v>
      </c>
      <c r="FG98" s="22" t="e">
        <f aca="false">AND(#REF!,"AAAAAH/vDqI=")</f>
        <v>#VALUE!</v>
      </c>
      <c r="FH98" s="22" t="e">
        <f aca="false">AND(#REF!,"AAAAAH/vDqM=")</f>
        <v>#VALUE!</v>
      </c>
      <c r="FI98" s="22" t="e">
        <f aca="false">AND(#REF!,"AAAAAH/vDqQ=")</f>
        <v>#VALUE!</v>
      </c>
      <c r="FJ98" s="22" t="e">
        <f aca="false">AND(#REF!,"AAAAAH/vDqU=")</f>
        <v>#VALUE!</v>
      </c>
      <c r="FK98" s="22" t="e">
        <f aca="false">AND(#REF!,"AAAAAH/vDqY=")</f>
        <v>#VALUE!</v>
      </c>
      <c r="FL98" s="22" t="e">
        <f aca="false">AND(#REF!,"AAAAAH/vDqc=")</f>
        <v>#VALUE!</v>
      </c>
      <c r="FM98" s="22" t="e">
        <f aca="false">AND(#REF!,"AAAAAH/vDqg=")</f>
        <v>#VALUE!</v>
      </c>
      <c r="FN98" s="22" t="e">
        <f aca="false">AND(#REF!,"AAAAAH/vDqk=")</f>
        <v>#VALUE!</v>
      </c>
      <c r="FO98" s="22" t="e">
        <f aca="false">IF(#REF!,"AAAAAH/vDqo=",0)</f>
        <v>#REF!</v>
      </c>
      <c r="FP98" s="22" t="e">
        <f aca="false">AND(#REF!,"AAAAAH/vDqs=")</f>
        <v>#VALUE!</v>
      </c>
      <c r="FQ98" s="22" t="e">
        <f aca="false">AND(#REF!,"AAAAAH/vDqw=")</f>
        <v>#VALUE!</v>
      </c>
      <c r="FR98" s="22" t="e">
        <f aca="false">AND(#REF!,"AAAAAH/vDq0=")</f>
        <v>#VALUE!</v>
      </c>
      <c r="FS98" s="22" t="e">
        <f aca="false">AND(#REF!,"AAAAAH/vDq4=")</f>
        <v>#VALUE!</v>
      </c>
      <c r="FT98" s="22" t="e">
        <f aca="false">AND(#REF!,"AAAAAH/vDq8=")</f>
        <v>#VALUE!</v>
      </c>
      <c r="FU98" s="22" t="e">
        <f aca="false">AND(#REF!,"AAAAAH/vDrA=")</f>
        <v>#VALUE!</v>
      </c>
      <c r="FV98" s="22" t="e">
        <f aca="false">AND(#REF!,"AAAAAH/vDrE=")</f>
        <v>#VALUE!</v>
      </c>
      <c r="FW98" s="22" t="e">
        <f aca="false">AND(#REF!,"AAAAAH/vDrI=")</f>
        <v>#VALUE!</v>
      </c>
      <c r="FX98" s="22" t="e">
        <f aca="false">IF(#REF!,"AAAAAH/vDrM=",0)</f>
        <v>#REF!</v>
      </c>
      <c r="FY98" s="22" t="e">
        <f aca="false">AND(#REF!,"AAAAAH/vDrQ=")</f>
        <v>#VALUE!</v>
      </c>
      <c r="FZ98" s="22" t="e">
        <f aca="false">AND(#REF!,"AAAAAH/vDrU=")</f>
        <v>#VALUE!</v>
      </c>
      <c r="GA98" s="22" t="e">
        <f aca="false">AND(#REF!,"AAAAAH/vDrY=")</f>
        <v>#VALUE!</v>
      </c>
      <c r="GB98" s="22" t="e">
        <f aca="false">AND(#REF!,"AAAAAH/vDrc=")</f>
        <v>#VALUE!</v>
      </c>
      <c r="GC98" s="22" t="e">
        <f aca="false">AND(#REF!,"AAAAAH/vDrg=")</f>
        <v>#VALUE!</v>
      </c>
      <c r="GD98" s="22" t="e">
        <f aca="false">AND(#REF!,"AAAAAH/vDrk=")</f>
        <v>#VALUE!</v>
      </c>
      <c r="GE98" s="22" t="e">
        <f aca="false">AND(#REF!,"AAAAAH/vDro=")</f>
        <v>#VALUE!</v>
      </c>
      <c r="GF98" s="22" t="e">
        <f aca="false">AND(#REF!,"AAAAAH/vDrs=")</f>
        <v>#VALUE!</v>
      </c>
      <c r="GG98" s="22" t="e">
        <f aca="false">IF(#REF!,"AAAAAH/vDrw=",0)</f>
        <v>#REF!</v>
      </c>
      <c r="GH98" s="22" t="e">
        <f aca="false">AND(#REF!,"AAAAAH/vDr0=")</f>
        <v>#VALUE!</v>
      </c>
      <c r="GI98" s="22" t="e">
        <f aca="false">AND(#REF!,"AAAAAH/vDr4=")</f>
        <v>#VALUE!</v>
      </c>
      <c r="GJ98" s="22" t="e">
        <f aca="false">AND(#REF!,"AAAAAH/vDr8=")</f>
        <v>#VALUE!</v>
      </c>
      <c r="GK98" s="22" t="e">
        <f aca="false">AND(#REF!,"AAAAAH/vDsA=")</f>
        <v>#VALUE!</v>
      </c>
      <c r="GL98" s="22" t="e">
        <f aca="false">AND(#REF!,"AAAAAH/vDsE=")</f>
        <v>#VALUE!</v>
      </c>
      <c r="GM98" s="22" t="e">
        <f aca="false">AND(#REF!,"AAAAAH/vDsI=")</f>
        <v>#VALUE!</v>
      </c>
      <c r="GN98" s="22" t="e">
        <f aca="false">AND(#REF!,"AAAAAH/vDsM=")</f>
        <v>#VALUE!</v>
      </c>
      <c r="GO98" s="22" t="e">
        <f aca="false">AND(#REF!,"AAAAAH/vDsQ=")</f>
        <v>#VALUE!</v>
      </c>
      <c r="GP98" s="22" t="e">
        <f aca="false">IF(#REF!,"AAAAAH/vDsU=",0)</f>
        <v>#REF!</v>
      </c>
      <c r="GQ98" s="22" t="e">
        <f aca="false">AND(#REF!,"AAAAAH/vDsY=")</f>
        <v>#VALUE!</v>
      </c>
      <c r="GR98" s="22" t="e">
        <f aca="false">AND(#REF!,"AAAAAH/vDsc=")</f>
        <v>#VALUE!</v>
      </c>
      <c r="GS98" s="22" t="e">
        <f aca="false">AND(#REF!,"AAAAAH/vDsg=")</f>
        <v>#VALUE!</v>
      </c>
      <c r="GT98" s="22" t="e">
        <f aca="false">AND(#REF!,"AAAAAH/vDsk=")</f>
        <v>#VALUE!</v>
      </c>
      <c r="GU98" s="22" t="e">
        <f aca="false">AND(#REF!,"AAAAAH/vDso=")</f>
        <v>#VALUE!</v>
      </c>
      <c r="GV98" s="22" t="e">
        <f aca="false">AND(#REF!,"AAAAAH/vDss=")</f>
        <v>#VALUE!</v>
      </c>
      <c r="GW98" s="22" t="e">
        <f aca="false">AND(#REF!,"AAAAAH/vDsw=")</f>
        <v>#VALUE!</v>
      </c>
      <c r="GX98" s="22" t="e">
        <f aca="false">AND(#REF!,"AAAAAH/vDs0=")</f>
        <v>#VALUE!</v>
      </c>
      <c r="GY98" s="22" t="e">
        <f aca="false">IF(#REF!,"AAAAAH/vDs4=",0)</f>
        <v>#REF!</v>
      </c>
      <c r="GZ98" s="22" t="e">
        <f aca="false">AND(#REF!,"AAAAAH/vDs8=")</f>
        <v>#VALUE!</v>
      </c>
      <c r="HA98" s="22" t="e">
        <f aca="false">AND(#REF!,"AAAAAH/vDtA=")</f>
        <v>#VALUE!</v>
      </c>
      <c r="HB98" s="22" t="e">
        <f aca="false">AND(#REF!,"AAAAAH/vDtE=")</f>
        <v>#VALUE!</v>
      </c>
      <c r="HC98" s="22" t="e">
        <f aca="false">AND(#REF!,"AAAAAH/vDtI=")</f>
        <v>#VALUE!</v>
      </c>
      <c r="HD98" s="22" t="e">
        <f aca="false">AND(#REF!,"AAAAAH/vDtM=")</f>
        <v>#VALUE!</v>
      </c>
      <c r="HE98" s="22" t="e">
        <f aca="false">AND(#REF!,"AAAAAH/vDtQ=")</f>
        <v>#VALUE!</v>
      </c>
      <c r="HF98" s="22" t="e">
        <f aca="false">AND(#REF!,"AAAAAH/vDtU=")</f>
        <v>#VALUE!</v>
      </c>
      <c r="HG98" s="22" t="e">
        <f aca="false">AND(#REF!,"AAAAAH/vDtY=")</f>
        <v>#VALUE!</v>
      </c>
      <c r="HH98" s="22" t="e">
        <f aca="false">IF(#REF!,"AAAAAH/vDtc=",0)</f>
        <v>#REF!</v>
      </c>
      <c r="HI98" s="22" t="e">
        <f aca="false">AND(#REF!,"AAAAAH/vDtg=")</f>
        <v>#VALUE!</v>
      </c>
      <c r="HJ98" s="22" t="e">
        <f aca="false">AND(#REF!,"AAAAAH/vDtk=")</f>
        <v>#VALUE!</v>
      </c>
      <c r="HK98" s="22" t="e">
        <f aca="false">AND(#REF!,"AAAAAH/vDto=")</f>
        <v>#VALUE!</v>
      </c>
      <c r="HL98" s="22" t="e">
        <f aca="false">AND(#REF!,"AAAAAH/vDts=")</f>
        <v>#VALUE!</v>
      </c>
      <c r="HM98" s="22" t="e">
        <f aca="false">AND(#REF!,"AAAAAH/vDtw=")</f>
        <v>#VALUE!</v>
      </c>
      <c r="HN98" s="22" t="e">
        <f aca="false">AND(#REF!,"AAAAAH/vDt0=")</f>
        <v>#VALUE!</v>
      </c>
      <c r="HO98" s="22" t="e">
        <f aca="false">AND(#REF!,"AAAAAH/vDt4=")</f>
        <v>#VALUE!</v>
      </c>
      <c r="HP98" s="22" t="e">
        <f aca="false">AND(#REF!,"AAAAAH/vDt8=")</f>
        <v>#VALUE!</v>
      </c>
      <c r="HQ98" s="22" t="e">
        <f aca="false">IF(#REF!,"AAAAAH/vDuA=",0)</f>
        <v>#REF!</v>
      </c>
      <c r="HR98" s="22" t="e">
        <f aca="false">AND(#REF!,"AAAAAH/vDuE=")</f>
        <v>#VALUE!</v>
      </c>
      <c r="HS98" s="22" t="e">
        <f aca="false">AND(#REF!,"AAAAAH/vDuI=")</f>
        <v>#VALUE!</v>
      </c>
      <c r="HT98" s="22" t="e">
        <f aca="false">AND(#REF!,"AAAAAH/vDuM=")</f>
        <v>#VALUE!</v>
      </c>
      <c r="HU98" s="22" t="e">
        <f aca="false">AND(#REF!,"AAAAAH/vDuQ=")</f>
        <v>#VALUE!</v>
      </c>
      <c r="HV98" s="22" t="e">
        <f aca="false">AND(#REF!,"AAAAAH/vDuU=")</f>
        <v>#VALUE!</v>
      </c>
      <c r="HW98" s="22" t="e">
        <f aca="false">AND(#REF!,"AAAAAH/vDuY=")</f>
        <v>#VALUE!</v>
      </c>
      <c r="HX98" s="22" t="e">
        <f aca="false">AND(#REF!,"AAAAAH/vDuc=")</f>
        <v>#VALUE!</v>
      </c>
      <c r="HY98" s="22" t="e">
        <f aca="false">AND(#REF!,"AAAAAH/vDug=")</f>
        <v>#VALUE!</v>
      </c>
      <c r="HZ98" s="22" t="e">
        <f aca="false">IF(#REF!,"AAAAAH/vDuk=",0)</f>
        <v>#REF!</v>
      </c>
      <c r="IA98" s="22" t="e">
        <f aca="false">AND(#REF!,"AAAAAH/vDuo=")</f>
        <v>#VALUE!</v>
      </c>
      <c r="IB98" s="22" t="e">
        <f aca="false">AND(#REF!,"AAAAAH/vDus=")</f>
        <v>#VALUE!</v>
      </c>
      <c r="IC98" s="22" t="e">
        <f aca="false">AND(#REF!,"AAAAAH/vDuw=")</f>
        <v>#VALUE!</v>
      </c>
      <c r="ID98" s="22" t="e">
        <f aca="false">AND(#REF!,"AAAAAH/vDu0=")</f>
        <v>#VALUE!</v>
      </c>
      <c r="IE98" s="22" t="e">
        <f aca="false">AND(#REF!,"AAAAAH/vDu4=")</f>
        <v>#VALUE!</v>
      </c>
      <c r="IF98" s="22" t="e">
        <f aca="false">AND(#REF!,"AAAAAH/vDu8=")</f>
        <v>#VALUE!</v>
      </c>
      <c r="IG98" s="22" t="e">
        <f aca="false">AND(#REF!,"AAAAAH/vDvA=")</f>
        <v>#VALUE!</v>
      </c>
      <c r="IH98" s="22" t="e">
        <f aca="false">AND(#REF!,"AAAAAH/vDvE=")</f>
        <v>#VALUE!</v>
      </c>
      <c r="II98" s="22" t="e">
        <f aca="false">IF(#REF!,"AAAAAH/vDvI=",0)</f>
        <v>#REF!</v>
      </c>
      <c r="IJ98" s="22" t="e">
        <f aca="false">AND(#REF!,"AAAAAH/vDvM=")</f>
        <v>#VALUE!</v>
      </c>
      <c r="IK98" s="22" t="e">
        <f aca="false">AND(#REF!,"AAAAAH/vDvQ=")</f>
        <v>#VALUE!</v>
      </c>
      <c r="IL98" s="22" t="e">
        <f aca="false">AND(#REF!,"AAAAAH/vDvU=")</f>
        <v>#VALUE!</v>
      </c>
      <c r="IM98" s="22" t="e">
        <f aca="false">AND(#REF!,"AAAAAH/vDvY=")</f>
        <v>#VALUE!</v>
      </c>
      <c r="IN98" s="22" t="e">
        <f aca="false">AND(#REF!,"AAAAAH/vDvc=")</f>
        <v>#VALUE!</v>
      </c>
      <c r="IO98" s="22" t="e">
        <f aca="false">AND(#REF!,"AAAAAH/vDvg=")</f>
        <v>#VALUE!</v>
      </c>
      <c r="IP98" s="22" t="e">
        <f aca="false">AND(#REF!,"AAAAAH/vDvk=")</f>
        <v>#VALUE!</v>
      </c>
      <c r="IQ98" s="22" t="e">
        <f aca="false">AND(#REF!,"AAAAAH/vDvo=")</f>
        <v>#VALUE!</v>
      </c>
      <c r="IR98" s="22" t="e">
        <f aca="false">IF(#REF!,"AAAAAH/vDvs=",0)</f>
        <v>#REF!</v>
      </c>
      <c r="IS98" s="22" t="e">
        <f aca="false">AND(#REF!,"AAAAAH/vDvw=")</f>
        <v>#VALUE!</v>
      </c>
      <c r="IT98" s="22" t="e">
        <f aca="false">AND(#REF!,"AAAAAH/vDv0=")</f>
        <v>#VALUE!</v>
      </c>
      <c r="IU98" s="22" t="e">
        <f aca="false">AND(#REF!,"AAAAAH/vDv4=")</f>
        <v>#VALUE!</v>
      </c>
      <c r="IV98" s="22" t="e">
        <f aca="false">AND(#REF!,"AAAAAH/vDv8=")</f>
        <v>#VALUE!</v>
      </c>
    </row>
    <row r="99" customFormat="false" ht="12.75" hidden="false" customHeight="false" outlineLevel="0" collapsed="false">
      <c r="A99" s="22" t="e">
        <f aca="false">AND(#REF!,"AAAAADx/5wA=")</f>
        <v>#VALUE!</v>
      </c>
      <c r="B99" s="22" t="e">
        <f aca="false">AND(#REF!,"AAAAADx/5wE=")</f>
        <v>#VALUE!</v>
      </c>
      <c r="C99" s="22" t="e">
        <f aca="false">AND(#REF!,"AAAAADx/5wI=")</f>
        <v>#VALUE!</v>
      </c>
      <c r="D99" s="22" t="e">
        <f aca="false">AND(#REF!,"AAAAADx/5wM=")</f>
        <v>#VALUE!</v>
      </c>
      <c r="E99" s="22" t="e">
        <f aca="false">IF(#REF!,"AAAAADx/5wQ=",0)</f>
        <v>#REF!</v>
      </c>
      <c r="F99" s="22" t="e">
        <f aca="false">AND(#REF!,"AAAAADx/5wU=")</f>
        <v>#VALUE!</v>
      </c>
      <c r="G99" s="22" t="e">
        <f aca="false">AND(#REF!,"AAAAADx/5wY=")</f>
        <v>#VALUE!</v>
      </c>
      <c r="H99" s="22" t="e">
        <f aca="false">AND(#REF!,"AAAAADx/5wc=")</f>
        <v>#VALUE!</v>
      </c>
      <c r="I99" s="22" t="e">
        <f aca="false">AND(#REF!,"AAAAADx/5wg=")</f>
        <v>#VALUE!</v>
      </c>
      <c r="J99" s="22" t="e">
        <f aca="false">AND(#REF!,"AAAAADx/5wk=")</f>
        <v>#VALUE!</v>
      </c>
      <c r="K99" s="22" t="e">
        <f aca="false">AND(#REF!,"AAAAADx/5wo=")</f>
        <v>#VALUE!</v>
      </c>
      <c r="L99" s="22" t="e">
        <f aca="false">AND(#REF!,"AAAAADx/5ws=")</f>
        <v>#VALUE!</v>
      </c>
      <c r="M99" s="22" t="e">
        <f aca="false">AND(#REF!,"AAAAADx/5ww=")</f>
        <v>#VALUE!</v>
      </c>
      <c r="N99" s="22" t="e">
        <f aca="false">IF(#REF!,"AAAAADx/5w0=",0)</f>
        <v>#REF!</v>
      </c>
      <c r="O99" s="22" t="e">
        <f aca="false">AND(#REF!,"AAAAADx/5w4=")</f>
        <v>#VALUE!</v>
      </c>
      <c r="P99" s="22" t="e">
        <f aca="false">AND(#REF!,"AAAAADx/5w8=")</f>
        <v>#VALUE!</v>
      </c>
      <c r="Q99" s="22" t="e">
        <f aca="false">AND(#REF!,"AAAAADx/5xA=")</f>
        <v>#VALUE!</v>
      </c>
      <c r="R99" s="22" t="e">
        <f aca="false">AND(#REF!,"AAAAADx/5xE=")</f>
        <v>#VALUE!</v>
      </c>
      <c r="S99" s="22" t="e">
        <f aca="false">AND(#REF!,"AAAAADx/5xI=")</f>
        <v>#VALUE!</v>
      </c>
      <c r="T99" s="22" t="e">
        <f aca="false">AND(#REF!,"AAAAADx/5xM=")</f>
        <v>#VALUE!</v>
      </c>
      <c r="U99" s="22" t="e">
        <f aca="false">AND(#REF!,"AAAAADx/5xQ=")</f>
        <v>#VALUE!</v>
      </c>
      <c r="V99" s="22" t="e">
        <f aca="false">AND(#REF!,"AAAAADx/5xU=")</f>
        <v>#VALUE!</v>
      </c>
      <c r="W99" s="22" t="e">
        <f aca="false">IF(#REF!,"AAAAADx/5xY=",0)</f>
        <v>#REF!</v>
      </c>
      <c r="X99" s="22" t="e">
        <f aca="false">AND(#REF!,"AAAAADx/5xc=")</f>
        <v>#VALUE!</v>
      </c>
      <c r="Y99" s="22" t="e">
        <f aca="false">AND(#REF!,"AAAAADx/5xg=")</f>
        <v>#VALUE!</v>
      </c>
      <c r="Z99" s="22" t="e">
        <f aca="false">AND(#REF!,"AAAAADx/5xk=")</f>
        <v>#VALUE!</v>
      </c>
      <c r="AA99" s="22" t="e">
        <f aca="false">AND(#REF!,"AAAAADx/5xo=")</f>
        <v>#VALUE!</v>
      </c>
      <c r="AB99" s="22" t="e">
        <f aca="false">AND(#REF!,"AAAAADx/5xs=")</f>
        <v>#VALUE!</v>
      </c>
      <c r="AC99" s="22" t="e">
        <f aca="false">AND(#REF!,"AAAAADx/5xw=")</f>
        <v>#VALUE!</v>
      </c>
      <c r="AD99" s="22" t="e">
        <f aca="false">AND(#REF!,"AAAAADx/5x0=")</f>
        <v>#VALUE!</v>
      </c>
      <c r="AE99" s="22" t="e">
        <f aca="false">AND(#REF!,"AAAAADx/5x4=")</f>
        <v>#VALUE!</v>
      </c>
      <c r="AF99" s="22" t="e">
        <f aca="false">IF(#REF!,"AAAAADx/5x8=",0)</f>
        <v>#REF!</v>
      </c>
      <c r="AG99" s="22" t="e">
        <f aca="false">AND(#REF!,"AAAAADx/5yA=")</f>
        <v>#VALUE!</v>
      </c>
      <c r="AH99" s="22" t="e">
        <f aca="false">AND(#REF!,"AAAAADx/5yE=")</f>
        <v>#VALUE!</v>
      </c>
      <c r="AI99" s="22" t="e">
        <f aca="false">AND(#REF!,"AAAAADx/5yI=")</f>
        <v>#VALUE!</v>
      </c>
      <c r="AJ99" s="22" t="e">
        <f aca="false">AND(#REF!,"AAAAADx/5yM=")</f>
        <v>#VALUE!</v>
      </c>
      <c r="AK99" s="22" t="e">
        <f aca="false">AND(#REF!,"AAAAADx/5yQ=")</f>
        <v>#VALUE!</v>
      </c>
      <c r="AL99" s="22" t="e">
        <f aca="false">AND(#REF!,"AAAAADx/5yU=")</f>
        <v>#VALUE!</v>
      </c>
      <c r="AM99" s="22" t="e">
        <f aca="false">AND(#REF!,"AAAAADx/5yY=")</f>
        <v>#VALUE!</v>
      </c>
      <c r="AN99" s="22" t="e">
        <f aca="false">AND(#REF!,"AAAAADx/5yc=")</f>
        <v>#VALUE!</v>
      </c>
      <c r="AO99" s="22" t="e">
        <f aca="false">IF(#REF!,"AAAAADx/5yg=",0)</f>
        <v>#REF!</v>
      </c>
      <c r="AP99" s="22" t="e">
        <f aca="false">AND(#REF!,"AAAAADx/5yk=")</f>
        <v>#VALUE!</v>
      </c>
      <c r="AQ99" s="22" t="e">
        <f aca="false">AND(#REF!,"AAAAADx/5yo=")</f>
        <v>#VALUE!</v>
      </c>
      <c r="AR99" s="22" t="e">
        <f aca="false">AND(#REF!,"AAAAADx/5ys=")</f>
        <v>#VALUE!</v>
      </c>
      <c r="AS99" s="22" t="e">
        <f aca="false">AND(#REF!,"AAAAADx/5yw=")</f>
        <v>#VALUE!</v>
      </c>
      <c r="AT99" s="22" t="e">
        <f aca="false">AND(#REF!,"AAAAADx/5y0=")</f>
        <v>#VALUE!</v>
      </c>
      <c r="AU99" s="22" t="e">
        <f aca="false">AND(#REF!,"AAAAADx/5y4=")</f>
        <v>#VALUE!</v>
      </c>
      <c r="AV99" s="22" t="e">
        <f aca="false">AND(#REF!,"AAAAADx/5y8=")</f>
        <v>#VALUE!</v>
      </c>
      <c r="AW99" s="22" t="e">
        <f aca="false">AND(#REF!,"AAAAADx/5zA=")</f>
        <v>#VALUE!</v>
      </c>
      <c r="AX99" s="22" t="e">
        <f aca="false">IF(#REF!,"AAAAADx/5zE=",0)</f>
        <v>#REF!</v>
      </c>
      <c r="AY99" s="22" t="e">
        <f aca="false">AND(#REF!,"AAAAADx/5zI=")</f>
        <v>#VALUE!</v>
      </c>
      <c r="AZ99" s="22" t="e">
        <f aca="false">AND(#REF!,"AAAAADx/5zM=")</f>
        <v>#VALUE!</v>
      </c>
      <c r="BA99" s="22" t="e">
        <f aca="false">AND(#REF!,"AAAAADx/5zQ=")</f>
        <v>#VALUE!</v>
      </c>
      <c r="BB99" s="22" t="e">
        <f aca="false">AND(#REF!,"AAAAADx/5zU=")</f>
        <v>#VALUE!</v>
      </c>
      <c r="BC99" s="22" t="e">
        <f aca="false">AND(#REF!,"AAAAADx/5zY=")</f>
        <v>#VALUE!</v>
      </c>
      <c r="BD99" s="22" t="e">
        <f aca="false">AND(#REF!,"AAAAADx/5zc=")</f>
        <v>#VALUE!</v>
      </c>
      <c r="BE99" s="22" t="e">
        <f aca="false">AND(#REF!,"AAAAADx/5zg=")</f>
        <v>#VALUE!</v>
      </c>
      <c r="BF99" s="22" t="e">
        <f aca="false">AND(#REF!,"AAAAADx/5zk=")</f>
        <v>#VALUE!</v>
      </c>
      <c r="BG99" s="22" t="e">
        <f aca="false">IF(#REF!,"AAAAADx/5zo=",0)</f>
        <v>#REF!</v>
      </c>
      <c r="BH99" s="22" t="e">
        <f aca="false">AND(#REF!,"AAAAADx/5zs=")</f>
        <v>#VALUE!</v>
      </c>
      <c r="BI99" s="22" t="e">
        <f aca="false">AND(#REF!,"AAAAADx/5zw=")</f>
        <v>#VALUE!</v>
      </c>
      <c r="BJ99" s="22" t="e">
        <f aca="false">AND(#REF!,"AAAAADx/5z0=")</f>
        <v>#VALUE!</v>
      </c>
      <c r="BK99" s="22" t="e">
        <f aca="false">AND(#REF!,"AAAAADx/5z4=")</f>
        <v>#VALUE!</v>
      </c>
      <c r="BL99" s="22" t="e">
        <f aca="false">AND(#REF!,"AAAAADx/5z8=")</f>
        <v>#VALUE!</v>
      </c>
      <c r="BM99" s="22" t="e">
        <f aca="false">AND(#REF!,"AAAAADx/50A=")</f>
        <v>#VALUE!</v>
      </c>
      <c r="BN99" s="22" t="e">
        <f aca="false">AND(#REF!,"AAAAADx/50E=")</f>
        <v>#VALUE!</v>
      </c>
      <c r="BO99" s="22" t="e">
        <f aca="false">AND(#REF!,"AAAAADx/50I=")</f>
        <v>#VALUE!</v>
      </c>
      <c r="BP99" s="22" t="e">
        <f aca="false">IF(#REF!,"AAAAADx/50M=",0)</f>
        <v>#REF!</v>
      </c>
      <c r="BQ99" s="22" t="e">
        <f aca="false">AND(#REF!,"AAAAADx/50Q=")</f>
        <v>#VALUE!</v>
      </c>
      <c r="BR99" s="22" t="e">
        <f aca="false">AND(#REF!,"AAAAADx/50U=")</f>
        <v>#VALUE!</v>
      </c>
      <c r="BS99" s="22" t="e">
        <f aca="false">AND(#REF!,"AAAAADx/50Y=")</f>
        <v>#VALUE!</v>
      </c>
      <c r="BT99" s="22" t="e">
        <f aca="false">AND(#REF!,"AAAAADx/50c=")</f>
        <v>#VALUE!</v>
      </c>
      <c r="BU99" s="22" t="e">
        <f aca="false">AND(#REF!,"AAAAADx/50g=")</f>
        <v>#VALUE!</v>
      </c>
      <c r="BV99" s="22" t="e">
        <f aca="false">AND(#REF!,"AAAAADx/50k=")</f>
        <v>#VALUE!</v>
      </c>
      <c r="BW99" s="22" t="e">
        <f aca="false">AND(#REF!,"AAAAADx/50o=")</f>
        <v>#VALUE!</v>
      </c>
      <c r="BX99" s="22" t="e">
        <f aca="false">AND(#REF!,"AAAAADx/50s=")</f>
        <v>#VALUE!</v>
      </c>
      <c r="BY99" s="22" t="e">
        <f aca="false">IF(#REF!,"AAAAADx/50w=",0)</f>
        <v>#REF!</v>
      </c>
      <c r="BZ99" s="22" t="e">
        <f aca="false">AND(#REF!,"AAAAADx/500=")</f>
        <v>#VALUE!</v>
      </c>
      <c r="CA99" s="22" t="e">
        <f aca="false">AND(#REF!,"AAAAADx/504=")</f>
        <v>#VALUE!</v>
      </c>
      <c r="CB99" s="22" t="e">
        <f aca="false">AND(#REF!,"AAAAADx/508=")</f>
        <v>#VALUE!</v>
      </c>
      <c r="CC99" s="22" t="e">
        <f aca="false">AND(#REF!,"AAAAADx/51A=")</f>
        <v>#VALUE!</v>
      </c>
      <c r="CD99" s="22" t="e">
        <f aca="false">AND(#REF!,"AAAAADx/51E=")</f>
        <v>#VALUE!</v>
      </c>
      <c r="CE99" s="22" t="e">
        <f aca="false">AND(#REF!,"AAAAADx/51I=")</f>
        <v>#VALUE!</v>
      </c>
      <c r="CF99" s="22" t="e">
        <f aca="false">AND(#REF!,"AAAAADx/51M=")</f>
        <v>#VALUE!</v>
      </c>
      <c r="CG99" s="22" t="e">
        <f aca="false">AND(#REF!,"AAAAADx/51Q=")</f>
        <v>#VALUE!</v>
      </c>
      <c r="CH99" s="22" t="e">
        <f aca="false">IF(#REF!,"AAAAADx/51U=",0)</f>
        <v>#REF!</v>
      </c>
      <c r="CI99" s="22" t="e">
        <f aca="false">AND(#REF!,"AAAAADx/51Y=")</f>
        <v>#VALUE!</v>
      </c>
      <c r="CJ99" s="22" t="e">
        <f aca="false">AND(#REF!,"AAAAADx/51c=")</f>
        <v>#VALUE!</v>
      </c>
      <c r="CK99" s="22" t="e">
        <f aca="false">AND(#REF!,"AAAAADx/51g=")</f>
        <v>#VALUE!</v>
      </c>
      <c r="CL99" s="22" t="e">
        <f aca="false">AND(#REF!,"AAAAADx/51k=")</f>
        <v>#VALUE!</v>
      </c>
      <c r="CM99" s="22" t="e">
        <f aca="false">AND(#REF!,"AAAAADx/51o=")</f>
        <v>#VALUE!</v>
      </c>
      <c r="CN99" s="22" t="e">
        <f aca="false">AND(#REF!,"AAAAADx/51s=")</f>
        <v>#VALUE!</v>
      </c>
      <c r="CO99" s="22" t="e">
        <f aca="false">AND(#REF!,"AAAAADx/51w=")</f>
        <v>#VALUE!</v>
      </c>
      <c r="CP99" s="22" t="e">
        <f aca="false">AND(#REF!,"AAAAADx/510=")</f>
        <v>#VALUE!</v>
      </c>
      <c r="CQ99" s="22" t="e">
        <f aca="false">IF(#REF!,"AAAAADx/514=",0)</f>
        <v>#REF!</v>
      </c>
      <c r="CR99" s="22" t="e">
        <f aca="false">AND(#REF!,"AAAAADx/518=")</f>
        <v>#VALUE!</v>
      </c>
      <c r="CS99" s="22" t="e">
        <f aca="false">AND(#REF!,"AAAAADx/52A=")</f>
        <v>#VALUE!</v>
      </c>
      <c r="CT99" s="22" t="e">
        <f aca="false">AND(#REF!,"AAAAADx/52E=")</f>
        <v>#VALUE!</v>
      </c>
      <c r="CU99" s="22" t="e">
        <f aca="false">AND(#REF!,"AAAAADx/52I=")</f>
        <v>#VALUE!</v>
      </c>
      <c r="CV99" s="22" t="e">
        <f aca="false">AND(#REF!,"AAAAADx/52M=")</f>
        <v>#VALUE!</v>
      </c>
      <c r="CW99" s="22" t="e">
        <f aca="false">AND(#REF!,"AAAAADx/52Q=")</f>
        <v>#VALUE!</v>
      </c>
      <c r="CX99" s="22" t="e">
        <f aca="false">AND(#REF!,"AAAAADx/52U=")</f>
        <v>#VALUE!</v>
      </c>
      <c r="CY99" s="22" t="e">
        <f aca="false">AND(#REF!,"AAAAADx/52Y=")</f>
        <v>#VALUE!</v>
      </c>
      <c r="CZ99" s="22" t="e">
        <f aca="false">IF(#REF!,"AAAAADx/52c=",0)</f>
        <v>#REF!</v>
      </c>
      <c r="DA99" s="22" t="e">
        <f aca="false">AND(#REF!,"AAAAADx/52g=")</f>
        <v>#VALUE!</v>
      </c>
      <c r="DB99" s="22" t="e">
        <f aca="false">AND(#REF!,"AAAAADx/52k=")</f>
        <v>#VALUE!</v>
      </c>
      <c r="DC99" s="22" t="e">
        <f aca="false">AND(#REF!,"AAAAADx/52o=")</f>
        <v>#VALUE!</v>
      </c>
      <c r="DD99" s="22" t="e">
        <f aca="false">AND(#REF!,"AAAAADx/52s=")</f>
        <v>#VALUE!</v>
      </c>
      <c r="DE99" s="22" t="e">
        <f aca="false">AND(#REF!,"AAAAADx/52w=")</f>
        <v>#VALUE!</v>
      </c>
      <c r="DF99" s="22" t="e">
        <f aca="false">AND(#REF!,"AAAAADx/520=")</f>
        <v>#VALUE!</v>
      </c>
      <c r="DG99" s="22" t="e">
        <f aca="false">AND(#REF!,"AAAAADx/524=")</f>
        <v>#VALUE!</v>
      </c>
      <c r="DH99" s="22" t="e">
        <f aca="false">AND(#REF!,"AAAAADx/528=")</f>
        <v>#VALUE!</v>
      </c>
      <c r="DI99" s="22" t="e">
        <f aca="false">IF(#REF!,"AAAAADx/53A=",0)</f>
        <v>#REF!</v>
      </c>
      <c r="DJ99" s="22" t="e">
        <f aca="false">AND(#REF!,"AAAAADx/53E=")</f>
        <v>#VALUE!</v>
      </c>
      <c r="DK99" s="22" t="e">
        <f aca="false">AND(#REF!,"AAAAADx/53I=")</f>
        <v>#VALUE!</v>
      </c>
      <c r="DL99" s="22" t="e">
        <f aca="false">AND(#REF!,"AAAAADx/53M=")</f>
        <v>#VALUE!</v>
      </c>
      <c r="DM99" s="22" t="e">
        <f aca="false">AND(#REF!,"AAAAADx/53Q=")</f>
        <v>#VALUE!</v>
      </c>
      <c r="DN99" s="22" t="e">
        <f aca="false">AND(#REF!,"AAAAADx/53U=")</f>
        <v>#VALUE!</v>
      </c>
      <c r="DO99" s="22" t="e">
        <f aca="false">AND(#REF!,"AAAAADx/53Y=")</f>
        <v>#VALUE!</v>
      </c>
      <c r="DP99" s="22" t="e">
        <f aca="false">AND(#REF!,"AAAAADx/53c=")</f>
        <v>#VALUE!</v>
      </c>
      <c r="DQ99" s="22" t="e">
        <f aca="false">AND(#REF!,"AAAAADx/53g=")</f>
        <v>#VALUE!</v>
      </c>
      <c r="DR99" s="22" t="e">
        <f aca="false">IF(#REF!,"AAAAADx/53k=",0)</f>
        <v>#REF!</v>
      </c>
      <c r="DS99" s="22" t="e">
        <f aca="false">AND(#REF!,"AAAAADx/53o=")</f>
        <v>#VALUE!</v>
      </c>
      <c r="DT99" s="22" t="e">
        <f aca="false">AND(#REF!,"AAAAADx/53s=")</f>
        <v>#VALUE!</v>
      </c>
      <c r="DU99" s="22" t="e">
        <f aca="false">AND(#REF!,"AAAAADx/53w=")</f>
        <v>#VALUE!</v>
      </c>
      <c r="DV99" s="22" t="e">
        <f aca="false">AND(#REF!,"AAAAADx/530=")</f>
        <v>#VALUE!</v>
      </c>
      <c r="DW99" s="22" t="e">
        <f aca="false">AND(#REF!,"AAAAADx/534=")</f>
        <v>#VALUE!</v>
      </c>
      <c r="DX99" s="22" t="e">
        <f aca="false">AND(#REF!,"AAAAADx/538=")</f>
        <v>#VALUE!</v>
      </c>
      <c r="DY99" s="22" t="e">
        <f aca="false">AND(#REF!,"AAAAADx/54A=")</f>
        <v>#VALUE!</v>
      </c>
      <c r="DZ99" s="22" t="e">
        <f aca="false">AND(#REF!,"AAAAADx/54E=")</f>
        <v>#VALUE!</v>
      </c>
      <c r="EA99" s="22" t="e">
        <f aca="false">IF(#REF!,"AAAAADx/54I=",0)</f>
        <v>#REF!</v>
      </c>
      <c r="EB99" s="22" t="e">
        <f aca="false">AND(#REF!,"AAAAADx/54M=")</f>
        <v>#VALUE!</v>
      </c>
      <c r="EC99" s="22" t="e">
        <f aca="false">AND(#REF!,"AAAAADx/54Q=")</f>
        <v>#VALUE!</v>
      </c>
      <c r="ED99" s="22" t="e">
        <f aca="false">AND(#REF!,"AAAAADx/54U=")</f>
        <v>#VALUE!</v>
      </c>
      <c r="EE99" s="22" t="e">
        <f aca="false">AND(#REF!,"AAAAADx/54Y=")</f>
        <v>#VALUE!</v>
      </c>
      <c r="EF99" s="22" t="e">
        <f aca="false">AND(#REF!,"AAAAADx/54c=")</f>
        <v>#VALUE!</v>
      </c>
      <c r="EG99" s="22" t="e">
        <f aca="false">AND(#REF!,"AAAAADx/54g=")</f>
        <v>#VALUE!</v>
      </c>
      <c r="EH99" s="22" t="e">
        <f aca="false">AND(#REF!,"AAAAADx/54k=")</f>
        <v>#VALUE!</v>
      </c>
      <c r="EI99" s="22" t="e">
        <f aca="false">AND(#REF!,"AAAAADx/54o=")</f>
        <v>#VALUE!</v>
      </c>
      <c r="EJ99" s="22" t="e">
        <f aca="false">IF(#REF!,"AAAAADx/54s=",0)</f>
        <v>#REF!</v>
      </c>
      <c r="EK99" s="22" t="e">
        <f aca="false">AND(#REF!,"AAAAADx/54w=")</f>
        <v>#VALUE!</v>
      </c>
      <c r="EL99" s="22" t="e">
        <f aca="false">AND(#REF!,"AAAAADx/540=")</f>
        <v>#VALUE!</v>
      </c>
      <c r="EM99" s="22" t="e">
        <f aca="false">AND(#REF!,"AAAAADx/544=")</f>
        <v>#VALUE!</v>
      </c>
      <c r="EN99" s="22" t="e">
        <f aca="false">AND(#REF!,"AAAAADx/548=")</f>
        <v>#VALUE!</v>
      </c>
      <c r="EO99" s="22" t="e">
        <f aca="false">AND(#REF!,"AAAAADx/55A=")</f>
        <v>#VALUE!</v>
      </c>
      <c r="EP99" s="22" t="e">
        <f aca="false">AND(#REF!,"AAAAADx/55E=")</f>
        <v>#VALUE!</v>
      </c>
      <c r="EQ99" s="22" t="e">
        <f aca="false">AND(#REF!,"AAAAADx/55I=")</f>
        <v>#VALUE!</v>
      </c>
      <c r="ER99" s="22" t="e">
        <f aca="false">AND(#REF!,"AAAAADx/55M=")</f>
        <v>#VALUE!</v>
      </c>
      <c r="ES99" s="22" t="e">
        <f aca="false">IF(#REF!,"AAAAADx/55Q=",0)</f>
        <v>#REF!</v>
      </c>
      <c r="ET99" s="22" t="e">
        <f aca="false">AND(#REF!,"AAAAADx/55U=")</f>
        <v>#VALUE!</v>
      </c>
      <c r="EU99" s="22" t="e">
        <f aca="false">AND(#REF!,"AAAAADx/55Y=")</f>
        <v>#VALUE!</v>
      </c>
      <c r="EV99" s="22" t="e">
        <f aca="false">AND(#REF!,"AAAAADx/55c=")</f>
        <v>#VALUE!</v>
      </c>
      <c r="EW99" s="22" t="e">
        <f aca="false">AND(#REF!,"AAAAADx/55g=")</f>
        <v>#VALUE!</v>
      </c>
      <c r="EX99" s="22" t="e">
        <f aca="false">AND(#REF!,"AAAAADx/55k=")</f>
        <v>#VALUE!</v>
      </c>
      <c r="EY99" s="22" t="e">
        <f aca="false">AND(#REF!,"AAAAADx/55o=")</f>
        <v>#VALUE!</v>
      </c>
      <c r="EZ99" s="22" t="e">
        <f aca="false">AND(#REF!,"AAAAADx/55s=")</f>
        <v>#VALUE!</v>
      </c>
      <c r="FA99" s="22" t="e">
        <f aca="false">AND(#REF!,"AAAAADx/55w=")</f>
        <v>#VALUE!</v>
      </c>
      <c r="FB99" s="22" t="e">
        <f aca="false">IF(#REF!,"AAAAADx/550=",0)</f>
        <v>#REF!</v>
      </c>
      <c r="FC99" s="22" t="e">
        <f aca="false">AND(#REF!,"AAAAADx/554=")</f>
        <v>#VALUE!</v>
      </c>
      <c r="FD99" s="22" t="e">
        <f aca="false">AND(#REF!,"AAAAADx/558=")</f>
        <v>#VALUE!</v>
      </c>
      <c r="FE99" s="22" t="e">
        <f aca="false">AND(#REF!,"AAAAADx/56A=")</f>
        <v>#VALUE!</v>
      </c>
      <c r="FF99" s="22" t="e">
        <f aca="false">AND(#REF!,"AAAAADx/56E=")</f>
        <v>#VALUE!</v>
      </c>
      <c r="FG99" s="22" t="e">
        <f aca="false">AND(#REF!,"AAAAADx/56I=")</f>
        <v>#VALUE!</v>
      </c>
      <c r="FH99" s="22" t="e">
        <f aca="false">AND(#REF!,"AAAAADx/56M=")</f>
        <v>#VALUE!</v>
      </c>
      <c r="FI99" s="22" t="e">
        <f aca="false">AND(#REF!,"AAAAADx/56Q=")</f>
        <v>#VALUE!</v>
      </c>
      <c r="FJ99" s="22" t="e">
        <f aca="false">AND(#REF!,"AAAAADx/56U=")</f>
        <v>#VALUE!</v>
      </c>
      <c r="FK99" s="22" t="e">
        <f aca="false">IF(#REF!,"AAAAADx/56Y=",0)</f>
        <v>#REF!</v>
      </c>
      <c r="FL99" s="22" t="e">
        <f aca="false">AND(#REF!,"AAAAADx/56c=")</f>
        <v>#VALUE!</v>
      </c>
      <c r="FM99" s="22" t="e">
        <f aca="false">AND(#REF!,"AAAAADx/56g=")</f>
        <v>#VALUE!</v>
      </c>
      <c r="FN99" s="22" t="e">
        <f aca="false">AND(#REF!,"AAAAADx/56k=")</f>
        <v>#VALUE!</v>
      </c>
      <c r="FO99" s="22" t="e">
        <f aca="false">AND(#REF!,"AAAAADx/56o=")</f>
        <v>#VALUE!</v>
      </c>
      <c r="FP99" s="22" t="e">
        <f aca="false">AND(#REF!,"AAAAADx/56s=")</f>
        <v>#VALUE!</v>
      </c>
      <c r="FQ99" s="22" t="e">
        <f aca="false">AND(#REF!,"AAAAADx/56w=")</f>
        <v>#VALUE!</v>
      </c>
      <c r="FR99" s="22" t="e">
        <f aca="false">AND(#REF!,"AAAAADx/560=")</f>
        <v>#VALUE!</v>
      </c>
      <c r="FS99" s="22" t="e">
        <f aca="false">AND(#REF!,"AAAAADx/564=")</f>
        <v>#VALUE!</v>
      </c>
      <c r="FT99" s="22" t="e">
        <f aca="false">IF(#REF!,"AAAAADx/568=",0)</f>
        <v>#REF!</v>
      </c>
      <c r="FU99" s="22" t="e">
        <f aca="false">AND(#REF!,"AAAAADx/57A=")</f>
        <v>#VALUE!</v>
      </c>
      <c r="FV99" s="22" t="e">
        <f aca="false">AND(#REF!,"AAAAADx/57E=")</f>
        <v>#VALUE!</v>
      </c>
      <c r="FW99" s="22" t="e">
        <f aca="false">AND(#REF!,"AAAAADx/57I=")</f>
        <v>#VALUE!</v>
      </c>
      <c r="FX99" s="22" t="e">
        <f aca="false">AND(#REF!,"AAAAADx/57M=")</f>
        <v>#VALUE!</v>
      </c>
      <c r="FY99" s="22" t="e">
        <f aca="false">AND(#REF!,"AAAAADx/57Q=")</f>
        <v>#VALUE!</v>
      </c>
      <c r="FZ99" s="22" t="e">
        <f aca="false">AND(#REF!,"AAAAADx/57U=")</f>
        <v>#VALUE!</v>
      </c>
      <c r="GA99" s="22" t="e">
        <f aca="false">AND(#REF!,"AAAAADx/57Y=")</f>
        <v>#VALUE!</v>
      </c>
      <c r="GB99" s="22" t="e">
        <f aca="false">AND(#REF!,"AAAAADx/57c=")</f>
        <v>#VALUE!</v>
      </c>
      <c r="GC99" s="22" t="e">
        <f aca="false">IF(#REF!,"AAAAADx/57g=",0)</f>
        <v>#REF!</v>
      </c>
      <c r="GD99" s="22" t="e">
        <f aca="false">AND(#REF!,"AAAAADx/57k=")</f>
        <v>#VALUE!</v>
      </c>
      <c r="GE99" s="22" t="e">
        <f aca="false">AND(#REF!,"AAAAADx/57o=")</f>
        <v>#VALUE!</v>
      </c>
      <c r="GF99" s="22" t="e">
        <f aca="false">AND(#REF!,"AAAAADx/57s=")</f>
        <v>#VALUE!</v>
      </c>
      <c r="GG99" s="22" t="e">
        <f aca="false">AND(#REF!,"AAAAADx/57w=")</f>
        <v>#VALUE!</v>
      </c>
      <c r="GH99" s="22" t="e">
        <f aca="false">AND(#REF!,"AAAAADx/570=")</f>
        <v>#VALUE!</v>
      </c>
      <c r="GI99" s="22" t="e">
        <f aca="false">AND(#REF!,"AAAAADx/574=")</f>
        <v>#VALUE!</v>
      </c>
      <c r="GJ99" s="22" t="e">
        <f aca="false">AND(#REF!,"AAAAADx/578=")</f>
        <v>#VALUE!</v>
      </c>
      <c r="GK99" s="22" t="e">
        <f aca="false">AND(#REF!,"AAAAADx/58A=")</f>
        <v>#VALUE!</v>
      </c>
      <c r="GL99" s="22" t="e">
        <f aca="false">IF(#REF!,"AAAAADx/58E=",0)</f>
        <v>#REF!</v>
      </c>
      <c r="GM99" s="22" t="e">
        <f aca="false">AND(#REF!,"AAAAADx/58I=")</f>
        <v>#VALUE!</v>
      </c>
      <c r="GN99" s="22" t="e">
        <f aca="false">AND(#REF!,"AAAAADx/58M=")</f>
        <v>#VALUE!</v>
      </c>
      <c r="GO99" s="22" t="e">
        <f aca="false">AND(#REF!,"AAAAADx/58Q=")</f>
        <v>#VALUE!</v>
      </c>
      <c r="GP99" s="22" t="e">
        <f aca="false">AND(#REF!,"AAAAADx/58U=")</f>
        <v>#VALUE!</v>
      </c>
      <c r="GQ99" s="22" t="e">
        <f aca="false">AND(#REF!,"AAAAADx/58Y=")</f>
        <v>#VALUE!</v>
      </c>
      <c r="GR99" s="22" t="e">
        <f aca="false">AND(#REF!,"AAAAADx/58c=")</f>
        <v>#VALUE!</v>
      </c>
      <c r="GS99" s="22" t="e">
        <f aca="false">AND(#REF!,"AAAAADx/58g=")</f>
        <v>#VALUE!</v>
      </c>
      <c r="GT99" s="22" t="e">
        <f aca="false">AND(#REF!,"AAAAADx/58k=")</f>
        <v>#VALUE!</v>
      </c>
      <c r="GU99" s="22" t="e">
        <f aca="false">IF(#REF!,"AAAAADx/58o=",0)</f>
        <v>#REF!</v>
      </c>
      <c r="GV99" s="22" t="e">
        <f aca="false">AND(#REF!,"AAAAADx/58s=")</f>
        <v>#VALUE!</v>
      </c>
      <c r="GW99" s="22" t="e">
        <f aca="false">AND(#REF!,"AAAAADx/58w=")</f>
        <v>#VALUE!</v>
      </c>
      <c r="GX99" s="22" t="e">
        <f aca="false">AND(#REF!,"AAAAADx/580=")</f>
        <v>#VALUE!</v>
      </c>
      <c r="GY99" s="22" t="e">
        <f aca="false">AND(#REF!,"AAAAADx/584=")</f>
        <v>#VALUE!</v>
      </c>
      <c r="GZ99" s="22" t="e">
        <f aca="false">AND(#REF!,"AAAAADx/588=")</f>
        <v>#VALUE!</v>
      </c>
      <c r="HA99" s="22" t="e">
        <f aca="false">AND(#REF!,"AAAAADx/59A=")</f>
        <v>#VALUE!</v>
      </c>
      <c r="HB99" s="22" t="e">
        <f aca="false">AND(#REF!,"AAAAADx/59E=")</f>
        <v>#VALUE!</v>
      </c>
      <c r="HC99" s="22" t="e">
        <f aca="false">AND(#REF!,"AAAAADx/59I=")</f>
        <v>#VALUE!</v>
      </c>
      <c r="HD99" s="22" t="e">
        <f aca="false">IF(#REF!,"AAAAADx/59M=",0)</f>
        <v>#REF!</v>
      </c>
      <c r="HE99" s="22" t="e">
        <f aca="false">AND(#REF!,"AAAAADx/59Q=")</f>
        <v>#VALUE!</v>
      </c>
      <c r="HF99" s="22" t="e">
        <f aca="false">AND(#REF!,"AAAAADx/59U=")</f>
        <v>#VALUE!</v>
      </c>
      <c r="HG99" s="22" t="e">
        <f aca="false">AND(#REF!,"AAAAADx/59Y=")</f>
        <v>#VALUE!</v>
      </c>
      <c r="HH99" s="22" t="e">
        <f aca="false">AND(#REF!,"AAAAADx/59c=")</f>
        <v>#VALUE!</v>
      </c>
      <c r="HI99" s="22" t="e">
        <f aca="false">AND(#REF!,"AAAAADx/59g=")</f>
        <v>#VALUE!</v>
      </c>
      <c r="HJ99" s="22" t="e">
        <f aca="false">AND(#REF!,"AAAAADx/59k=")</f>
        <v>#VALUE!</v>
      </c>
      <c r="HK99" s="22" t="e">
        <f aca="false">AND(#REF!,"AAAAADx/59o=")</f>
        <v>#VALUE!</v>
      </c>
      <c r="HL99" s="22" t="e">
        <f aca="false">AND(#REF!,"AAAAADx/59s=")</f>
        <v>#VALUE!</v>
      </c>
      <c r="HM99" s="22" t="e">
        <f aca="false">IF(#REF!,"AAAAADx/59w=",0)</f>
        <v>#REF!</v>
      </c>
      <c r="HN99" s="22" t="e">
        <f aca="false">AND(#REF!,"AAAAADx/590=")</f>
        <v>#VALUE!</v>
      </c>
      <c r="HO99" s="22" t="e">
        <f aca="false">AND(#REF!,"AAAAADx/594=")</f>
        <v>#VALUE!</v>
      </c>
      <c r="HP99" s="22" t="e">
        <f aca="false">AND(#REF!,"AAAAADx/598=")</f>
        <v>#VALUE!</v>
      </c>
      <c r="HQ99" s="22" t="e">
        <f aca="false">AND(#REF!,"AAAAADx/5+A=")</f>
        <v>#VALUE!</v>
      </c>
      <c r="HR99" s="22" t="e">
        <f aca="false">AND(#REF!,"AAAAADx/5+E=")</f>
        <v>#VALUE!</v>
      </c>
      <c r="HS99" s="22" t="e">
        <f aca="false">AND(#REF!,"AAAAADx/5+I=")</f>
        <v>#VALUE!</v>
      </c>
      <c r="HT99" s="22" t="e">
        <f aca="false">AND(#REF!,"AAAAADx/5+M=")</f>
        <v>#VALUE!</v>
      </c>
      <c r="HU99" s="22" t="e">
        <f aca="false">AND(#REF!,"AAAAADx/5+Q=")</f>
        <v>#VALUE!</v>
      </c>
      <c r="HV99" s="22" t="e">
        <f aca="false">IF(#REF!,"AAAAADx/5+U=",0)</f>
        <v>#REF!</v>
      </c>
      <c r="HW99" s="22" t="e">
        <f aca="false">AND(#REF!,"AAAAADx/5+Y=")</f>
        <v>#VALUE!</v>
      </c>
      <c r="HX99" s="22" t="e">
        <f aca="false">AND(#REF!,"AAAAADx/5+c=")</f>
        <v>#VALUE!</v>
      </c>
      <c r="HY99" s="22" t="e">
        <f aca="false">AND(#REF!,"AAAAADx/5+g=")</f>
        <v>#VALUE!</v>
      </c>
      <c r="HZ99" s="22" t="e">
        <f aca="false">AND(#REF!,"AAAAADx/5+k=")</f>
        <v>#VALUE!</v>
      </c>
      <c r="IA99" s="22" t="e">
        <f aca="false">AND(#REF!,"AAAAADx/5+o=")</f>
        <v>#VALUE!</v>
      </c>
      <c r="IB99" s="22" t="e">
        <f aca="false">AND(#REF!,"AAAAADx/5+s=")</f>
        <v>#VALUE!</v>
      </c>
      <c r="IC99" s="22" t="e">
        <f aca="false">AND(#REF!,"AAAAADx/5+w=")</f>
        <v>#VALUE!</v>
      </c>
      <c r="ID99" s="22" t="e">
        <f aca="false">AND(#REF!,"AAAAADx/5+0=")</f>
        <v>#VALUE!</v>
      </c>
      <c r="IE99" s="22" t="e">
        <f aca="false">IF(#REF!,"AAAAADx/5+4=",0)</f>
        <v>#REF!</v>
      </c>
      <c r="IF99" s="22" t="e">
        <f aca="false">AND(#REF!,"AAAAADx/5+8=")</f>
        <v>#VALUE!</v>
      </c>
      <c r="IG99" s="22" t="e">
        <f aca="false">AND(#REF!,"AAAAADx/5/A=")</f>
        <v>#VALUE!</v>
      </c>
      <c r="IH99" s="22" t="e">
        <f aca="false">AND(#REF!,"AAAAADx/5/E=")</f>
        <v>#VALUE!</v>
      </c>
      <c r="II99" s="22" t="e">
        <f aca="false">AND(#REF!,"AAAAADx/5/I=")</f>
        <v>#VALUE!</v>
      </c>
      <c r="IJ99" s="22" t="e">
        <f aca="false">AND(#REF!,"AAAAADx/5/M=")</f>
        <v>#VALUE!</v>
      </c>
      <c r="IK99" s="22" t="e">
        <f aca="false">AND(#REF!,"AAAAADx/5/Q=")</f>
        <v>#VALUE!</v>
      </c>
      <c r="IL99" s="22" t="e">
        <f aca="false">AND(#REF!,"AAAAADx/5/U=")</f>
        <v>#VALUE!</v>
      </c>
      <c r="IM99" s="22" t="e">
        <f aca="false">AND(#REF!,"AAAAADx/5/Y=")</f>
        <v>#VALUE!</v>
      </c>
      <c r="IN99" s="22" t="e">
        <f aca="false">IF(#REF!,"AAAAADx/5/c=",0)</f>
        <v>#REF!</v>
      </c>
      <c r="IO99" s="22" t="e">
        <f aca="false">AND(#REF!,"AAAAADx/5/g=")</f>
        <v>#VALUE!</v>
      </c>
      <c r="IP99" s="22" t="e">
        <f aca="false">AND(#REF!,"AAAAADx/5/k=")</f>
        <v>#VALUE!</v>
      </c>
      <c r="IQ99" s="22" t="e">
        <f aca="false">AND(#REF!,"AAAAADx/5/o=")</f>
        <v>#VALUE!</v>
      </c>
      <c r="IR99" s="22" t="e">
        <f aca="false">AND(#REF!,"AAAAADx/5/s=")</f>
        <v>#VALUE!</v>
      </c>
      <c r="IS99" s="22" t="e">
        <f aca="false">AND(#REF!,"AAAAADx/5/w=")</f>
        <v>#VALUE!</v>
      </c>
      <c r="IT99" s="22" t="e">
        <f aca="false">AND(#REF!,"AAAAADx/5/0=")</f>
        <v>#VALUE!</v>
      </c>
      <c r="IU99" s="22" t="e">
        <f aca="false">AND(#REF!,"AAAAADx/5/4=")</f>
        <v>#VALUE!</v>
      </c>
      <c r="IV99" s="22" t="e">
        <f aca="false">AND(#REF!,"AAAAADx/5/8=")</f>
        <v>#VALUE!</v>
      </c>
    </row>
    <row r="100" customFormat="false" ht="12.75" hidden="false" customHeight="false" outlineLevel="0" collapsed="false">
      <c r="A100" s="22" t="e">
        <f aca="false">IF(#REF!,"AAAAAG64HwA=",0)</f>
        <v>#REF!</v>
      </c>
      <c r="B100" s="22" t="e">
        <f aca="false">AND(#REF!,"AAAAAG64HwE=")</f>
        <v>#VALUE!</v>
      </c>
      <c r="C100" s="22" t="e">
        <f aca="false">AND(#REF!,"AAAAAG64HwI=")</f>
        <v>#VALUE!</v>
      </c>
      <c r="D100" s="22" t="e">
        <f aca="false">AND(#REF!,"AAAAAG64HwM=")</f>
        <v>#VALUE!</v>
      </c>
      <c r="E100" s="22" t="e">
        <f aca="false">AND(#REF!,"AAAAAG64HwQ=")</f>
        <v>#VALUE!</v>
      </c>
      <c r="F100" s="22" t="e">
        <f aca="false">AND(#REF!,"AAAAAG64HwU=")</f>
        <v>#VALUE!</v>
      </c>
      <c r="G100" s="22" t="e">
        <f aca="false">AND(#REF!,"AAAAAG64HwY=")</f>
        <v>#VALUE!</v>
      </c>
      <c r="H100" s="22" t="e">
        <f aca="false">AND(#REF!,"AAAAAG64Hwc=")</f>
        <v>#VALUE!</v>
      </c>
      <c r="I100" s="22" t="e">
        <f aca="false">AND(#REF!,"AAAAAG64Hwg=")</f>
        <v>#VALUE!</v>
      </c>
      <c r="J100" s="22" t="e">
        <f aca="false">IF(#REF!,"AAAAAG64Hwk=",0)</f>
        <v>#REF!</v>
      </c>
      <c r="K100" s="22" t="e">
        <f aca="false">AND(#REF!,"AAAAAG64Hwo=")</f>
        <v>#VALUE!</v>
      </c>
      <c r="L100" s="22" t="e">
        <f aca="false">AND(#REF!,"AAAAAG64Hws=")</f>
        <v>#VALUE!</v>
      </c>
      <c r="M100" s="22" t="e">
        <f aca="false">AND(#REF!,"AAAAAG64Hww=")</f>
        <v>#VALUE!</v>
      </c>
      <c r="N100" s="22" t="e">
        <f aca="false">AND(#REF!,"AAAAAG64Hw0=")</f>
        <v>#VALUE!</v>
      </c>
      <c r="O100" s="22" t="e">
        <f aca="false">AND(#REF!,"AAAAAG64Hw4=")</f>
        <v>#VALUE!</v>
      </c>
      <c r="P100" s="22" t="e">
        <f aca="false">AND(#REF!,"AAAAAG64Hw8=")</f>
        <v>#VALUE!</v>
      </c>
      <c r="Q100" s="22" t="e">
        <f aca="false">AND(#REF!,"AAAAAG64HxA=")</f>
        <v>#VALUE!</v>
      </c>
      <c r="R100" s="22" t="e">
        <f aca="false">AND(#REF!,"AAAAAG64HxE=")</f>
        <v>#VALUE!</v>
      </c>
      <c r="S100" s="22" t="e">
        <f aca="false">IF(#REF!,"AAAAAG64HxI=",0)</f>
        <v>#REF!</v>
      </c>
      <c r="T100" s="22" t="e">
        <f aca="false">AND(#REF!,"AAAAAG64HxM=")</f>
        <v>#VALUE!</v>
      </c>
      <c r="U100" s="22" t="e">
        <f aca="false">AND(#REF!,"AAAAAG64HxQ=")</f>
        <v>#VALUE!</v>
      </c>
      <c r="V100" s="22" t="e">
        <f aca="false">AND(#REF!,"AAAAAG64HxU=")</f>
        <v>#VALUE!</v>
      </c>
      <c r="W100" s="22" t="e">
        <f aca="false">AND(#REF!,"AAAAAG64HxY=")</f>
        <v>#VALUE!</v>
      </c>
      <c r="X100" s="22" t="e">
        <f aca="false">AND(#REF!,"AAAAAG64Hxc=")</f>
        <v>#VALUE!</v>
      </c>
      <c r="Y100" s="22" t="e">
        <f aca="false">AND(#REF!,"AAAAAG64Hxg=")</f>
        <v>#VALUE!</v>
      </c>
      <c r="Z100" s="22" t="e">
        <f aca="false">AND(#REF!,"AAAAAG64Hxk=")</f>
        <v>#VALUE!</v>
      </c>
      <c r="AA100" s="22" t="e">
        <f aca="false">AND(#REF!,"AAAAAG64Hxo=")</f>
        <v>#VALUE!</v>
      </c>
      <c r="AB100" s="22" t="e">
        <f aca="false">IF(#REF!,"AAAAAG64Hxs=",0)</f>
        <v>#REF!</v>
      </c>
      <c r="AC100" s="22" t="e">
        <f aca="false">AND(#REF!,"AAAAAG64Hxw=")</f>
        <v>#VALUE!</v>
      </c>
      <c r="AD100" s="22" t="e">
        <f aca="false">AND(#REF!,"AAAAAG64Hx0=")</f>
        <v>#VALUE!</v>
      </c>
      <c r="AE100" s="22" t="e">
        <f aca="false">AND(#REF!,"AAAAAG64Hx4=")</f>
        <v>#VALUE!</v>
      </c>
      <c r="AF100" s="22" t="e">
        <f aca="false">AND(#REF!,"AAAAAG64Hx8=")</f>
        <v>#VALUE!</v>
      </c>
      <c r="AG100" s="22" t="e">
        <f aca="false">AND(#REF!,"AAAAAG64HyA=")</f>
        <v>#VALUE!</v>
      </c>
      <c r="AH100" s="22" t="e">
        <f aca="false">AND(#REF!,"AAAAAG64HyE=")</f>
        <v>#VALUE!</v>
      </c>
      <c r="AI100" s="22" t="e">
        <f aca="false">AND(#REF!,"AAAAAG64HyI=")</f>
        <v>#VALUE!</v>
      </c>
      <c r="AJ100" s="22" t="e">
        <f aca="false">AND(#REF!,"AAAAAG64HyM=")</f>
        <v>#VALUE!</v>
      </c>
      <c r="AK100" s="22" t="e">
        <f aca="false">IF(#REF!,"AAAAAG64HyQ=",0)</f>
        <v>#REF!</v>
      </c>
      <c r="AL100" s="22" t="e">
        <f aca="false">AND(#REF!,"AAAAAG64HyU=")</f>
        <v>#VALUE!</v>
      </c>
      <c r="AM100" s="22" t="e">
        <f aca="false">AND(#REF!,"AAAAAG64HyY=")</f>
        <v>#VALUE!</v>
      </c>
      <c r="AN100" s="22" t="e">
        <f aca="false">AND(#REF!,"AAAAAG64Hyc=")</f>
        <v>#VALUE!</v>
      </c>
      <c r="AO100" s="22" t="e">
        <f aca="false">AND(#REF!,"AAAAAG64Hyg=")</f>
        <v>#VALUE!</v>
      </c>
      <c r="AP100" s="22" t="e">
        <f aca="false">AND(#REF!,"AAAAAG64Hyk=")</f>
        <v>#VALUE!</v>
      </c>
      <c r="AQ100" s="22" t="e">
        <f aca="false">AND(#REF!,"AAAAAG64Hyo=")</f>
        <v>#VALUE!</v>
      </c>
      <c r="AR100" s="22" t="e">
        <f aca="false">AND(#REF!,"AAAAAG64Hys=")</f>
        <v>#VALUE!</v>
      </c>
      <c r="AS100" s="22" t="e">
        <f aca="false">AND(#REF!,"AAAAAG64Hyw=")</f>
        <v>#VALUE!</v>
      </c>
      <c r="AT100" s="22" t="e">
        <f aca="false">IF(#REF!,"AAAAAG64Hy0=",0)</f>
        <v>#REF!</v>
      </c>
      <c r="AU100" s="22" t="e">
        <f aca="false">AND(#REF!,"AAAAAG64Hy4=")</f>
        <v>#VALUE!</v>
      </c>
      <c r="AV100" s="22" t="e">
        <f aca="false">AND(#REF!,"AAAAAG64Hy8=")</f>
        <v>#VALUE!</v>
      </c>
      <c r="AW100" s="22" t="e">
        <f aca="false">AND(#REF!,"AAAAAG64HzA=")</f>
        <v>#VALUE!</v>
      </c>
      <c r="AX100" s="22" t="e">
        <f aca="false">AND(#REF!,"AAAAAG64HzE=")</f>
        <v>#VALUE!</v>
      </c>
      <c r="AY100" s="22" t="e">
        <f aca="false">AND(#REF!,"AAAAAG64HzI=")</f>
        <v>#VALUE!</v>
      </c>
      <c r="AZ100" s="22" t="e">
        <f aca="false">AND(#REF!,"AAAAAG64HzM=")</f>
        <v>#VALUE!</v>
      </c>
      <c r="BA100" s="22" t="e">
        <f aca="false">AND(#REF!,"AAAAAG64HzQ=")</f>
        <v>#VALUE!</v>
      </c>
      <c r="BB100" s="22" t="e">
        <f aca="false">AND(#REF!,"AAAAAG64HzU=")</f>
        <v>#VALUE!</v>
      </c>
      <c r="BC100" s="22" t="e">
        <f aca="false">IF(#REF!,"AAAAAG64HzY=",0)</f>
        <v>#REF!</v>
      </c>
      <c r="BD100" s="22" t="e">
        <f aca="false">AND(#REF!,"AAAAAG64Hzc=")</f>
        <v>#VALUE!</v>
      </c>
      <c r="BE100" s="22" t="e">
        <f aca="false">AND(#REF!,"AAAAAG64Hzg=")</f>
        <v>#VALUE!</v>
      </c>
      <c r="BF100" s="22" t="e">
        <f aca="false">AND(#REF!,"AAAAAG64Hzk=")</f>
        <v>#VALUE!</v>
      </c>
      <c r="BG100" s="22" t="e">
        <f aca="false">AND(#REF!,"AAAAAG64Hzo=")</f>
        <v>#VALUE!</v>
      </c>
      <c r="BH100" s="22" t="e">
        <f aca="false">AND(#REF!,"AAAAAG64Hzs=")</f>
        <v>#VALUE!</v>
      </c>
      <c r="BI100" s="22" t="e">
        <f aca="false">AND(#REF!,"AAAAAG64Hzw=")</f>
        <v>#VALUE!</v>
      </c>
      <c r="BJ100" s="22" t="e">
        <f aca="false">AND(#REF!,"AAAAAG64Hz0=")</f>
        <v>#VALUE!</v>
      </c>
      <c r="BK100" s="22" t="e">
        <f aca="false">AND(#REF!,"AAAAAG64Hz4=")</f>
        <v>#VALUE!</v>
      </c>
      <c r="BL100" s="22" t="e">
        <f aca="false">IF(#REF!,"AAAAAG64Hz8=",0)</f>
        <v>#REF!</v>
      </c>
      <c r="BM100" s="22" t="e">
        <f aca="false">AND(#REF!,"AAAAAG64H0A=")</f>
        <v>#VALUE!</v>
      </c>
      <c r="BN100" s="22" t="e">
        <f aca="false">AND(#REF!,"AAAAAG64H0E=")</f>
        <v>#VALUE!</v>
      </c>
      <c r="BO100" s="22" t="e">
        <f aca="false">AND(#REF!,"AAAAAG64H0I=")</f>
        <v>#VALUE!</v>
      </c>
      <c r="BP100" s="22" t="e">
        <f aca="false">AND(#REF!,"AAAAAG64H0M=")</f>
        <v>#VALUE!</v>
      </c>
      <c r="BQ100" s="22" t="e">
        <f aca="false">AND(#REF!,"AAAAAG64H0Q=")</f>
        <v>#VALUE!</v>
      </c>
      <c r="BR100" s="22" t="e">
        <f aca="false">AND(#REF!,"AAAAAG64H0U=")</f>
        <v>#VALUE!</v>
      </c>
      <c r="BS100" s="22" t="e">
        <f aca="false">AND(#REF!,"AAAAAG64H0Y=")</f>
        <v>#VALUE!</v>
      </c>
      <c r="BT100" s="22" t="e">
        <f aca="false">AND(#REF!,"AAAAAG64H0c=")</f>
        <v>#VALUE!</v>
      </c>
      <c r="BU100" s="22" t="e">
        <f aca="false">IF(#REF!,"AAAAAG64H0g=",0)</f>
        <v>#REF!</v>
      </c>
      <c r="BV100" s="22" t="e">
        <f aca="false">AND(#REF!,"AAAAAG64H0k=")</f>
        <v>#VALUE!</v>
      </c>
      <c r="BW100" s="22" t="e">
        <f aca="false">AND(#REF!,"AAAAAG64H0o=")</f>
        <v>#VALUE!</v>
      </c>
      <c r="BX100" s="22" t="e">
        <f aca="false">AND(#REF!,"AAAAAG64H0s=")</f>
        <v>#VALUE!</v>
      </c>
      <c r="BY100" s="22" t="e">
        <f aca="false">AND(#REF!,"AAAAAG64H0w=")</f>
        <v>#VALUE!</v>
      </c>
      <c r="BZ100" s="22" t="e">
        <f aca="false">AND(#REF!,"AAAAAG64H00=")</f>
        <v>#VALUE!</v>
      </c>
      <c r="CA100" s="22" t="e">
        <f aca="false">AND(#REF!,"AAAAAG64H04=")</f>
        <v>#VALUE!</v>
      </c>
      <c r="CB100" s="22" t="e">
        <f aca="false">AND(#REF!,"AAAAAG64H08=")</f>
        <v>#VALUE!</v>
      </c>
      <c r="CC100" s="22" t="e">
        <f aca="false">AND(#REF!,"AAAAAG64H1A=")</f>
        <v>#VALUE!</v>
      </c>
      <c r="CD100" s="22" t="e">
        <f aca="false">IF(#REF!,"AAAAAG64H1E=",0)</f>
        <v>#REF!</v>
      </c>
      <c r="CE100" s="22" t="e">
        <f aca="false">AND(#REF!,"AAAAAG64H1I=")</f>
        <v>#VALUE!</v>
      </c>
      <c r="CF100" s="22" t="e">
        <f aca="false">AND(#REF!,"AAAAAG64H1M=")</f>
        <v>#VALUE!</v>
      </c>
      <c r="CG100" s="22" t="e">
        <f aca="false">AND(#REF!,"AAAAAG64H1Q=")</f>
        <v>#VALUE!</v>
      </c>
      <c r="CH100" s="22" t="e">
        <f aca="false">AND(#REF!,"AAAAAG64H1U=")</f>
        <v>#VALUE!</v>
      </c>
      <c r="CI100" s="22" t="e">
        <f aca="false">AND(#REF!,"AAAAAG64H1Y=")</f>
        <v>#VALUE!</v>
      </c>
      <c r="CJ100" s="22" t="e">
        <f aca="false">AND(#REF!,"AAAAAG64H1c=")</f>
        <v>#VALUE!</v>
      </c>
      <c r="CK100" s="22" t="e">
        <f aca="false">AND(#REF!,"AAAAAG64H1g=")</f>
        <v>#VALUE!</v>
      </c>
      <c r="CL100" s="22" t="e">
        <f aca="false">AND(#REF!,"AAAAAG64H1k=")</f>
        <v>#VALUE!</v>
      </c>
      <c r="CM100" s="22" t="e">
        <f aca="false">IF(#REF!,"AAAAAG64H1o=",0)</f>
        <v>#REF!</v>
      </c>
      <c r="CN100" s="22" t="e">
        <f aca="false">AND(#REF!,"AAAAAG64H1s=")</f>
        <v>#VALUE!</v>
      </c>
      <c r="CO100" s="22" t="e">
        <f aca="false">AND(#REF!,"AAAAAG64H1w=")</f>
        <v>#VALUE!</v>
      </c>
      <c r="CP100" s="22" t="e">
        <f aca="false">AND(#REF!,"AAAAAG64H10=")</f>
        <v>#VALUE!</v>
      </c>
      <c r="CQ100" s="22" t="e">
        <f aca="false">AND(#REF!,"AAAAAG64H14=")</f>
        <v>#VALUE!</v>
      </c>
      <c r="CR100" s="22" t="e">
        <f aca="false">AND(#REF!,"AAAAAG64H18=")</f>
        <v>#VALUE!</v>
      </c>
      <c r="CS100" s="22" t="e">
        <f aca="false">AND(#REF!,"AAAAAG64H2A=")</f>
        <v>#VALUE!</v>
      </c>
      <c r="CT100" s="22" t="e">
        <f aca="false">AND(#REF!,"AAAAAG64H2E=")</f>
        <v>#VALUE!</v>
      </c>
      <c r="CU100" s="22" t="e">
        <f aca="false">AND(#REF!,"AAAAAG64H2I=")</f>
        <v>#VALUE!</v>
      </c>
      <c r="CV100" s="22" t="e">
        <f aca="false">IF(#REF!,"AAAAAG64H2M=",0)</f>
        <v>#REF!</v>
      </c>
      <c r="CW100" s="22" t="e">
        <f aca="false">AND(#REF!,"AAAAAG64H2Q=")</f>
        <v>#VALUE!</v>
      </c>
      <c r="CX100" s="22" t="e">
        <f aca="false">AND(#REF!,"AAAAAG64H2U=")</f>
        <v>#VALUE!</v>
      </c>
      <c r="CY100" s="22" t="e">
        <f aca="false">AND(#REF!,"AAAAAG64H2Y=")</f>
        <v>#VALUE!</v>
      </c>
      <c r="CZ100" s="22" t="e">
        <f aca="false">AND(#REF!,"AAAAAG64H2c=")</f>
        <v>#VALUE!</v>
      </c>
      <c r="DA100" s="22" t="e">
        <f aca="false">AND(#REF!,"AAAAAG64H2g=")</f>
        <v>#VALUE!</v>
      </c>
      <c r="DB100" s="22" t="e">
        <f aca="false">AND(#REF!,"AAAAAG64H2k=")</f>
        <v>#VALUE!</v>
      </c>
      <c r="DC100" s="22" t="e">
        <f aca="false">AND(#REF!,"AAAAAG64H2o=")</f>
        <v>#VALUE!</v>
      </c>
      <c r="DD100" s="22" t="e">
        <f aca="false">AND(#REF!,"AAAAAG64H2s=")</f>
        <v>#VALUE!</v>
      </c>
      <c r="DE100" s="22" t="e">
        <f aca="false">IF(#REF!,"AAAAAG64H2w=",0)</f>
        <v>#REF!</v>
      </c>
      <c r="DF100" s="22" t="e">
        <f aca="false">AND(#REF!,"AAAAAG64H20=")</f>
        <v>#VALUE!</v>
      </c>
      <c r="DG100" s="22" t="e">
        <f aca="false">AND(#REF!,"AAAAAG64H24=")</f>
        <v>#VALUE!</v>
      </c>
      <c r="DH100" s="22" t="e">
        <f aca="false">AND(#REF!,"AAAAAG64H28=")</f>
        <v>#VALUE!</v>
      </c>
      <c r="DI100" s="22" t="e">
        <f aca="false">AND(#REF!,"AAAAAG64H3A=")</f>
        <v>#VALUE!</v>
      </c>
      <c r="DJ100" s="22" t="e">
        <f aca="false">AND(#REF!,"AAAAAG64H3E=")</f>
        <v>#VALUE!</v>
      </c>
      <c r="DK100" s="22" t="e">
        <f aca="false">AND(#REF!,"AAAAAG64H3I=")</f>
        <v>#VALUE!</v>
      </c>
      <c r="DL100" s="22" t="e">
        <f aca="false">AND(#REF!,"AAAAAG64H3M=")</f>
        <v>#VALUE!</v>
      </c>
      <c r="DM100" s="22" t="e">
        <f aca="false">AND(#REF!,"AAAAAG64H3Q=")</f>
        <v>#VALUE!</v>
      </c>
      <c r="DN100" s="22" t="e">
        <f aca="false">IF(#REF!,"AAAAAG64H3U=",0)</f>
        <v>#REF!</v>
      </c>
      <c r="DO100" s="22" t="e">
        <f aca="false">AND(#REF!,"AAAAAG64H3Y=")</f>
        <v>#VALUE!</v>
      </c>
      <c r="DP100" s="22" t="e">
        <f aca="false">AND(#REF!,"AAAAAG64H3c=")</f>
        <v>#VALUE!</v>
      </c>
      <c r="DQ100" s="22" t="e">
        <f aca="false">AND(#REF!,"AAAAAG64H3g=")</f>
        <v>#VALUE!</v>
      </c>
      <c r="DR100" s="22" t="e">
        <f aca="false">AND(#REF!,"AAAAAG64H3k=")</f>
        <v>#VALUE!</v>
      </c>
      <c r="DS100" s="22" t="e">
        <f aca="false">AND(#REF!,"AAAAAG64H3o=")</f>
        <v>#VALUE!</v>
      </c>
      <c r="DT100" s="22" t="e">
        <f aca="false">AND(#REF!,"AAAAAG64H3s=")</f>
        <v>#VALUE!</v>
      </c>
      <c r="DU100" s="22" t="e">
        <f aca="false">AND(#REF!,"AAAAAG64H3w=")</f>
        <v>#VALUE!</v>
      </c>
      <c r="DV100" s="22" t="e">
        <f aca="false">AND(#REF!,"AAAAAG64H30=")</f>
        <v>#VALUE!</v>
      </c>
      <c r="DW100" s="22" t="e">
        <f aca="false">IF(#REF!,"AAAAAG64H34=",0)</f>
        <v>#REF!</v>
      </c>
      <c r="DX100" s="22" t="e">
        <f aca="false">AND(#REF!,"AAAAAG64H38=")</f>
        <v>#VALUE!</v>
      </c>
      <c r="DY100" s="22" t="e">
        <f aca="false">AND(#REF!,"AAAAAG64H4A=")</f>
        <v>#VALUE!</v>
      </c>
      <c r="DZ100" s="22" t="e">
        <f aca="false">AND(#REF!,"AAAAAG64H4E=")</f>
        <v>#VALUE!</v>
      </c>
      <c r="EA100" s="22" t="e">
        <f aca="false">AND(#REF!,"AAAAAG64H4I=")</f>
        <v>#VALUE!</v>
      </c>
      <c r="EB100" s="22" t="e">
        <f aca="false">AND(#REF!,"AAAAAG64H4M=")</f>
        <v>#VALUE!</v>
      </c>
      <c r="EC100" s="22" t="e">
        <f aca="false">AND(#REF!,"AAAAAG64H4Q=")</f>
        <v>#VALUE!</v>
      </c>
      <c r="ED100" s="22" t="e">
        <f aca="false">AND(#REF!,"AAAAAG64H4U=")</f>
        <v>#VALUE!</v>
      </c>
      <c r="EE100" s="22" t="e">
        <f aca="false">AND(#REF!,"AAAAAG64H4Y=")</f>
        <v>#VALUE!</v>
      </c>
      <c r="EF100" s="22" t="e">
        <f aca="false">IF(#REF!,"AAAAAG64H4c=",0)</f>
        <v>#REF!</v>
      </c>
      <c r="EG100" s="22" t="e">
        <f aca="false">AND(#REF!,"AAAAAG64H4g=")</f>
        <v>#VALUE!</v>
      </c>
      <c r="EH100" s="22" t="e">
        <f aca="false">AND(#REF!,"AAAAAG64H4k=")</f>
        <v>#VALUE!</v>
      </c>
      <c r="EI100" s="22" t="e">
        <f aca="false">AND(#REF!,"AAAAAG64H4o=")</f>
        <v>#VALUE!</v>
      </c>
      <c r="EJ100" s="22" t="e">
        <f aca="false">AND(#REF!,"AAAAAG64H4s=")</f>
        <v>#VALUE!</v>
      </c>
      <c r="EK100" s="22" t="e">
        <f aca="false">AND(#REF!,"AAAAAG64H4w=")</f>
        <v>#VALUE!</v>
      </c>
      <c r="EL100" s="22" t="e">
        <f aca="false">AND(#REF!,"AAAAAG64H40=")</f>
        <v>#VALUE!</v>
      </c>
      <c r="EM100" s="22" t="e">
        <f aca="false">AND(#REF!,"AAAAAG64H44=")</f>
        <v>#VALUE!</v>
      </c>
      <c r="EN100" s="22" t="e">
        <f aca="false">AND(#REF!,"AAAAAG64H48=")</f>
        <v>#VALUE!</v>
      </c>
      <c r="EO100" s="22" t="e">
        <f aca="false">IF(#REF!,"AAAAAG64H5A=",0)</f>
        <v>#REF!</v>
      </c>
      <c r="EP100" s="22" t="e">
        <f aca="false">AND(#REF!,"AAAAAG64H5E=")</f>
        <v>#VALUE!</v>
      </c>
      <c r="EQ100" s="22" t="e">
        <f aca="false">AND(#REF!,"AAAAAG64H5I=")</f>
        <v>#VALUE!</v>
      </c>
      <c r="ER100" s="22" t="e">
        <f aca="false">AND(#REF!,"AAAAAG64H5M=")</f>
        <v>#VALUE!</v>
      </c>
      <c r="ES100" s="22" t="e">
        <f aca="false">AND(#REF!,"AAAAAG64H5Q=")</f>
        <v>#VALUE!</v>
      </c>
      <c r="ET100" s="22" t="e">
        <f aca="false">AND(#REF!,"AAAAAG64H5U=")</f>
        <v>#VALUE!</v>
      </c>
      <c r="EU100" s="22" t="e">
        <f aca="false">AND(#REF!,"AAAAAG64H5Y=")</f>
        <v>#VALUE!</v>
      </c>
      <c r="EV100" s="22" t="e">
        <f aca="false">AND(#REF!,"AAAAAG64H5c=")</f>
        <v>#VALUE!</v>
      </c>
      <c r="EW100" s="22" t="e">
        <f aca="false">AND(#REF!,"AAAAAG64H5g=")</f>
        <v>#VALUE!</v>
      </c>
      <c r="EX100" s="22" t="e">
        <f aca="false">IF(#REF!,"AAAAAG64H5k=",0)</f>
        <v>#REF!</v>
      </c>
      <c r="EY100" s="22" t="e">
        <f aca="false">AND(#REF!,"AAAAAG64H5o=")</f>
        <v>#VALUE!</v>
      </c>
      <c r="EZ100" s="22" t="e">
        <f aca="false">AND(#REF!,"AAAAAG64H5s=")</f>
        <v>#VALUE!</v>
      </c>
      <c r="FA100" s="22" t="e">
        <f aca="false">AND(#REF!,"AAAAAG64H5w=")</f>
        <v>#VALUE!</v>
      </c>
      <c r="FB100" s="22" t="e">
        <f aca="false">AND(#REF!,"AAAAAG64H50=")</f>
        <v>#VALUE!</v>
      </c>
      <c r="FC100" s="22" t="e">
        <f aca="false">AND(#REF!,"AAAAAG64H54=")</f>
        <v>#VALUE!</v>
      </c>
      <c r="FD100" s="22" t="e">
        <f aca="false">AND(#REF!,"AAAAAG64H58=")</f>
        <v>#VALUE!</v>
      </c>
      <c r="FE100" s="22" t="e">
        <f aca="false">AND(#REF!,"AAAAAG64H6A=")</f>
        <v>#VALUE!</v>
      </c>
      <c r="FF100" s="22" t="e">
        <f aca="false">AND(#REF!,"AAAAAG64H6E=")</f>
        <v>#VALUE!</v>
      </c>
      <c r="FG100" s="22" t="e">
        <f aca="false">IF(#REF!,"AAAAAG64H6I=",0)</f>
        <v>#REF!</v>
      </c>
      <c r="FH100" s="22" t="e">
        <f aca="false">AND(#REF!,"AAAAAG64H6M=")</f>
        <v>#VALUE!</v>
      </c>
      <c r="FI100" s="22" t="e">
        <f aca="false">AND(#REF!,"AAAAAG64H6Q=")</f>
        <v>#VALUE!</v>
      </c>
      <c r="FJ100" s="22" t="e">
        <f aca="false">AND(#REF!,"AAAAAG64H6U=")</f>
        <v>#VALUE!</v>
      </c>
      <c r="FK100" s="22" t="e">
        <f aca="false">AND(#REF!,"AAAAAG64H6Y=")</f>
        <v>#VALUE!</v>
      </c>
      <c r="FL100" s="22" t="e">
        <f aca="false">AND(#REF!,"AAAAAG64H6c=")</f>
        <v>#VALUE!</v>
      </c>
      <c r="FM100" s="22" t="e">
        <f aca="false">AND(#REF!,"AAAAAG64H6g=")</f>
        <v>#VALUE!</v>
      </c>
      <c r="FN100" s="22" t="e">
        <f aca="false">AND(#REF!,"AAAAAG64H6k=")</f>
        <v>#VALUE!</v>
      </c>
      <c r="FO100" s="22" t="e">
        <f aca="false">AND(#REF!,"AAAAAG64H6o=")</f>
        <v>#VALUE!</v>
      </c>
      <c r="FP100" s="22" t="e">
        <f aca="false">IF(#REF!,"AAAAAG64H6s=",0)</f>
        <v>#REF!</v>
      </c>
      <c r="FQ100" s="22" t="e">
        <f aca="false">AND(#REF!,"AAAAAG64H6w=")</f>
        <v>#VALUE!</v>
      </c>
      <c r="FR100" s="22" t="e">
        <f aca="false">AND(#REF!,"AAAAAG64H60=")</f>
        <v>#VALUE!</v>
      </c>
      <c r="FS100" s="22" t="e">
        <f aca="false">AND(#REF!,"AAAAAG64H64=")</f>
        <v>#VALUE!</v>
      </c>
      <c r="FT100" s="22" t="e">
        <f aca="false">AND(#REF!,"AAAAAG64H68=")</f>
        <v>#VALUE!</v>
      </c>
      <c r="FU100" s="22" t="e">
        <f aca="false">AND(#REF!,"AAAAAG64H7A=")</f>
        <v>#VALUE!</v>
      </c>
      <c r="FV100" s="22" t="e">
        <f aca="false">AND(#REF!,"AAAAAG64H7E=")</f>
        <v>#VALUE!</v>
      </c>
      <c r="FW100" s="22" t="e">
        <f aca="false">AND(#REF!,"AAAAAG64H7I=")</f>
        <v>#VALUE!</v>
      </c>
      <c r="FX100" s="22" t="e">
        <f aca="false">AND(#REF!,"AAAAAG64H7M=")</f>
        <v>#VALUE!</v>
      </c>
      <c r="FY100" s="22" t="e">
        <f aca="false">IF(#REF!,"AAAAAG64H7Q=",0)</f>
        <v>#REF!</v>
      </c>
      <c r="FZ100" s="22" t="e">
        <f aca="false">AND(#REF!,"AAAAAG64H7U=")</f>
        <v>#VALUE!</v>
      </c>
      <c r="GA100" s="22" t="e">
        <f aca="false">AND(#REF!,"AAAAAG64H7Y=")</f>
        <v>#VALUE!</v>
      </c>
      <c r="GB100" s="22" t="e">
        <f aca="false">AND(#REF!,"AAAAAG64H7c=")</f>
        <v>#VALUE!</v>
      </c>
      <c r="GC100" s="22" t="e">
        <f aca="false">AND(#REF!,"AAAAAG64H7g=")</f>
        <v>#VALUE!</v>
      </c>
      <c r="GD100" s="22" t="e">
        <f aca="false">AND(#REF!,"AAAAAG64H7k=")</f>
        <v>#VALUE!</v>
      </c>
      <c r="GE100" s="22" t="e">
        <f aca="false">AND(#REF!,"AAAAAG64H7o=")</f>
        <v>#VALUE!</v>
      </c>
      <c r="GF100" s="22" t="e">
        <f aca="false">AND(#REF!,"AAAAAG64H7s=")</f>
        <v>#VALUE!</v>
      </c>
      <c r="GG100" s="22" t="e">
        <f aca="false">AND(#REF!,"AAAAAG64H7w=")</f>
        <v>#VALUE!</v>
      </c>
      <c r="GH100" s="22" t="e">
        <f aca="false">IF(#REF!,"AAAAAG64H70=",0)</f>
        <v>#REF!</v>
      </c>
      <c r="GI100" s="22" t="e">
        <f aca="false">AND(#REF!,"AAAAAG64H74=")</f>
        <v>#VALUE!</v>
      </c>
      <c r="GJ100" s="22" t="e">
        <f aca="false">AND(#REF!,"AAAAAG64H78=")</f>
        <v>#VALUE!</v>
      </c>
      <c r="GK100" s="22" t="e">
        <f aca="false">AND(#REF!,"AAAAAG64H8A=")</f>
        <v>#VALUE!</v>
      </c>
      <c r="GL100" s="22" t="e">
        <f aca="false">AND(#REF!,"AAAAAG64H8E=")</f>
        <v>#VALUE!</v>
      </c>
      <c r="GM100" s="22" t="e">
        <f aca="false">AND(#REF!,"AAAAAG64H8I=")</f>
        <v>#VALUE!</v>
      </c>
      <c r="GN100" s="22" t="e">
        <f aca="false">AND(#REF!,"AAAAAG64H8M=")</f>
        <v>#VALUE!</v>
      </c>
      <c r="GO100" s="22" t="e">
        <f aca="false">AND(#REF!,"AAAAAG64H8Q=")</f>
        <v>#VALUE!</v>
      </c>
      <c r="GP100" s="22" t="e">
        <f aca="false">AND(#REF!,"AAAAAG64H8U=")</f>
        <v>#VALUE!</v>
      </c>
      <c r="GQ100" s="22" t="e">
        <f aca="false">IF(#REF!,"AAAAAG64H8Y=",0)</f>
        <v>#REF!</v>
      </c>
      <c r="GR100" s="22" t="e">
        <f aca="false">AND(#REF!,"AAAAAG64H8c=")</f>
        <v>#VALUE!</v>
      </c>
      <c r="GS100" s="22" t="e">
        <f aca="false">AND(#REF!,"AAAAAG64H8g=")</f>
        <v>#VALUE!</v>
      </c>
      <c r="GT100" s="22" t="e">
        <f aca="false">AND(#REF!,"AAAAAG64H8k=")</f>
        <v>#VALUE!</v>
      </c>
      <c r="GU100" s="22" t="e">
        <f aca="false">AND(#REF!,"AAAAAG64H8o=")</f>
        <v>#VALUE!</v>
      </c>
      <c r="GV100" s="22" t="e">
        <f aca="false">AND(#REF!,"AAAAAG64H8s=")</f>
        <v>#VALUE!</v>
      </c>
      <c r="GW100" s="22" t="e">
        <f aca="false">AND(#REF!,"AAAAAG64H8w=")</f>
        <v>#VALUE!</v>
      </c>
      <c r="GX100" s="22" t="e">
        <f aca="false">AND(#REF!,"AAAAAG64H80=")</f>
        <v>#VALUE!</v>
      </c>
      <c r="GY100" s="22" t="e">
        <f aca="false">AND(#REF!,"AAAAAG64H84=")</f>
        <v>#VALUE!</v>
      </c>
      <c r="GZ100" s="22" t="e">
        <f aca="false">IF(#REF!,"AAAAAG64H88=",0)</f>
        <v>#REF!</v>
      </c>
      <c r="HA100" s="22" t="e">
        <f aca="false">AND(#REF!,"AAAAAG64H9A=")</f>
        <v>#VALUE!</v>
      </c>
      <c r="HB100" s="22" t="e">
        <f aca="false">AND(#REF!,"AAAAAG64H9E=")</f>
        <v>#VALUE!</v>
      </c>
      <c r="HC100" s="22" t="e">
        <f aca="false">AND(#REF!,"AAAAAG64H9I=")</f>
        <v>#VALUE!</v>
      </c>
      <c r="HD100" s="22" t="e">
        <f aca="false">AND(#REF!,"AAAAAG64H9M=")</f>
        <v>#VALUE!</v>
      </c>
      <c r="HE100" s="22" t="e">
        <f aca="false">AND(#REF!,"AAAAAG64H9Q=")</f>
        <v>#VALUE!</v>
      </c>
      <c r="HF100" s="22" t="e">
        <f aca="false">AND(#REF!,"AAAAAG64H9U=")</f>
        <v>#VALUE!</v>
      </c>
      <c r="HG100" s="22" t="e">
        <f aca="false">AND(#REF!,"AAAAAG64H9Y=")</f>
        <v>#VALUE!</v>
      </c>
      <c r="HH100" s="22" t="e">
        <f aca="false">AND(#REF!,"AAAAAG64H9c=")</f>
        <v>#VALUE!</v>
      </c>
      <c r="HI100" s="22" t="e">
        <f aca="false">IF(#REF!,"AAAAAG64H9g=",0)</f>
        <v>#REF!</v>
      </c>
      <c r="HJ100" s="22" t="e">
        <f aca="false">AND(#REF!,"AAAAAG64H9k=")</f>
        <v>#VALUE!</v>
      </c>
      <c r="HK100" s="22" t="e">
        <f aca="false">AND(#REF!,"AAAAAG64H9o=")</f>
        <v>#VALUE!</v>
      </c>
      <c r="HL100" s="22" t="e">
        <f aca="false">AND(#REF!,"AAAAAG64H9s=")</f>
        <v>#VALUE!</v>
      </c>
      <c r="HM100" s="22" t="e">
        <f aca="false">AND(#REF!,"AAAAAG64H9w=")</f>
        <v>#VALUE!</v>
      </c>
      <c r="HN100" s="22" t="e">
        <f aca="false">AND(#REF!,"AAAAAG64H90=")</f>
        <v>#VALUE!</v>
      </c>
      <c r="HO100" s="22" t="e">
        <f aca="false">AND(#REF!,"AAAAAG64H94=")</f>
        <v>#VALUE!</v>
      </c>
      <c r="HP100" s="22" t="e">
        <f aca="false">AND(#REF!,"AAAAAG64H98=")</f>
        <v>#VALUE!</v>
      </c>
      <c r="HQ100" s="22" t="e">
        <f aca="false">AND(#REF!,"AAAAAG64H+A=")</f>
        <v>#VALUE!</v>
      </c>
      <c r="HR100" s="22" t="e">
        <f aca="false">IF(#REF!,"AAAAAG64H+E=",0)</f>
        <v>#REF!</v>
      </c>
      <c r="HS100" s="22" t="e">
        <f aca="false">AND(#REF!,"AAAAAG64H+I=")</f>
        <v>#VALUE!</v>
      </c>
      <c r="HT100" s="22" t="e">
        <f aca="false">AND(#REF!,"AAAAAG64H+M=")</f>
        <v>#VALUE!</v>
      </c>
      <c r="HU100" s="22" t="e">
        <f aca="false">AND(#REF!,"AAAAAG64H+Q=")</f>
        <v>#VALUE!</v>
      </c>
      <c r="HV100" s="22" t="e">
        <f aca="false">AND(#REF!,"AAAAAG64H+U=")</f>
        <v>#VALUE!</v>
      </c>
      <c r="HW100" s="22" t="e">
        <f aca="false">AND(#REF!,"AAAAAG64H+Y=")</f>
        <v>#VALUE!</v>
      </c>
      <c r="HX100" s="22" t="e">
        <f aca="false">AND(#REF!,"AAAAAG64H+c=")</f>
        <v>#VALUE!</v>
      </c>
      <c r="HY100" s="22" t="e">
        <f aca="false">AND(#REF!,"AAAAAG64H+g=")</f>
        <v>#VALUE!</v>
      </c>
      <c r="HZ100" s="22" t="e">
        <f aca="false">AND(#REF!,"AAAAAG64H+k=")</f>
        <v>#VALUE!</v>
      </c>
      <c r="IA100" s="22" t="e">
        <f aca="false">IF(#REF!,"AAAAAG64H+o=",0)</f>
        <v>#REF!</v>
      </c>
      <c r="IB100" s="22" t="e">
        <f aca="false">AND(#REF!,"AAAAAG64H+s=")</f>
        <v>#VALUE!</v>
      </c>
      <c r="IC100" s="22" t="e">
        <f aca="false">AND(#REF!,"AAAAAG64H+w=")</f>
        <v>#VALUE!</v>
      </c>
      <c r="ID100" s="22" t="e">
        <f aca="false">AND(#REF!,"AAAAAG64H+0=")</f>
        <v>#VALUE!</v>
      </c>
      <c r="IE100" s="22" t="e">
        <f aca="false">AND(#REF!,"AAAAAG64H+4=")</f>
        <v>#VALUE!</v>
      </c>
      <c r="IF100" s="22" t="e">
        <f aca="false">AND(#REF!,"AAAAAG64H+8=")</f>
        <v>#VALUE!</v>
      </c>
      <c r="IG100" s="22" t="e">
        <f aca="false">AND(#REF!,"AAAAAG64H/A=")</f>
        <v>#VALUE!</v>
      </c>
      <c r="IH100" s="22" t="e">
        <f aca="false">AND(#REF!,"AAAAAG64H/E=")</f>
        <v>#VALUE!</v>
      </c>
      <c r="II100" s="22" t="e">
        <f aca="false">AND(#REF!,"AAAAAG64H/I=")</f>
        <v>#VALUE!</v>
      </c>
      <c r="IJ100" s="22" t="e">
        <f aca="false">IF(#REF!,"AAAAAG64H/M=",0)</f>
        <v>#REF!</v>
      </c>
      <c r="IK100" s="22" t="e">
        <f aca="false">AND(#REF!,"AAAAAG64H/Q=")</f>
        <v>#VALUE!</v>
      </c>
      <c r="IL100" s="22" t="e">
        <f aca="false">AND(#REF!,"AAAAAG64H/U=")</f>
        <v>#VALUE!</v>
      </c>
      <c r="IM100" s="22" t="e">
        <f aca="false">AND(#REF!,"AAAAAG64H/Y=")</f>
        <v>#VALUE!</v>
      </c>
      <c r="IN100" s="22" t="e">
        <f aca="false">AND(#REF!,"AAAAAG64H/c=")</f>
        <v>#VALUE!</v>
      </c>
      <c r="IO100" s="22" t="e">
        <f aca="false">AND(#REF!,"AAAAAG64H/g=")</f>
        <v>#VALUE!</v>
      </c>
      <c r="IP100" s="22" t="e">
        <f aca="false">AND(#REF!,"AAAAAG64H/k=")</f>
        <v>#VALUE!</v>
      </c>
      <c r="IQ100" s="22" t="e">
        <f aca="false">AND(#REF!,"AAAAAG64H/o=")</f>
        <v>#VALUE!</v>
      </c>
      <c r="IR100" s="22" t="e">
        <f aca="false">AND(#REF!,"AAAAAG64H/s=")</f>
        <v>#VALUE!</v>
      </c>
      <c r="IS100" s="22" t="e">
        <f aca="false">IF(#REF!,"AAAAAG64H/w=",0)</f>
        <v>#REF!</v>
      </c>
      <c r="IT100" s="22" t="e">
        <f aca="false">AND(#REF!,"AAAAAG64H/0=")</f>
        <v>#VALUE!</v>
      </c>
      <c r="IU100" s="22" t="e">
        <f aca="false">AND(#REF!,"AAAAAG64H/4=")</f>
        <v>#VALUE!</v>
      </c>
      <c r="IV100" s="22" t="e">
        <f aca="false">AND(#REF!,"AAAAAG64H/8=")</f>
        <v>#VALUE!</v>
      </c>
    </row>
    <row r="101" customFormat="false" ht="12.75" hidden="false" customHeight="false" outlineLevel="0" collapsed="false">
      <c r="A101" s="22" t="e">
        <f aca="false">AND(#REF!,"AAAAAH/f4AA=")</f>
        <v>#VALUE!</v>
      </c>
      <c r="B101" s="22" t="e">
        <f aca="false">AND(#REF!,"AAAAAH/f4AE=")</f>
        <v>#VALUE!</v>
      </c>
      <c r="C101" s="22" t="e">
        <f aca="false">AND(#REF!,"AAAAAH/f4AI=")</f>
        <v>#VALUE!</v>
      </c>
      <c r="D101" s="22" t="e">
        <f aca="false">AND(#REF!,"AAAAAH/f4AM=")</f>
        <v>#VALUE!</v>
      </c>
      <c r="E101" s="22" t="e">
        <f aca="false">AND(#REF!,"AAAAAH/f4AQ=")</f>
        <v>#VALUE!</v>
      </c>
      <c r="F101" s="22" t="e">
        <f aca="false">IF(#REF!,"AAAAAH/f4AU=",0)</f>
        <v>#REF!</v>
      </c>
      <c r="G101" s="22" t="e">
        <f aca="false">AND(#REF!,"AAAAAH/f4AY=")</f>
        <v>#VALUE!</v>
      </c>
      <c r="H101" s="22" t="e">
        <f aca="false">AND(#REF!,"AAAAAH/f4Ac=")</f>
        <v>#VALUE!</v>
      </c>
      <c r="I101" s="22" t="e">
        <f aca="false">AND(#REF!,"AAAAAH/f4Ag=")</f>
        <v>#VALUE!</v>
      </c>
      <c r="J101" s="22" t="e">
        <f aca="false">AND(#REF!,"AAAAAH/f4Ak=")</f>
        <v>#VALUE!</v>
      </c>
      <c r="K101" s="22" t="e">
        <f aca="false">AND(#REF!,"AAAAAH/f4Ao=")</f>
        <v>#VALUE!</v>
      </c>
      <c r="L101" s="22" t="e">
        <f aca="false">AND(#REF!,"AAAAAH/f4As=")</f>
        <v>#VALUE!</v>
      </c>
      <c r="M101" s="22" t="e">
        <f aca="false">AND(#REF!,"AAAAAH/f4Aw=")</f>
        <v>#VALUE!</v>
      </c>
      <c r="N101" s="22" t="e">
        <f aca="false">AND(#REF!,"AAAAAH/f4A0=")</f>
        <v>#VALUE!</v>
      </c>
      <c r="O101" s="22" t="e">
        <f aca="false">IF(#REF!,"AAAAAH/f4A4=",0)</f>
        <v>#REF!</v>
      </c>
      <c r="P101" s="22" t="e">
        <f aca="false">AND(#REF!,"AAAAAH/f4A8=")</f>
        <v>#VALUE!</v>
      </c>
      <c r="Q101" s="22" t="e">
        <f aca="false">AND(#REF!,"AAAAAH/f4BA=")</f>
        <v>#VALUE!</v>
      </c>
      <c r="R101" s="22" t="e">
        <f aca="false">AND(#REF!,"AAAAAH/f4BE=")</f>
        <v>#VALUE!</v>
      </c>
      <c r="S101" s="22" t="e">
        <f aca="false">AND(#REF!,"AAAAAH/f4BI=")</f>
        <v>#VALUE!</v>
      </c>
      <c r="T101" s="22" t="e">
        <f aca="false">AND(#REF!,"AAAAAH/f4BM=")</f>
        <v>#VALUE!</v>
      </c>
      <c r="U101" s="22" t="e">
        <f aca="false">AND(#REF!,"AAAAAH/f4BQ=")</f>
        <v>#VALUE!</v>
      </c>
      <c r="V101" s="22" t="e">
        <f aca="false">AND(#REF!,"AAAAAH/f4BU=")</f>
        <v>#VALUE!</v>
      </c>
      <c r="W101" s="22" t="e">
        <f aca="false">AND(#REF!,"AAAAAH/f4BY=")</f>
        <v>#VALUE!</v>
      </c>
      <c r="X101" s="22" t="e">
        <f aca="false">IF(#REF!,"AAAAAH/f4Bc=",0)</f>
        <v>#REF!</v>
      </c>
      <c r="Y101" s="22" t="e">
        <f aca="false">AND(#REF!,"AAAAAH/f4Bg=")</f>
        <v>#VALUE!</v>
      </c>
      <c r="Z101" s="22" t="e">
        <f aca="false">AND(#REF!,"AAAAAH/f4Bk=")</f>
        <v>#VALUE!</v>
      </c>
      <c r="AA101" s="22" t="e">
        <f aca="false">AND(#REF!,"AAAAAH/f4Bo=")</f>
        <v>#VALUE!</v>
      </c>
      <c r="AB101" s="22" t="e">
        <f aca="false">AND(#REF!,"AAAAAH/f4Bs=")</f>
        <v>#VALUE!</v>
      </c>
      <c r="AC101" s="22" t="e">
        <f aca="false">AND(#REF!,"AAAAAH/f4Bw=")</f>
        <v>#VALUE!</v>
      </c>
      <c r="AD101" s="22" t="e">
        <f aca="false">AND(#REF!,"AAAAAH/f4B0=")</f>
        <v>#VALUE!</v>
      </c>
      <c r="AE101" s="22" t="e">
        <f aca="false">AND(#REF!,"AAAAAH/f4B4=")</f>
        <v>#VALUE!</v>
      </c>
      <c r="AF101" s="22" t="e">
        <f aca="false">AND(#REF!,"AAAAAH/f4B8=")</f>
        <v>#VALUE!</v>
      </c>
      <c r="AG101" s="22" t="e">
        <f aca="false">IF(#REF!,"AAAAAH/f4CA=",0)</f>
        <v>#REF!</v>
      </c>
      <c r="AH101" s="22" t="e">
        <f aca="false">AND(#REF!,"AAAAAH/f4CE=")</f>
        <v>#VALUE!</v>
      </c>
      <c r="AI101" s="22" t="e">
        <f aca="false">AND(#REF!,"AAAAAH/f4CI=")</f>
        <v>#VALUE!</v>
      </c>
      <c r="AJ101" s="22" t="e">
        <f aca="false">AND(#REF!,"AAAAAH/f4CM=")</f>
        <v>#VALUE!</v>
      </c>
      <c r="AK101" s="22" t="e">
        <f aca="false">AND(#REF!,"AAAAAH/f4CQ=")</f>
        <v>#VALUE!</v>
      </c>
      <c r="AL101" s="22" t="e">
        <f aca="false">AND(#REF!,"AAAAAH/f4CU=")</f>
        <v>#VALUE!</v>
      </c>
      <c r="AM101" s="22" t="e">
        <f aca="false">AND(#REF!,"AAAAAH/f4CY=")</f>
        <v>#VALUE!</v>
      </c>
      <c r="AN101" s="22" t="e">
        <f aca="false">AND(#REF!,"AAAAAH/f4Cc=")</f>
        <v>#VALUE!</v>
      </c>
      <c r="AO101" s="22" t="e">
        <f aca="false">AND(#REF!,"AAAAAH/f4Cg=")</f>
        <v>#VALUE!</v>
      </c>
      <c r="AP101" s="22" t="e">
        <f aca="false">IF(#REF!,"AAAAAH/f4Ck=",0)</f>
        <v>#REF!</v>
      </c>
      <c r="AQ101" s="22" t="e">
        <f aca="false">AND(#REF!,"AAAAAH/f4Co=")</f>
        <v>#VALUE!</v>
      </c>
      <c r="AR101" s="22" t="e">
        <f aca="false">AND(#REF!,"AAAAAH/f4Cs=")</f>
        <v>#VALUE!</v>
      </c>
      <c r="AS101" s="22" t="e">
        <f aca="false">AND(#REF!,"AAAAAH/f4Cw=")</f>
        <v>#VALUE!</v>
      </c>
      <c r="AT101" s="22" t="e">
        <f aca="false">AND(#REF!,"AAAAAH/f4C0=")</f>
        <v>#VALUE!</v>
      </c>
      <c r="AU101" s="22" t="e">
        <f aca="false">AND(#REF!,"AAAAAH/f4C4=")</f>
        <v>#VALUE!</v>
      </c>
      <c r="AV101" s="22" t="e">
        <f aca="false">AND(#REF!,"AAAAAH/f4C8=")</f>
        <v>#VALUE!</v>
      </c>
      <c r="AW101" s="22" t="e">
        <f aca="false">AND(#REF!,"AAAAAH/f4DA=")</f>
        <v>#VALUE!</v>
      </c>
      <c r="AX101" s="22" t="e">
        <f aca="false">AND(#REF!,"AAAAAH/f4DE=")</f>
        <v>#VALUE!</v>
      </c>
      <c r="AY101" s="22" t="e">
        <f aca="false">IF(#REF!,"AAAAAH/f4DI=",0)</f>
        <v>#REF!</v>
      </c>
      <c r="AZ101" s="22" t="e">
        <f aca="false">AND(#REF!,"AAAAAH/f4DM=")</f>
        <v>#VALUE!</v>
      </c>
      <c r="BA101" s="22" t="e">
        <f aca="false">AND(#REF!,"AAAAAH/f4DQ=")</f>
        <v>#VALUE!</v>
      </c>
      <c r="BB101" s="22" t="e">
        <f aca="false">AND(#REF!,"AAAAAH/f4DU=")</f>
        <v>#VALUE!</v>
      </c>
      <c r="BC101" s="22" t="e">
        <f aca="false">AND(#REF!,"AAAAAH/f4DY=")</f>
        <v>#VALUE!</v>
      </c>
      <c r="BD101" s="22" t="e">
        <f aca="false">AND(#REF!,"AAAAAH/f4Dc=")</f>
        <v>#VALUE!</v>
      </c>
      <c r="BE101" s="22" t="e">
        <f aca="false">AND(#REF!,"AAAAAH/f4Dg=")</f>
        <v>#VALUE!</v>
      </c>
      <c r="BF101" s="22" t="e">
        <f aca="false">AND(#REF!,"AAAAAH/f4Dk=")</f>
        <v>#VALUE!</v>
      </c>
      <c r="BG101" s="22" t="e">
        <f aca="false">AND(#REF!,"AAAAAH/f4Do=")</f>
        <v>#VALUE!</v>
      </c>
      <c r="BH101" s="22" t="e">
        <f aca="false">IF(#REF!,"AAAAAH/f4Ds=",0)</f>
        <v>#REF!</v>
      </c>
      <c r="BI101" s="22" t="e">
        <f aca="false">AND(#REF!,"AAAAAH/f4Dw=")</f>
        <v>#VALUE!</v>
      </c>
      <c r="BJ101" s="22" t="e">
        <f aca="false">AND(#REF!,"AAAAAH/f4D0=")</f>
        <v>#VALUE!</v>
      </c>
      <c r="BK101" s="22" t="e">
        <f aca="false">AND(#REF!,"AAAAAH/f4D4=")</f>
        <v>#VALUE!</v>
      </c>
      <c r="BL101" s="22" t="e">
        <f aca="false">AND(#REF!,"AAAAAH/f4D8=")</f>
        <v>#VALUE!</v>
      </c>
      <c r="BM101" s="22" t="e">
        <f aca="false">AND(#REF!,"AAAAAH/f4EA=")</f>
        <v>#VALUE!</v>
      </c>
      <c r="BN101" s="22" t="e">
        <f aca="false">AND(#REF!,"AAAAAH/f4EE=")</f>
        <v>#VALUE!</v>
      </c>
      <c r="BO101" s="22" t="e">
        <f aca="false">AND(#REF!,"AAAAAH/f4EI=")</f>
        <v>#VALUE!</v>
      </c>
      <c r="BP101" s="22" t="e">
        <f aca="false">AND(#REF!,"AAAAAH/f4EM=")</f>
        <v>#VALUE!</v>
      </c>
      <c r="BQ101" s="22" t="e">
        <f aca="false">IF(#REF!,"AAAAAH/f4EQ=",0)</f>
        <v>#REF!</v>
      </c>
      <c r="BR101" s="22" t="e">
        <f aca="false">AND(#REF!,"AAAAAH/f4EU=")</f>
        <v>#VALUE!</v>
      </c>
      <c r="BS101" s="22" t="e">
        <f aca="false">AND(#REF!,"AAAAAH/f4EY=")</f>
        <v>#VALUE!</v>
      </c>
      <c r="BT101" s="22" t="e">
        <f aca="false">AND(#REF!,"AAAAAH/f4Ec=")</f>
        <v>#VALUE!</v>
      </c>
      <c r="BU101" s="22" t="e">
        <f aca="false">AND(#REF!,"AAAAAH/f4Eg=")</f>
        <v>#VALUE!</v>
      </c>
      <c r="BV101" s="22" t="e">
        <f aca="false">AND(#REF!,"AAAAAH/f4Ek=")</f>
        <v>#VALUE!</v>
      </c>
      <c r="BW101" s="22" t="e">
        <f aca="false">AND(#REF!,"AAAAAH/f4Eo=")</f>
        <v>#VALUE!</v>
      </c>
      <c r="BX101" s="22" t="e">
        <f aca="false">AND(#REF!,"AAAAAH/f4Es=")</f>
        <v>#VALUE!</v>
      </c>
      <c r="BY101" s="22" t="e">
        <f aca="false">AND(#REF!,"AAAAAH/f4Ew=")</f>
        <v>#VALUE!</v>
      </c>
      <c r="BZ101" s="22" t="e">
        <f aca="false">IF(#REF!,"AAAAAH/f4E0=",0)</f>
        <v>#REF!</v>
      </c>
      <c r="CA101" s="22" t="e">
        <f aca="false">AND(#REF!,"AAAAAH/f4E4=")</f>
        <v>#VALUE!</v>
      </c>
      <c r="CB101" s="22" t="e">
        <f aca="false">AND(#REF!,"AAAAAH/f4E8=")</f>
        <v>#VALUE!</v>
      </c>
      <c r="CC101" s="22" t="e">
        <f aca="false">AND(#REF!,"AAAAAH/f4FA=")</f>
        <v>#VALUE!</v>
      </c>
      <c r="CD101" s="22" t="e">
        <f aca="false">AND(#REF!,"AAAAAH/f4FE=")</f>
        <v>#VALUE!</v>
      </c>
      <c r="CE101" s="22" t="e">
        <f aca="false">AND(#REF!,"AAAAAH/f4FI=")</f>
        <v>#VALUE!</v>
      </c>
      <c r="CF101" s="22" t="e">
        <f aca="false">AND(#REF!,"AAAAAH/f4FM=")</f>
        <v>#VALUE!</v>
      </c>
      <c r="CG101" s="22" t="e">
        <f aca="false">AND(#REF!,"AAAAAH/f4FQ=")</f>
        <v>#VALUE!</v>
      </c>
      <c r="CH101" s="22" t="e">
        <f aca="false">AND(#REF!,"AAAAAH/f4FU=")</f>
        <v>#VALUE!</v>
      </c>
      <c r="CI101" s="22" t="e">
        <f aca="false">IF(#REF!,"AAAAAH/f4FY=",0)</f>
        <v>#REF!</v>
      </c>
      <c r="CJ101" s="22" t="e">
        <f aca="false">AND(#REF!,"AAAAAH/f4Fc=")</f>
        <v>#VALUE!</v>
      </c>
      <c r="CK101" s="22" t="e">
        <f aca="false">AND(#REF!,"AAAAAH/f4Fg=")</f>
        <v>#VALUE!</v>
      </c>
      <c r="CL101" s="22" t="e">
        <f aca="false">AND(#REF!,"AAAAAH/f4Fk=")</f>
        <v>#VALUE!</v>
      </c>
      <c r="CM101" s="22" t="e">
        <f aca="false">AND(#REF!,"AAAAAH/f4Fo=")</f>
        <v>#VALUE!</v>
      </c>
      <c r="CN101" s="22" t="e">
        <f aca="false">AND(#REF!,"AAAAAH/f4Fs=")</f>
        <v>#VALUE!</v>
      </c>
      <c r="CO101" s="22" t="e">
        <f aca="false">AND(#REF!,"AAAAAH/f4Fw=")</f>
        <v>#VALUE!</v>
      </c>
      <c r="CP101" s="22" t="e">
        <f aca="false">AND(#REF!,"AAAAAH/f4F0=")</f>
        <v>#VALUE!</v>
      </c>
      <c r="CQ101" s="22" t="e">
        <f aca="false">AND(#REF!,"AAAAAH/f4F4=")</f>
        <v>#VALUE!</v>
      </c>
      <c r="CR101" s="22" t="e">
        <f aca="false">IF(#REF!,"AAAAAH/f4F8=",0)</f>
        <v>#REF!</v>
      </c>
      <c r="CS101" s="22" t="e">
        <f aca="false">AND(#REF!,"AAAAAH/f4GA=")</f>
        <v>#VALUE!</v>
      </c>
      <c r="CT101" s="22" t="e">
        <f aca="false">AND(#REF!,"AAAAAH/f4GE=")</f>
        <v>#VALUE!</v>
      </c>
      <c r="CU101" s="22" t="e">
        <f aca="false">AND(#REF!,"AAAAAH/f4GI=")</f>
        <v>#VALUE!</v>
      </c>
      <c r="CV101" s="22" t="e">
        <f aca="false">AND(#REF!,"AAAAAH/f4GM=")</f>
        <v>#VALUE!</v>
      </c>
      <c r="CW101" s="22" t="e">
        <f aca="false">AND(#REF!,"AAAAAH/f4GQ=")</f>
        <v>#VALUE!</v>
      </c>
      <c r="CX101" s="22" t="e">
        <f aca="false">AND(#REF!,"AAAAAH/f4GU=")</f>
        <v>#VALUE!</v>
      </c>
      <c r="CY101" s="22" t="e">
        <f aca="false">AND(#REF!,"AAAAAH/f4GY=")</f>
        <v>#VALUE!</v>
      </c>
      <c r="CZ101" s="22" t="e">
        <f aca="false">AND(#REF!,"AAAAAH/f4Gc=")</f>
        <v>#VALUE!</v>
      </c>
      <c r="DA101" s="22" t="e">
        <f aca="false">IF(#REF!,"AAAAAH/f4Gg=",0)</f>
        <v>#REF!</v>
      </c>
      <c r="DB101" s="22" t="e">
        <f aca="false">AND(#REF!,"AAAAAH/f4Gk=")</f>
        <v>#VALUE!</v>
      </c>
      <c r="DC101" s="22" t="e">
        <f aca="false">AND(#REF!,"AAAAAH/f4Go=")</f>
        <v>#VALUE!</v>
      </c>
      <c r="DD101" s="22" t="e">
        <f aca="false">AND(#REF!,"AAAAAH/f4Gs=")</f>
        <v>#VALUE!</v>
      </c>
      <c r="DE101" s="22" t="e">
        <f aca="false">AND(#REF!,"AAAAAH/f4Gw=")</f>
        <v>#VALUE!</v>
      </c>
      <c r="DF101" s="22" t="e">
        <f aca="false">AND(#REF!,"AAAAAH/f4G0=")</f>
        <v>#VALUE!</v>
      </c>
      <c r="DG101" s="22" t="e">
        <f aca="false">AND(#REF!,"AAAAAH/f4G4=")</f>
        <v>#VALUE!</v>
      </c>
      <c r="DH101" s="22" t="e">
        <f aca="false">AND(#REF!,"AAAAAH/f4G8=")</f>
        <v>#VALUE!</v>
      </c>
      <c r="DI101" s="22" t="e">
        <f aca="false">AND(#REF!,"AAAAAH/f4HA=")</f>
        <v>#VALUE!</v>
      </c>
      <c r="DJ101" s="22" t="e">
        <f aca="false">IF(#REF!,"AAAAAH/f4HE=",0)</f>
        <v>#REF!</v>
      </c>
      <c r="DK101" s="22" t="e">
        <f aca="false">AND(#REF!,"AAAAAH/f4HI=")</f>
        <v>#VALUE!</v>
      </c>
      <c r="DL101" s="22" t="e">
        <f aca="false">AND(#REF!,"AAAAAH/f4HM=")</f>
        <v>#VALUE!</v>
      </c>
      <c r="DM101" s="22" t="e">
        <f aca="false">AND(#REF!,"AAAAAH/f4HQ=")</f>
        <v>#VALUE!</v>
      </c>
      <c r="DN101" s="22" t="e">
        <f aca="false">AND(#REF!,"AAAAAH/f4HU=")</f>
        <v>#VALUE!</v>
      </c>
      <c r="DO101" s="22" t="e">
        <f aca="false">AND(#REF!,"AAAAAH/f4HY=")</f>
        <v>#VALUE!</v>
      </c>
      <c r="DP101" s="22" t="e">
        <f aca="false">AND(#REF!,"AAAAAH/f4Hc=")</f>
        <v>#VALUE!</v>
      </c>
      <c r="DQ101" s="22" t="e">
        <f aca="false">AND(#REF!,"AAAAAH/f4Hg=")</f>
        <v>#VALUE!</v>
      </c>
      <c r="DR101" s="22" t="e">
        <f aca="false">AND(#REF!,"AAAAAH/f4Hk=")</f>
        <v>#VALUE!</v>
      </c>
      <c r="DS101" s="22" t="e">
        <f aca="false">IF(#REF!,"AAAAAH/f4Ho=",0)</f>
        <v>#REF!</v>
      </c>
      <c r="DT101" s="22" t="e">
        <f aca="false">IF(#REF!,"AAAAAH/f4Hs=",0)</f>
        <v>#REF!</v>
      </c>
      <c r="DU101" s="22" t="e">
        <f aca="false">IF(#REF!,"AAAAAH/f4Hw=",0)</f>
        <v>#REF!</v>
      </c>
      <c r="DV101" s="22" t="e">
        <f aca="false">IF(#REF!,"AAAAAH/f4H0=",0)</f>
        <v>#REF!</v>
      </c>
      <c r="DW101" s="22" t="e">
        <f aca="false">IF(#REF!,"AAAAAH/f4H4=",0)</f>
        <v>#REF!</v>
      </c>
      <c r="DX101" s="22" t="e">
        <f aca="false">IF(#REF!,"AAAAAH/f4H8=",0)</f>
        <v>#REF!</v>
      </c>
      <c r="DY101" s="22" t="e">
        <f aca="false">IF(#REF!,"AAAAAH/f4IA=",0)</f>
        <v>#REF!</v>
      </c>
      <c r="DZ101" s="22" t="e">
        <f aca="false">IF(#REF!,"AAAAAH/f4IE=",0)</f>
        <v>#REF!</v>
      </c>
      <c r="EA101" s="22" t="s">
        <v>2999</v>
      </c>
      <c r="EB101" s="22" t="e">
        <f aca="false">IF("N",'current index'!_xlnm.print_area,"AAAAAH/f4IM=")</f>
        <v>#VALUE!</v>
      </c>
    </row>
    <row r="102" customFormat="false" ht="12.75" hidden="false" customHeight="false" outlineLevel="0" collapsed="false">
      <c r="A102" s="22" t="n">
        <f aca="false">IF('Current Index'!555:555,"AAAAAD+37gA=",0)</f>
        <v>0</v>
      </c>
      <c r="B102" s="22" t="e">
        <f aca="false">AND('Current Index'!A555,"AAAAAD+37gE=")</f>
        <v>#VALUE!</v>
      </c>
      <c r="C102" s="22" t="e">
        <f aca="false">AND('current index'!#ref!,"AAAAAD+37gI=")</f>
        <v>#VALUE!</v>
      </c>
      <c r="D102" s="22" t="e">
        <f aca="false">AND('Current Index'!B555,"AAAAAD+37gM=")</f>
        <v>#VALUE!</v>
      </c>
      <c r="E102" s="22" t="e">
        <f aca="false">AND('Current Index'!C555,"AAAAAD+37gQ=")</f>
        <v>#VALUE!</v>
      </c>
      <c r="F102" s="22" t="e">
        <f aca="false">AND('Current Index'!D555,"AAAAAD+37gU=")</f>
        <v>#VALUE!</v>
      </c>
      <c r="G102" s="22" t="e">
        <f aca="false">AND('Current Index'!E555,"AAAAAD+37gY=")</f>
        <v>#VALUE!</v>
      </c>
      <c r="H102" s="22" t="e">
        <f aca="false">AND('Current Index'!F555,"AAAAAD+37gc=")</f>
        <v>#VALUE!</v>
      </c>
      <c r="I102" s="22" t="e">
        <f aca="false">AND('Current Index'!G555,"AAAAAD+37gg=")</f>
        <v>#VALUE!</v>
      </c>
      <c r="J102" s="22" t="e">
        <f aca="false">AND('Current Index'!H555,"AAAAAD+37gk=")</f>
        <v>#VALUE!</v>
      </c>
      <c r="K102" s="22" t="e">
        <f aca="false">AND('Current Index'!I555,"AAAAAD+37go=")</f>
        <v>#VALUE!</v>
      </c>
      <c r="L102" s="22" t="n">
        <f aca="false">IF('Current Index'!685:685,"AAAAAD+37gs=",0)</f>
        <v>0</v>
      </c>
      <c r="M102" s="22" t="e">
        <f aca="false">AND('Current Index'!A685,"AAAAAD+37gw=")</f>
        <v>#VALUE!</v>
      </c>
      <c r="N102" s="22" t="e">
        <f aca="false">AND('current index'!#ref!,"AAAAAD+37g0=")</f>
        <v>#VALUE!</v>
      </c>
      <c r="O102" s="22" t="e">
        <f aca="false">AND('Current Index'!B685,"AAAAAD+37g4=")</f>
        <v>#VALUE!</v>
      </c>
      <c r="P102" s="22" t="e">
        <f aca="false">AND('Current Index'!C685,"AAAAAD+37g8=")</f>
        <v>#VALUE!</v>
      </c>
      <c r="Q102" s="22" t="e">
        <f aca="false">AND('Current Index'!D685,"AAAAAD+37hA=")</f>
        <v>#VALUE!</v>
      </c>
      <c r="R102" s="22" t="e">
        <f aca="false">AND('Current Index'!E685,"AAAAAD+37hE=")</f>
        <v>#VALUE!</v>
      </c>
      <c r="S102" s="22" t="e">
        <f aca="false">AND('Current Index'!F685,"AAAAAD+37hI=")</f>
        <v>#VALUE!</v>
      </c>
      <c r="T102" s="22" t="e">
        <f aca="false">AND('Current Index'!G685,"AAAAAD+37hM=")</f>
        <v>#VALUE!</v>
      </c>
      <c r="U102" s="22" t="e">
        <f aca="false">AND('Current Index'!H685,"AAAAAD+37hQ=")</f>
        <v>#VALUE!</v>
      </c>
      <c r="V102" s="22" t="e">
        <f aca="false">AND('Current Index'!I685,"AAAAAD+37hU=")</f>
        <v>#VALUE!</v>
      </c>
      <c r="W102" s="22" t="e">
        <f aca="false">AND(#REF!,"AAAAAD+37hY=")</f>
        <v>#VALUE!</v>
      </c>
      <c r="X102" s="22" t="e">
        <f aca="false">AND(#REF!,"AAAAAD+37hc=")</f>
        <v>#VALUE!</v>
      </c>
      <c r="Y102" s="22" t="e">
        <f aca="false">AND(#REF!,"AAAAAD+37hg=")</f>
        <v>#VALUE!</v>
      </c>
      <c r="Z102" s="22" t="e">
        <f aca="false">AND(#REF!,"AAAAAD+37hk=")</f>
        <v>#VALUE!</v>
      </c>
      <c r="AA102" s="22" t="e">
        <f aca="false">AND(#REF!,"AAAAAD+37ho=")</f>
        <v>#VALUE!</v>
      </c>
      <c r="AB102" s="22" t="e">
        <f aca="false">AND(#REF!,"AAAAAD+37hs=")</f>
        <v>#VALUE!</v>
      </c>
      <c r="AC102" s="22" t="e">
        <f aca="false">AND(#REF!,"AAAAAD+37hw=")</f>
        <v>#VALUE!</v>
      </c>
      <c r="AD102" s="22" t="e">
        <f aca="false">AND(#REF!,"AAAAAD+37h0=")</f>
        <v>#VALUE!</v>
      </c>
      <c r="AE102" s="22" t="e">
        <f aca="false">AND(#REF!,"AAAAAD+37h4=")</f>
        <v>#VALUE!</v>
      </c>
      <c r="AF102" s="22" t="e">
        <f aca="false">AND(#REF!,"AAAAAD+37h8=")</f>
        <v>#VALUE!</v>
      </c>
      <c r="AG102" s="22" t="e">
        <f aca="false">AND(#REF!,"AAAAAD+37iA=")</f>
        <v>#VALUE!</v>
      </c>
      <c r="AH102" s="22" t="e">
        <f aca="false">AND(#REF!,"AAAAAD+37iE=")</f>
        <v>#VALUE!</v>
      </c>
      <c r="AI102" s="22" t="e">
        <f aca="false">AND(#REF!,"AAAAAD+37iI=")</f>
        <v>#VALUE!</v>
      </c>
      <c r="AJ102" s="22" t="e">
        <f aca="false">AND(#REF!,"AAAAAD+37iM=")</f>
        <v>#VALUE!</v>
      </c>
      <c r="AK102" s="22" t="e">
        <f aca="false">AND(#REF!,"AAAAAD+37iQ=")</f>
        <v>#VALUE!</v>
      </c>
      <c r="AL102" s="22" t="e">
        <f aca="false">AND(#REF!,"AAAAAD+37iU=")</f>
        <v>#VALUE!</v>
      </c>
      <c r="AM102" s="22" t="e">
        <f aca="false">AND(#REF!,"AAAAAD+37iY=")</f>
        <v>#VALUE!</v>
      </c>
      <c r="AN102" s="22" t="e">
        <f aca="false">AND(#REF!,"AAAAAD+37ic=")</f>
        <v>#VALUE!</v>
      </c>
      <c r="AO102" s="22" t="e">
        <f aca="false">AND(#REF!,"AAAAAD+37ig=")</f>
        <v>#VALUE!</v>
      </c>
      <c r="AP102" s="22" t="e">
        <f aca="false">AND(#REF!,"AAAAAD+37ik=")</f>
        <v>#VALUE!</v>
      </c>
      <c r="AQ102" s="22" t="e">
        <f aca="false">AND(#REF!,"AAAAAD+37io=")</f>
        <v>#VALUE!</v>
      </c>
      <c r="AR102" s="22" t="e">
        <f aca="false">AND(#REF!,"AAAAAD+37is=")</f>
        <v>#VALUE!</v>
      </c>
      <c r="AS102" s="22" t="e">
        <f aca="false">AND(#REF!,"AAAAAD+37iw=")</f>
        <v>#VALUE!</v>
      </c>
      <c r="AT102" s="22" t="e">
        <f aca="false">AND(#REF!,"AAAAAD+37i0=")</f>
        <v>#VALUE!</v>
      </c>
      <c r="AU102" s="22" t="e">
        <f aca="false">AND(#REF!,"AAAAAD+37i4=")</f>
        <v>#VALUE!</v>
      </c>
      <c r="AV102" s="22" t="e">
        <f aca="false">AND(#REF!,"AAAAAD+37i8=")</f>
        <v>#VALUE!</v>
      </c>
      <c r="AW102" s="22" t="e">
        <f aca="false">AND(#REF!,"AAAAAD+37jA=")</f>
        <v>#VALUE!</v>
      </c>
      <c r="AX102" s="22" t="e">
        <f aca="false">AND(#REF!,"AAAAAD+37jE=")</f>
        <v>#VALUE!</v>
      </c>
      <c r="AY102" s="22" t="e">
        <f aca="false">AND(#REF!,"AAAAAD+37jI=")</f>
        <v>#VALUE!</v>
      </c>
      <c r="AZ102" s="22" t="e">
        <f aca="false">AND(#REF!,"AAAAAD+37jM=")</f>
        <v>#VALUE!</v>
      </c>
      <c r="BA102" s="22" t="e">
        <f aca="false">AND(#REF!,"AAAAAD+37jQ=")</f>
        <v>#VALUE!</v>
      </c>
      <c r="BB102" s="22" t="e">
        <f aca="false">AND(#REF!,"AAAAAD+37jU=")</f>
        <v>#VALUE!</v>
      </c>
      <c r="BC102" s="22" t="e">
        <f aca="false">AND(#REF!,"AAAAAD+37jY=")</f>
        <v>#VALUE!</v>
      </c>
      <c r="BD102" s="22" t="e">
        <f aca="false">AND(#REF!,"AAAAAD+37jc=")</f>
        <v>#VALUE!</v>
      </c>
      <c r="BE102" s="22" t="e">
        <f aca="false">AND(#REF!,"AAAAAD+37jg=")</f>
        <v>#VALUE!</v>
      </c>
      <c r="BF102" s="22" t="e">
        <f aca="false">AND(#REF!,"AAAAAD+37jk=")</f>
        <v>#VALUE!</v>
      </c>
      <c r="BG102" s="22" t="e">
        <f aca="false">AND(#REF!,"AAAAAD+37jo=")</f>
        <v>#VALUE!</v>
      </c>
      <c r="BH102" s="22" t="e">
        <f aca="false">AND(#REF!,"AAAAAD+37js=")</f>
        <v>#VALUE!</v>
      </c>
      <c r="BI102" s="22" t="e">
        <f aca="false">AND(#REF!,"AAAAAD+37jw=")</f>
        <v>#VALUE!</v>
      </c>
      <c r="BJ102" s="22" t="e">
        <f aca="false">AND(#REF!,"AAAAAD+37j0=")</f>
        <v>#VALUE!</v>
      </c>
      <c r="BK102" s="22" t="e">
        <f aca="false">AND(#REF!,"AAAAAD+37j4=")</f>
        <v>#VALUE!</v>
      </c>
      <c r="BL102" s="22" t="e">
        <f aca="false">AND(#REF!,"AAAAAD+37j8=")</f>
        <v>#VALUE!</v>
      </c>
      <c r="BM102" s="22" t="e">
        <f aca="false">AND(#REF!,"AAAAAD+37kA=")</f>
        <v>#VALUE!</v>
      </c>
      <c r="BN102" s="22" t="e">
        <f aca="false">AND(#REF!,"AAAAAD+37kE=")</f>
        <v>#VALUE!</v>
      </c>
      <c r="BO102" s="22" t="e">
        <f aca="false">AND(#REF!,"AAAAAD+37kI=")</f>
        <v>#VALUE!</v>
      </c>
      <c r="BP102" s="22" t="e">
        <f aca="false">AND(#REF!,"AAAAAD+37kM=")</f>
        <v>#VALUE!</v>
      </c>
      <c r="BQ102" s="22" t="e">
        <f aca="false">AND(#REF!,"AAAAAD+37kQ=")</f>
        <v>#VALUE!</v>
      </c>
      <c r="BR102" s="22" t="e">
        <f aca="false">AND(#REF!,"AAAAAD+37kU=")</f>
        <v>#VALUE!</v>
      </c>
      <c r="BS102" s="22" t="e">
        <f aca="false">AND(#REF!,"AAAAAD+37kY=")</f>
        <v>#VALUE!</v>
      </c>
      <c r="BT102" s="22" t="e">
        <f aca="false">AND(#REF!,"AAAAAD+37kc=")</f>
        <v>#VALUE!</v>
      </c>
      <c r="BU102" s="22" t="e">
        <f aca="false">AND(#REF!,"AAAAAD+37kg=")</f>
        <v>#VALUE!</v>
      </c>
      <c r="BV102" s="22" t="e">
        <f aca="false">AND(#REF!,"AAAAAD+37kk=")</f>
        <v>#VALUE!</v>
      </c>
      <c r="BW102" s="22" t="e">
        <f aca="false">AND(#REF!,"AAAAAD+37ko=")</f>
        <v>#VALUE!</v>
      </c>
      <c r="BX102" s="22" t="e">
        <f aca="false">AND(#REF!,"AAAAAD+37ks=")</f>
        <v>#VALUE!</v>
      </c>
      <c r="BY102" s="22" t="e">
        <f aca="false">AND(#REF!,"AAAAAD+37kw=")</f>
        <v>#VALUE!</v>
      </c>
      <c r="BZ102" s="22" t="e">
        <f aca="false">AND(#REF!,"AAAAAD+37k0=")</f>
        <v>#VALUE!</v>
      </c>
      <c r="CA102" s="22" t="e">
        <f aca="false">AND(#REF!,"AAAAAD+37k4=")</f>
        <v>#VALUE!</v>
      </c>
      <c r="CB102" s="22" t="e">
        <f aca="false">AND(#REF!,"AAAAAD+37k8=")</f>
        <v>#VALUE!</v>
      </c>
      <c r="CC102" s="22" t="e">
        <f aca="false">AND(#REF!,"AAAAAD+37lA=")</f>
        <v>#VALUE!</v>
      </c>
      <c r="CD102" s="22" t="e">
        <f aca="false">AND(#REF!,"AAAAAD+37lE=")</f>
        <v>#VALUE!</v>
      </c>
      <c r="CE102" s="22" t="e">
        <f aca="false">AND(#REF!,"AAAAAD+37lI=")</f>
        <v>#VALUE!</v>
      </c>
      <c r="CF102" s="22" t="e">
        <f aca="false">AND(#REF!,"AAAAAD+37lM=")</f>
        <v>#VALUE!</v>
      </c>
      <c r="CG102" s="22" t="e">
        <f aca="false">AND(#REF!,"AAAAAD+37lQ=")</f>
        <v>#VALUE!</v>
      </c>
      <c r="CH102" s="22" t="e">
        <f aca="false">AND(#REF!,"AAAAAD+37lU=")</f>
        <v>#VALUE!</v>
      </c>
      <c r="CI102" s="22" t="e">
        <f aca="false">AND(#REF!,"AAAAAD+37lY=")</f>
        <v>#VALUE!</v>
      </c>
      <c r="CJ102" s="22" t="e">
        <f aca="false">AND(#REF!,"AAAAAD+37lc=")</f>
        <v>#VALUE!</v>
      </c>
      <c r="CK102" s="22" t="e">
        <f aca="false">AND(#REF!,"AAAAAD+37lg=")</f>
        <v>#VALUE!</v>
      </c>
      <c r="CL102" s="22" t="e">
        <f aca="false">AND(#REF!,"AAAAAD+37lk=")</f>
        <v>#VALUE!</v>
      </c>
      <c r="CM102" s="22" t="e">
        <f aca="false">AND(#REF!,"AAAAAD+37lo=")</f>
        <v>#VALUE!</v>
      </c>
      <c r="CN102" s="22" t="e">
        <f aca="false">AND(#REF!,"AAAAAD+37ls=")</f>
        <v>#VALUE!</v>
      </c>
      <c r="CO102" s="22" t="e">
        <f aca="false">AND(#REF!,"AAAAAD+37lw=")</f>
        <v>#VALUE!</v>
      </c>
      <c r="CP102" s="22" t="e">
        <f aca="false">AND(#REF!,"AAAAAD+37l0=")</f>
        <v>#VALUE!</v>
      </c>
      <c r="CQ102" s="22" t="e">
        <f aca="false">AND(#REF!,"AAAAAD+37l4=")</f>
        <v>#VALUE!</v>
      </c>
      <c r="CR102" s="22" t="e">
        <f aca="false">AND(#REF!,"AAAAAD+37l8=")</f>
        <v>#VALUE!</v>
      </c>
      <c r="CS102" s="22" t="e">
        <f aca="false">AND(#REF!,"AAAAAD+37mA=")</f>
        <v>#VALUE!</v>
      </c>
      <c r="CT102" s="22" t="e">
        <f aca="false">AND(#REF!,"AAAAAD+37mE=")</f>
        <v>#VALUE!</v>
      </c>
      <c r="CU102" s="22" t="e">
        <f aca="false">AND(#REF!,"AAAAAD+37mI=")</f>
        <v>#VALUE!</v>
      </c>
      <c r="CV102" s="22" t="e">
        <f aca="false">AND(#REF!,"AAAAAD+37mM=")</f>
        <v>#VALUE!</v>
      </c>
      <c r="CW102" s="22" t="e">
        <f aca="false">AND(#REF!,"AAAAAD+37mQ=")</f>
        <v>#VALUE!</v>
      </c>
      <c r="CX102" s="22" t="e">
        <f aca="false">AND(#REF!,"AAAAAD+37mU=")</f>
        <v>#VALUE!</v>
      </c>
      <c r="CY102" s="22" t="e">
        <f aca="false">AND(#REF!,"AAAAAD+37mY=")</f>
        <v>#VALUE!</v>
      </c>
      <c r="CZ102" s="22" t="e">
        <f aca="false">AND(#REF!,"AAAAAD+37mc=")</f>
        <v>#VALUE!</v>
      </c>
      <c r="DA102" s="22" t="e">
        <f aca="false">AND(#REF!,"AAAAAD+37mg=")</f>
        <v>#VALUE!</v>
      </c>
      <c r="DB102" s="22" t="e">
        <f aca="false">AND(#REF!,"AAAAAD+37mk=")</f>
        <v>#VALUE!</v>
      </c>
      <c r="DC102" s="22" t="e">
        <f aca="false">AND(#REF!,"AAAAAD+37mo=")</f>
        <v>#VALUE!</v>
      </c>
      <c r="DD102" s="22" t="e">
        <f aca="false">AND(#REF!,"AAAAAD+37ms=")</f>
        <v>#VALUE!</v>
      </c>
      <c r="DE102" s="22" t="e">
        <f aca="false">AND(#REF!,"AAAAAD+37mw=")</f>
        <v>#VALUE!</v>
      </c>
      <c r="DF102" s="22" t="e">
        <f aca="false">AND(#REF!,"AAAAAD+37m0=")</f>
        <v>#VALUE!</v>
      </c>
      <c r="DG102" s="22" t="e">
        <f aca="false">AND(#REF!,"AAAAAD+37m4=")</f>
        <v>#VALUE!</v>
      </c>
      <c r="DH102" s="22" t="e">
        <f aca="false">AND(#REF!,"AAAAAD+37m8=")</f>
        <v>#VALUE!</v>
      </c>
      <c r="DI102" s="22" t="e">
        <f aca="false">AND(#REF!,"AAAAAD+37nA=")</f>
        <v>#VALUE!</v>
      </c>
      <c r="DJ102" s="22" t="e">
        <f aca="false">AND(#REF!,"AAAAAD+37nE=")</f>
        <v>#VALUE!</v>
      </c>
      <c r="DK102" s="22" t="e">
        <f aca="false">AND(#REF!,"AAAAAD+37nI=")</f>
        <v>#VALUE!</v>
      </c>
      <c r="DL102" s="22" t="e">
        <f aca="false">AND(#REF!,"AAAAAD+37nM=")</f>
        <v>#VALUE!</v>
      </c>
      <c r="DM102" s="22" t="e">
        <f aca="false">AND(#REF!,"AAAAAD+37nQ=")</f>
        <v>#VALUE!</v>
      </c>
      <c r="DN102" s="22" t="e">
        <f aca="false">AND(#REF!,"AAAAAD+37nU=")</f>
        <v>#VALUE!</v>
      </c>
      <c r="DO102" s="22" t="e">
        <f aca="false">AND(#REF!,"AAAAAD+37nY=")</f>
        <v>#VALUE!</v>
      </c>
      <c r="DP102" s="22" t="e">
        <f aca="false">AND(#REF!,"AAAAAD+37nc=")</f>
        <v>#VALUE!</v>
      </c>
      <c r="DQ102" s="22" t="e">
        <f aca="false">AND(#REF!,"AAAAAD+37ng=")</f>
        <v>#VALUE!</v>
      </c>
      <c r="DR102" s="22" t="e">
        <f aca="false">AND(#REF!,"AAAAAD+37nk=")</f>
        <v>#VALUE!</v>
      </c>
      <c r="DS102" s="22" t="e">
        <f aca="false">AND(#REF!,"AAAAAD+37no=")</f>
        <v>#VALUE!</v>
      </c>
      <c r="DT102" s="22" t="e">
        <f aca="false">AND(#REF!,"AAAAAD+37ns=")</f>
        <v>#VALUE!</v>
      </c>
      <c r="DU102" s="22" t="e">
        <f aca="false">AND(#REF!,"AAAAAD+37nw=")</f>
        <v>#VALUE!</v>
      </c>
      <c r="DV102" s="22" t="e">
        <f aca="false">AND(#REF!,"AAAAAD+37n0=")</f>
        <v>#VALUE!</v>
      </c>
      <c r="DW102" s="22" t="e">
        <f aca="false">AND(#REF!,"AAAAAD+37n4=")</f>
        <v>#VALUE!</v>
      </c>
      <c r="DX102" s="22" t="e">
        <f aca="false">AND(#REF!,"AAAAAD+37n8=")</f>
        <v>#VALUE!</v>
      </c>
      <c r="DY102" s="22" t="e">
        <f aca="false">AND(#REF!,"AAAAAD+37oA=")</f>
        <v>#VALUE!</v>
      </c>
      <c r="DZ102" s="22" t="e">
        <f aca="false">AND(#REF!,"AAAAAD+37oE=")</f>
        <v>#VALUE!</v>
      </c>
      <c r="EA102" s="22" t="e">
        <f aca="false">AND(#REF!,"AAAAAD+37oI=")</f>
        <v>#VALUE!</v>
      </c>
      <c r="EB102" s="22" t="e">
        <f aca="false">AND(#REF!,"AAAAAD+37oM=")</f>
        <v>#VALUE!</v>
      </c>
      <c r="EC102" s="22" t="e">
        <f aca="false">AND(#REF!,"AAAAAD+37oQ=")</f>
        <v>#VALUE!</v>
      </c>
      <c r="ED102" s="22" t="e">
        <f aca="false">AND(#REF!,"AAAAAD+37oU=")</f>
        <v>#VALUE!</v>
      </c>
      <c r="EE102" s="22" t="e">
        <f aca="false">AND(#REF!,"AAAAAD+37oY=")</f>
        <v>#VALUE!</v>
      </c>
      <c r="EF102" s="22" t="e">
        <f aca="false">AND(#REF!,"AAAAAD+37oc=")</f>
        <v>#VALUE!</v>
      </c>
      <c r="EG102" s="22" t="e">
        <f aca="false">AND(#REF!,"AAAAAD+37og=")</f>
        <v>#VALUE!</v>
      </c>
      <c r="EH102" s="22" t="e">
        <f aca="false">AND(#REF!,"AAAAAD+37ok=")</f>
        <v>#VALUE!</v>
      </c>
      <c r="EI102" s="22" t="e">
        <f aca="false">AND(#REF!,"AAAAAD+37oo=")</f>
        <v>#VALUE!</v>
      </c>
      <c r="EJ102" s="22" t="e">
        <f aca="false">AND(#REF!,"AAAAAD+37os=")</f>
        <v>#VALUE!</v>
      </c>
      <c r="EK102" s="22" t="e">
        <f aca="false">AND(#REF!,"AAAAAD+37ow=")</f>
        <v>#VALUE!</v>
      </c>
      <c r="EL102" s="22" t="e">
        <f aca="false">AND(#REF!,"AAAAAD+37o0=")</f>
        <v>#VALUE!</v>
      </c>
      <c r="EM102" s="22" t="e">
        <f aca="false">AND(#REF!,"AAAAAD+37o4=")</f>
        <v>#VALUE!</v>
      </c>
      <c r="EN102" s="22" t="e">
        <f aca="false">AND(#REF!,"AAAAAD+37o8=")</f>
        <v>#VALUE!</v>
      </c>
      <c r="EO102" s="22" t="e">
        <f aca="false">AND(#REF!,"AAAAAD+37pA=")</f>
        <v>#VALUE!</v>
      </c>
      <c r="EP102" s="22" t="e">
        <f aca="false">AND(#REF!,"AAAAAD+37pE=")</f>
        <v>#VALUE!</v>
      </c>
      <c r="EQ102" s="22" t="e">
        <f aca="false">AND(#REF!,"AAAAAD+37pI=")</f>
        <v>#VALUE!</v>
      </c>
      <c r="ER102" s="22" t="e">
        <f aca="false">AND(#REF!,"AAAAAD+37pM=")</f>
        <v>#VALUE!</v>
      </c>
      <c r="ES102" s="22" t="e">
        <f aca="false">AND(#REF!,"AAAAAD+37pQ=")</f>
        <v>#VALUE!</v>
      </c>
      <c r="ET102" s="22" t="e">
        <f aca="false">AND(#REF!,"AAAAAD+37pU=")</f>
        <v>#VALUE!</v>
      </c>
      <c r="EU102" s="22" t="e">
        <f aca="false">AND(#REF!,"AAAAAD+37pY=")</f>
        <v>#VALUE!</v>
      </c>
      <c r="EV102" s="22" t="e">
        <f aca="false">AND(#REF!,"AAAAAD+37pc=")</f>
        <v>#VALUE!</v>
      </c>
      <c r="EW102" s="22" t="e">
        <f aca="false">AND(#REF!,"AAAAAD+37pg=")</f>
        <v>#VALUE!</v>
      </c>
      <c r="EX102" s="22" t="e">
        <f aca="false">AND(#REF!,"AAAAAD+37pk=")</f>
        <v>#VALUE!</v>
      </c>
      <c r="EY102" s="22" t="e">
        <f aca="false">AND(#REF!,"AAAAAD+37po=")</f>
        <v>#VALUE!</v>
      </c>
      <c r="EZ102" s="22" t="e">
        <f aca="false">AND(#REF!,"AAAAAD+37ps=")</f>
        <v>#VALUE!</v>
      </c>
      <c r="FA102" s="22" t="e">
        <f aca="false">AND(#REF!,"AAAAAD+37pw=")</f>
        <v>#VALUE!</v>
      </c>
      <c r="FB102" s="22" t="e">
        <f aca="false">AND(#REF!,"AAAAAD+37p0=")</f>
        <v>#VALUE!</v>
      </c>
      <c r="FC102" s="22" t="e">
        <f aca="false">AND(#REF!,"AAAAAD+37p4=")</f>
        <v>#VALUE!</v>
      </c>
      <c r="FD102" s="22" t="e">
        <f aca="false">AND(#REF!,"AAAAAD+37p8=")</f>
        <v>#VALUE!</v>
      </c>
      <c r="FE102" s="22" t="e">
        <f aca="false">AND(#REF!,"AAAAAD+37qA=")</f>
        <v>#VALUE!</v>
      </c>
      <c r="FF102" s="22" t="e">
        <f aca="false">AND(#REF!,"AAAAAD+37qE=")</f>
        <v>#VALUE!</v>
      </c>
      <c r="FG102" s="22" t="e">
        <f aca="false">AND(#REF!,"AAAAAD+37qI=")</f>
        <v>#VALUE!</v>
      </c>
      <c r="FH102" s="22" t="e">
        <f aca="false">AND(#REF!,"AAAAAD+37qM=")</f>
        <v>#VALUE!</v>
      </c>
      <c r="FI102" s="22" t="e">
        <f aca="false">AND(#REF!,"AAAAAD+37qQ=")</f>
        <v>#VALUE!</v>
      </c>
      <c r="FJ102" s="22" t="e">
        <f aca="false">AND(#REF!,"AAAAAD+37qU=")</f>
        <v>#VALUE!</v>
      </c>
      <c r="FK102" s="22" t="e">
        <f aca="false">AND(#REF!,"AAAAAD+37qY=")</f>
        <v>#VALUE!</v>
      </c>
      <c r="FL102" s="22" t="e">
        <f aca="false">AND(#REF!,"AAAAAD+37qc=")</f>
        <v>#VALUE!</v>
      </c>
      <c r="FM102" s="22" t="e">
        <f aca="false">AND(#REF!,"AAAAAD+37qg=")</f>
        <v>#VALUE!</v>
      </c>
      <c r="FN102" s="22" t="e">
        <f aca="false">AND(#REF!,"AAAAAD+37qk=")</f>
        <v>#VALUE!</v>
      </c>
      <c r="FO102" s="22" t="e">
        <f aca="false">AND(#REF!,"AAAAAD+37qo=")</f>
        <v>#VALUE!</v>
      </c>
      <c r="FP102" s="22" t="e">
        <f aca="false">AND(#REF!,"AAAAAD+37qs=")</f>
        <v>#VALUE!</v>
      </c>
      <c r="FQ102" s="22" t="e">
        <f aca="false">AND(#REF!,"AAAAAD+37qw=")</f>
        <v>#VALUE!</v>
      </c>
      <c r="FR102" s="22" t="e">
        <f aca="false">AND(#REF!,"AAAAAD+37q0=")</f>
        <v>#VALUE!</v>
      </c>
      <c r="FS102" s="22" t="e">
        <f aca="false">AND(#REF!,"AAAAAD+37q4=")</f>
        <v>#VALUE!</v>
      </c>
      <c r="FT102" s="22" t="e">
        <f aca="false">AND(#REF!,"AAAAAD+37q8=")</f>
        <v>#VALUE!</v>
      </c>
      <c r="FU102" s="22" t="e">
        <f aca="false">AND(#REF!,"AAAAAD+37rA=")</f>
        <v>#VALUE!</v>
      </c>
      <c r="FV102" s="22" t="e">
        <f aca="false">AND(#REF!,"AAAAAD+37rE=")</f>
        <v>#VALUE!</v>
      </c>
      <c r="FW102" s="22" t="e">
        <f aca="false">AND(#REF!,"AAAAAD+37rI=")</f>
        <v>#VALUE!</v>
      </c>
      <c r="FX102" s="22" t="e">
        <f aca="false">AND(#REF!,"AAAAAD+37rM=")</f>
        <v>#VALUE!</v>
      </c>
      <c r="FY102" s="22" t="e">
        <f aca="false">AND(#REF!,"AAAAAD+37rQ=")</f>
        <v>#VALUE!</v>
      </c>
      <c r="FZ102" s="22" t="e">
        <f aca="false">AND(#REF!,"AAAAAD+37rU=")</f>
        <v>#VALUE!</v>
      </c>
      <c r="GA102" s="22" t="e">
        <f aca="false">AND(#REF!,"AAAAAD+37rY=")</f>
        <v>#VALUE!</v>
      </c>
      <c r="GB102" s="22" t="e">
        <f aca="false">AND(#REF!,"AAAAAD+37rc=")</f>
        <v>#VALUE!</v>
      </c>
      <c r="GC102" s="22" t="e">
        <f aca="false">AND(#REF!,"AAAAAD+37rg=")</f>
        <v>#VALUE!</v>
      </c>
      <c r="GD102" s="22" t="e">
        <f aca="false">AND(#REF!,"AAAAAD+37rk=")</f>
        <v>#VALUE!</v>
      </c>
      <c r="GE102" s="22" t="e">
        <f aca="false">AND(#REF!,"AAAAAD+37ro=")</f>
        <v>#VALUE!</v>
      </c>
      <c r="GF102" s="22" t="e">
        <f aca="false">AND(#REF!,"AAAAAD+37rs=")</f>
        <v>#VALUE!</v>
      </c>
      <c r="GG102" s="22" t="e">
        <f aca="false">AND(#REF!,"AAAAAD+37rw=")</f>
        <v>#VALUE!</v>
      </c>
      <c r="GH102" s="22" t="e">
        <f aca="false">AND(#REF!,"AAAAAD+37r0=")</f>
        <v>#VALUE!</v>
      </c>
      <c r="GI102" s="22" t="e">
        <f aca="false">AND(#REF!,"AAAAAD+37r4=")</f>
        <v>#VALUE!</v>
      </c>
      <c r="GJ102" s="22" t="e">
        <f aca="false">AND(#REF!,"AAAAAD+37r8=")</f>
        <v>#VALUE!</v>
      </c>
      <c r="GK102" s="22" t="e">
        <f aca="false">AND(#REF!,"AAAAAD+37sA=")</f>
        <v>#VALUE!</v>
      </c>
      <c r="GL102" s="22" t="e">
        <f aca="false">AND(#REF!,"AAAAAD+37sE=")</f>
        <v>#VALUE!</v>
      </c>
      <c r="GM102" s="22" t="e">
        <f aca="false">AND(#REF!,"AAAAAD+37sI=")</f>
        <v>#VALUE!</v>
      </c>
      <c r="GN102" s="22" t="e">
        <f aca="false">AND(#REF!,"AAAAAD+37sM=")</f>
        <v>#VALUE!</v>
      </c>
      <c r="GO102" s="22" t="e">
        <f aca="false">AND(#REF!,"AAAAAD+37sQ=")</f>
        <v>#VALUE!</v>
      </c>
      <c r="GP102" s="22" t="e">
        <f aca="false">AND(#REF!,"AAAAAD+37sU=")</f>
        <v>#VALUE!</v>
      </c>
      <c r="GQ102" s="22" t="e">
        <f aca="false">AND(#REF!,"AAAAAD+37sY=")</f>
        <v>#VALUE!</v>
      </c>
      <c r="GR102" s="22" t="e">
        <f aca="false">AND(#REF!,"AAAAAD+37sc=")</f>
        <v>#VALUE!</v>
      </c>
      <c r="GS102" s="22" t="e">
        <f aca="false">AND(#REF!,"AAAAAD+37sg=")</f>
        <v>#VALUE!</v>
      </c>
      <c r="GT102" s="22" t="e">
        <f aca="false">AND(#REF!,"AAAAAD+37sk=")</f>
        <v>#VALUE!</v>
      </c>
      <c r="GU102" s="22" t="e">
        <f aca="false">AND(#REF!,"AAAAAD+37so=")</f>
        <v>#VALUE!</v>
      </c>
      <c r="GV102" s="22" t="e">
        <f aca="false">AND(#REF!,"AAAAAD+37ss=")</f>
        <v>#VALUE!</v>
      </c>
      <c r="GW102" s="22" t="e">
        <f aca="false">AND(#REF!,"AAAAAD+37sw=")</f>
        <v>#VALUE!</v>
      </c>
      <c r="GX102" s="22" t="e">
        <f aca="false">AND(#REF!,"AAAAAD+37s0=")</f>
        <v>#VALUE!</v>
      </c>
      <c r="GY102" s="22" t="e">
        <f aca="false">AND(#REF!,"AAAAAD+37s4=")</f>
        <v>#VALUE!</v>
      </c>
      <c r="GZ102" s="22" t="e">
        <f aca="false">AND(#REF!,"AAAAAD+37s8=")</f>
        <v>#VALUE!</v>
      </c>
      <c r="HA102" s="22" t="e">
        <f aca="false">AND(#REF!,"AAAAAD+37tA=")</f>
        <v>#VALUE!</v>
      </c>
      <c r="HB102" s="22" t="e">
        <f aca="false">AND(#REF!,"AAAAAD+37tE=")</f>
        <v>#VALUE!</v>
      </c>
      <c r="HC102" s="22" t="e">
        <f aca="false">AND(#REF!,"AAAAAD+37tI=")</f>
        <v>#VALUE!</v>
      </c>
      <c r="HD102" s="22" t="e">
        <f aca="false">AND(#REF!,"AAAAAD+37tM=")</f>
        <v>#VALUE!</v>
      </c>
      <c r="HE102" s="22" t="e">
        <f aca="false">AND(#REF!,"AAAAAD+37tQ=")</f>
        <v>#VALUE!</v>
      </c>
      <c r="HF102" s="22" t="e">
        <f aca="false">AND(#REF!,"AAAAAD+37tU=")</f>
        <v>#VALUE!</v>
      </c>
      <c r="HG102" s="22" t="e">
        <f aca="false">AND(#REF!,"AAAAAD+37tY=")</f>
        <v>#VALUE!</v>
      </c>
      <c r="HH102" s="22" t="e">
        <f aca="false">AND(#REF!,"AAAAAD+37tc=")</f>
        <v>#VALUE!</v>
      </c>
      <c r="HI102" s="22" t="e">
        <f aca="false">AND(#REF!,"AAAAAD+37tg=")</f>
        <v>#VALUE!</v>
      </c>
      <c r="HJ102" s="22" t="e">
        <f aca="false">AND(#REF!,"AAAAAD+37tk=")</f>
        <v>#VALUE!</v>
      </c>
      <c r="HK102" s="22" t="e">
        <f aca="false">AND(#REF!,"AAAAAD+37to=")</f>
        <v>#VALUE!</v>
      </c>
      <c r="HL102" s="22" t="e">
        <f aca="false">AND(#REF!,"AAAAAD+37ts=")</f>
        <v>#VALUE!</v>
      </c>
      <c r="HM102" s="22" t="e">
        <f aca="false">AND(#REF!,"AAAAAD+37tw=")</f>
        <v>#VALUE!</v>
      </c>
      <c r="HN102" s="22" t="e">
        <f aca="false">AND(#REF!,"AAAAAD+37t0=")</f>
        <v>#VALUE!</v>
      </c>
      <c r="HO102" s="22" t="e">
        <f aca="false">AND(#REF!,"AAAAAD+37t4=")</f>
        <v>#VALUE!</v>
      </c>
      <c r="HP102" s="22" t="e">
        <f aca="false">AND(#REF!,"AAAAAD+37t8=")</f>
        <v>#VALUE!</v>
      </c>
      <c r="HQ102" s="22" t="e">
        <f aca="false">AND(#REF!,"AAAAAD+37uA=")</f>
        <v>#VALUE!</v>
      </c>
      <c r="HR102" s="22" t="e">
        <f aca="false">AND(#REF!,"AAAAAD+37uE=")</f>
        <v>#VALUE!</v>
      </c>
      <c r="HS102" s="22" t="e">
        <f aca="false">AND(#REF!,"AAAAAD+37uI=")</f>
        <v>#VALUE!</v>
      </c>
      <c r="HT102" s="22" t="e">
        <f aca="false">AND(#REF!,"AAAAAD+37uM=")</f>
        <v>#VALUE!</v>
      </c>
      <c r="HU102" s="22" t="e">
        <f aca="false">AND(#REF!,"AAAAAD+37uQ=")</f>
        <v>#VALUE!</v>
      </c>
      <c r="HV102" s="22" t="e">
        <f aca="false">AND(#REF!,"AAAAAD+37uU=")</f>
        <v>#VALUE!</v>
      </c>
      <c r="HW102" s="22" t="e">
        <f aca="false">AND(#REF!,"AAAAAD+37uY=")</f>
        <v>#VALUE!</v>
      </c>
      <c r="HX102" s="22" t="e">
        <f aca="false">AND(#REF!,"AAAAAD+37uc=")</f>
        <v>#VALUE!</v>
      </c>
      <c r="HY102" s="22" t="e">
        <f aca="false">AND(#REF!,"AAAAAD+37ug=")</f>
        <v>#VALUE!</v>
      </c>
      <c r="HZ102" s="22" t="e">
        <f aca="false">AND(#REF!,"AAAAAD+37uk=")</f>
        <v>#VALUE!</v>
      </c>
      <c r="IA102" s="22" t="e">
        <f aca="false">AND(#REF!,"AAAAAD+37uo=")</f>
        <v>#VALUE!</v>
      </c>
      <c r="IB102" s="22" t="e">
        <f aca="false">AND(#REF!,"AAAAAD+37us=")</f>
        <v>#VALUE!</v>
      </c>
      <c r="IC102" s="22" t="e">
        <f aca="false">AND(#REF!,"AAAAAD+37uw=")</f>
        <v>#VALUE!</v>
      </c>
      <c r="ID102" s="22" t="e">
        <f aca="false">AND(#REF!,"AAAAAD+37u0=")</f>
        <v>#VALUE!</v>
      </c>
      <c r="IE102" s="22" t="e">
        <f aca="false">AND(#REF!,"AAAAAD+37u4=")</f>
        <v>#VALUE!</v>
      </c>
      <c r="IF102" s="22" t="e">
        <f aca="false">AND(#REF!,"AAAAAD+37u8=")</f>
        <v>#VALUE!</v>
      </c>
      <c r="IG102" s="22" t="e">
        <f aca="false">AND(#REF!,"AAAAAD+37vA=")</f>
        <v>#VALUE!</v>
      </c>
      <c r="IH102" s="22" t="e">
        <f aca="false">AND(#REF!,"AAAAAD+37vE=")</f>
        <v>#VALUE!</v>
      </c>
      <c r="II102" s="22" t="e">
        <f aca="false">AND(#REF!,"AAAAAD+37vI=")</f>
        <v>#VALUE!</v>
      </c>
      <c r="IJ102" s="22" t="e">
        <f aca="false">AND(#REF!,"AAAAAD+37vM=")</f>
        <v>#VALUE!</v>
      </c>
      <c r="IK102" s="22" t="e">
        <f aca="false">AND(#REF!,"AAAAAD+37vQ=")</f>
        <v>#VALUE!</v>
      </c>
      <c r="IL102" s="22" t="e">
        <f aca="false">AND(#REF!,"AAAAAD+37vU=")</f>
        <v>#VALUE!</v>
      </c>
      <c r="IM102" s="22" t="e">
        <f aca="false">AND(#REF!,"AAAAAD+37vY=")</f>
        <v>#VALUE!</v>
      </c>
      <c r="IN102" s="22" t="e">
        <f aca="false">AND(#REF!,"AAAAAD+37vc=")</f>
        <v>#VALUE!</v>
      </c>
      <c r="IO102" s="22" t="e">
        <f aca="false">AND(#REF!,"AAAAAD+37vg=")</f>
        <v>#VALUE!</v>
      </c>
      <c r="IP102" s="22" t="e">
        <f aca="false">AND(#REF!,"AAAAAD+37vk=")</f>
        <v>#VALUE!</v>
      </c>
      <c r="IQ102" s="22" t="e">
        <f aca="false">AND(#REF!,"AAAAAD+37vo=")</f>
        <v>#VALUE!</v>
      </c>
      <c r="IR102" s="22" t="e">
        <f aca="false">AND(#REF!,"AAAAAD+37vs=")</f>
        <v>#VALUE!</v>
      </c>
      <c r="IS102" s="22" t="e">
        <f aca="false">AND(#REF!,"AAAAAD+37vw=")</f>
        <v>#VALUE!</v>
      </c>
      <c r="IT102" s="22" t="e">
        <f aca="false">AND(#REF!,"AAAAAD+37v0=")</f>
        <v>#VALUE!</v>
      </c>
      <c r="IU102" s="22" t="e">
        <f aca="false">AND(#REF!,"AAAAAD+37v4=")</f>
        <v>#VALUE!</v>
      </c>
      <c r="IV102" s="22" t="e">
        <f aca="false">AND(#REF!,"AAAAAD+37v8=")</f>
        <v>#VALUE!</v>
      </c>
    </row>
    <row r="103" customFormat="false" ht="12.75" hidden="false" customHeight="false" outlineLevel="0" collapsed="false">
      <c r="A103" s="22" t="e">
        <f aca="false">AND(#REF!,"AAAAACv/bgA=")</f>
        <v>#VALUE!</v>
      </c>
      <c r="B103" s="22" t="e">
        <f aca="false">AND(#REF!,"AAAAACv/bgE=")</f>
        <v>#VALUE!</v>
      </c>
      <c r="C103" s="22" t="e">
        <f aca="false">AND(#REF!,"AAAAACv/bgI=")</f>
        <v>#VALUE!</v>
      </c>
      <c r="D103" s="22" t="e">
        <f aca="false">AND(#REF!,"AAAAACv/bgM=")</f>
        <v>#VALUE!</v>
      </c>
      <c r="E103" s="22" t="e">
        <f aca="false">AND(#REF!,"AAAAACv/bgQ=")</f>
        <v>#VALUE!</v>
      </c>
      <c r="F103" s="22" t="e">
        <f aca="false">AND(#REF!,"AAAAACv/bgU=")</f>
        <v>#VALUE!</v>
      </c>
      <c r="G103" s="22" t="e">
        <f aca="false">AND(#REF!,"AAAAACv/bgY=")</f>
        <v>#VALUE!</v>
      </c>
      <c r="H103" s="22" t="e">
        <f aca="false">AND(#REF!,"AAAAACv/bgc=")</f>
        <v>#VALUE!</v>
      </c>
      <c r="I103" s="22" t="e">
        <f aca="false">AND(#REF!,"AAAAACv/bgg=")</f>
        <v>#VALUE!</v>
      </c>
      <c r="J103" s="22" t="e">
        <f aca="false">AND(#REF!,"AAAAACv/bgk=")</f>
        <v>#VALUE!</v>
      </c>
      <c r="K103" s="22" t="e">
        <f aca="false">AND(#REF!,"AAAAACv/bgo=")</f>
        <v>#VALUE!</v>
      </c>
      <c r="L103" s="22" t="e">
        <f aca="false">AND(#REF!,"AAAAACv/bgs=")</f>
        <v>#VALUE!</v>
      </c>
      <c r="M103" s="22" t="e">
        <f aca="false">AND(#REF!,"AAAAACv/bgw=")</f>
        <v>#VALUE!</v>
      </c>
      <c r="N103" s="22" t="e">
        <f aca="false">AND(#REF!,"AAAAACv/bg0=")</f>
        <v>#VALUE!</v>
      </c>
      <c r="O103" s="22" t="e">
        <f aca="false">AND(#REF!,"AAAAACv/bg4=")</f>
        <v>#VALUE!</v>
      </c>
      <c r="P103" s="22" t="e">
        <f aca="false">AND(#REF!,"AAAAACv/bg8=")</f>
        <v>#VALUE!</v>
      </c>
      <c r="Q103" s="22" t="e">
        <f aca="false">AND(#REF!,"AAAAACv/bhA=")</f>
        <v>#VALUE!</v>
      </c>
      <c r="R103" s="22" t="e">
        <f aca="false">AND(#REF!,"AAAAACv/bhE=")</f>
        <v>#VALUE!</v>
      </c>
      <c r="S103" s="22" t="e">
        <f aca="false">AND(#REF!,"AAAAACv/bhI=")</f>
        <v>#VALUE!</v>
      </c>
      <c r="T103" s="22" t="e">
        <f aca="false">AND(#REF!,"AAAAACv/bhM=")</f>
        <v>#VALUE!</v>
      </c>
      <c r="U103" s="22" t="e">
        <f aca="false">AND(#REF!,"AAAAACv/bhQ=")</f>
        <v>#VALUE!</v>
      </c>
      <c r="V103" s="22" t="e">
        <f aca="false">AND(#REF!,"AAAAACv/bhU=")</f>
        <v>#VALUE!</v>
      </c>
      <c r="W103" s="22" t="e">
        <f aca="false">AND(#REF!,"AAAAACv/bhY=")</f>
        <v>#VALUE!</v>
      </c>
      <c r="X103" s="22" t="e">
        <f aca="false">AND(#REF!,"AAAAACv/bhc=")</f>
        <v>#VALUE!</v>
      </c>
      <c r="Y103" s="22" t="e">
        <f aca="false">AND(#REF!,"AAAAACv/bhg=")</f>
        <v>#VALUE!</v>
      </c>
      <c r="Z103" s="22" t="e">
        <f aca="false">AND(#REF!,"AAAAACv/bhk=")</f>
        <v>#VALUE!</v>
      </c>
      <c r="AA103" s="22" t="e">
        <f aca="false">AND(#REF!,"AAAAACv/bho=")</f>
        <v>#VALUE!</v>
      </c>
      <c r="AB103" s="22" t="e">
        <f aca="false">AND(#REF!,"AAAAACv/bhs=")</f>
        <v>#VALUE!</v>
      </c>
      <c r="AC103" s="22" t="e">
        <f aca="false">AND(#REF!,"AAAAACv/bhw=")</f>
        <v>#VALUE!</v>
      </c>
      <c r="AD103" s="22" t="e">
        <f aca="false">AND(#REF!,"AAAAACv/bh0=")</f>
        <v>#VALUE!</v>
      </c>
      <c r="AE103" s="22" t="e">
        <f aca="false">AND(#REF!,"AAAAACv/bh4=")</f>
        <v>#VALUE!</v>
      </c>
      <c r="AF103" s="22" t="e">
        <f aca="false">AND(#REF!,"AAAAACv/bh8=")</f>
        <v>#VALUE!</v>
      </c>
      <c r="AG103" s="22" t="e">
        <f aca="false">AND(#REF!,"AAAAACv/biA=")</f>
        <v>#VALUE!</v>
      </c>
      <c r="AH103" s="22" t="e">
        <f aca="false">AND(#REF!,"AAAAACv/biE=")</f>
        <v>#VALUE!</v>
      </c>
      <c r="AI103" s="22" t="e">
        <f aca="false">AND(#REF!,"AAAAACv/biI=")</f>
        <v>#VALUE!</v>
      </c>
      <c r="AJ103" s="22" t="e">
        <f aca="false">AND(#REF!,"AAAAACv/biM=")</f>
        <v>#VALUE!</v>
      </c>
      <c r="AK103" s="22" t="e">
        <f aca="false">AND(#REF!,"AAAAACv/biQ=")</f>
        <v>#VALUE!</v>
      </c>
      <c r="AL103" s="22" t="e">
        <f aca="false">AND(#REF!,"AAAAACv/biU=")</f>
        <v>#VALUE!</v>
      </c>
      <c r="AM103" s="22" t="e">
        <f aca="false">AND(#REF!,"AAAAACv/biY=")</f>
        <v>#VALUE!</v>
      </c>
      <c r="AN103" s="22" t="e">
        <f aca="false">AND(#REF!,"AAAAACv/bic=")</f>
        <v>#VALUE!</v>
      </c>
      <c r="AO103" s="22" t="e">
        <f aca="false">AND(#REF!,"AAAAACv/big=")</f>
        <v>#VALUE!</v>
      </c>
      <c r="AP103" s="22" t="e">
        <f aca="false">AND(#REF!,"AAAAACv/bik=")</f>
        <v>#VALUE!</v>
      </c>
      <c r="AQ103" s="22" t="e">
        <f aca="false">AND(#REF!,"AAAAACv/bio=")</f>
        <v>#VALUE!</v>
      </c>
      <c r="AR103" s="22" t="e">
        <f aca="false">AND(#REF!,"AAAAACv/bis=")</f>
        <v>#VALUE!</v>
      </c>
      <c r="AS103" s="22" t="e">
        <f aca="false">AND(#REF!,"AAAAACv/biw=")</f>
        <v>#VALUE!</v>
      </c>
      <c r="AT103" s="22" t="e">
        <f aca="false">AND(#REF!,"AAAAACv/bi0=")</f>
        <v>#VALUE!</v>
      </c>
      <c r="AU103" s="22" t="e">
        <f aca="false">AND(#REF!,"AAAAACv/bi4=")</f>
        <v>#VALUE!</v>
      </c>
      <c r="AV103" s="22" t="e">
        <f aca="false">AND(#REF!,"AAAAACv/bi8=")</f>
        <v>#VALUE!</v>
      </c>
      <c r="AW103" s="22" t="e">
        <f aca="false">AND(#REF!,"AAAAACv/bjA=")</f>
        <v>#VALUE!</v>
      </c>
      <c r="AX103" s="22" t="e">
        <f aca="false">AND(#REF!,"AAAAACv/bjE=")</f>
        <v>#VALUE!</v>
      </c>
      <c r="AY103" s="22" t="e">
        <f aca="false">AND(#REF!,"AAAAACv/bjI=")</f>
        <v>#VALUE!</v>
      </c>
      <c r="AZ103" s="22" t="e">
        <f aca="false">AND(#REF!,"AAAAACv/bjM=")</f>
        <v>#VALUE!</v>
      </c>
      <c r="BA103" s="22" t="e">
        <f aca="false">AND(#REF!,"AAAAACv/bjQ=")</f>
        <v>#VALUE!</v>
      </c>
      <c r="BB103" s="22" t="e">
        <f aca="false">AND(#REF!,"AAAAACv/bjU=")</f>
        <v>#VALUE!</v>
      </c>
      <c r="BC103" s="22" t="e">
        <f aca="false">AND(#REF!,"AAAAACv/bjY=")</f>
        <v>#VALUE!</v>
      </c>
      <c r="BD103" s="22" t="e">
        <f aca="false">AND(#REF!,"AAAAACv/bjc=")</f>
        <v>#VALUE!</v>
      </c>
      <c r="BE103" s="22" t="e">
        <f aca="false">AND(#REF!,"AAAAACv/bjg=")</f>
        <v>#VALUE!</v>
      </c>
      <c r="BF103" s="22" t="e">
        <f aca="false">AND(#REF!,"AAAAACv/bjk=")</f>
        <v>#VALUE!</v>
      </c>
      <c r="BG103" s="22" t="e">
        <f aca="false">AND(#REF!,"AAAAACv/bjo=")</f>
        <v>#VALUE!</v>
      </c>
      <c r="BH103" s="22" t="e">
        <f aca="false">AND(#REF!,"AAAAACv/bjs=")</f>
        <v>#VALUE!</v>
      </c>
      <c r="BI103" s="22" t="e">
        <f aca="false">AND(#REF!,"AAAAACv/bjw=")</f>
        <v>#VALUE!</v>
      </c>
      <c r="BJ103" s="22" t="e">
        <f aca="false">AND(#REF!,"AAAAACv/bj0=")</f>
        <v>#VALUE!</v>
      </c>
      <c r="BK103" s="22" t="e">
        <f aca="false">AND(#REF!,"AAAAACv/bj4=")</f>
        <v>#VALUE!</v>
      </c>
      <c r="BL103" s="22" t="e">
        <f aca="false">AND(#REF!,"AAAAACv/bj8=")</f>
        <v>#VALUE!</v>
      </c>
      <c r="BM103" s="22" t="e">
        <f aca="false">AND(#REF!,"AAAAACv/bkA=")</f>
        <v>#VALUE!</v>
      </c>
      <c r="BN103" s="22" t="e">
        <f aca="false">AND(#REF!,"AAAAACv/bkE=")</f>
        <v>#VALUE!</v>
      </c>
      <c r="BO103" s="22" t="e">
        <f aca="false">AND(#REF!,"AAAAACv/bkI=")</f>
        <v>#VALUE!</v>
      </c>
      <c r="BP103" s="22" t="e">
        <f aca="false">AND(#REF!,"AAAAACv/bkM=")</f>
        <v>#VALUE!</v>
      </c>
      <c r="BQ103" s="22" t="e">
        <f aca="false">AND(#REF!,"AAAAACv/bkQ=")</f>
        <v>#VALUE!</v>
      </c>
      <c r="BR103" s="22" t="e">
        <f aca="false">AND(#REF!,"AAAAACv/bkU=")</f>
        <v>#VALUE!</v>
      </c>
      <c r="BS103" s="22" t="e">
        <f aca="false">AND(#REF!,"AAAAACv/bkY=")</f>
        <v>#VALUE!</v>
      </c>
      <c r="BT103" s="22" t="e">
        <f aca="false">AND(#REF!,"AAAAACv/bkc=")</f>
        <v>#VALUE!</v>
      </c>
      <c r="BU103" s="22" t="e">
        <f aca="false">AND(#REF!,"AAAAACv/bkg=")</f>
        <v>#VALUE!</v>
      </c>
      <c r="BV103" s="22" t="e">
        <f aca="false">AND(#REF!,"AAAAACv/bkk=")</f>
        <v>#VALUE!</v>
      </c>
      <c r="BW103" s="22" t="e">
        <f aca="false">AND(#REF!,"AAAAACv/bko=")</f>
        <v>#VALUE!</v>
      </c>
      <c r="BX103" s="22" t="e">
        <f aca="false">AND(#REF!,"AAAAACv/bks=")</f>
        <v>#VALUE!</v>
      </c>
      <c r="BY103" s="22" t="e">
        <f aca="false">AND(#REF!,"AAAAACv/bkw=")</f>
        <v>#VALUE!</v>
      </c>
      <c r="BZ103" s="22" t="e">
        <f aca="false">AND(#REF!,"AAAAACv/bk0=")</f>
        <v>#VALUE!</v>
      </c>
      <c r="CA103" s="22" t="e">
        <f aca="false">AND(#REF!,"AAAAACv/bk4=")</f>
        <v>#VALUE!</v>
      </c>
      <c r="CB103" s="22" t="e">
        <f aca="false">AND(#REF!,"AAAAACv/bk8=")</f>
        <v>#VALUE!</v>
      </c>
      <c r="CC103" s="22" t="e">
        <f aca="false">AND(#REF!,"AAAAACv/blA=")</f>
        <v>#VALUE!</v>
      </c>
      <c r="CD103" s="22" t="e">
        <f aca="false">AND(#REF!,"AAAAACv/blE=")</f>
        <v>#VALUE!</v>
      </c>
      <c r="CE103" s="22" t="e">
        <f aca="false">AND(#REF!,"AAAAACv/blI=")</f>
        <v>#VALUE!</v>
      </c>
      <c r="CF103" s="22" t="e">
        <f aca="false">AND(#REF!,"AAAAACv/blM=")</f>
        <v>#VALUE!</v>
      </c>
      <c r="CG103" s="22" t="e">
        <f aca="false">AND(#REF!,"AAAAACv/blQ=")</f>
        <v>#VALUE!</v>
      </c>
      <c r="CH103" s="22" t="e">
        <f aca="false">AND(#REF!,"AAAAACv/blU=")</f>
        <v>#VALUE!</v>
      </c>
      <c r="CI103" s="22" t="e">
        <f aca="false">AND(#REF!,"AAAAACv/blY=")</f>
        <v>#VALUE!</v>
      </c>
      <c r="CJ103" s="22" t="e">
        <f aca="false">AND(#REF!,"AAAAACv/blc=")</f>
        <v>#VALUE!</v>
      </c>
      <c r="CK103" s="22" t="e">
        <f aca="false">AND(#REF!,"AAAAACv/blg=")</f>
        <v>#VALUE!</v>
      </c>
      <c r="CL103" s="22" t="e">
        <f aca="false">AND(#REF!,"AAAAACv/blk=")</f>
        <v>#VALUE!</v>
      </c>
      <c r="CM103" s="22" t="e">
        <f aca="false">AND(#REF!,"AAAAACv/blo=")</f>
        <v>#VALUE!</v>
      </c>
      <c r="CN103" s="22" t="e">
        <f aca="false">AND(#REF!,"AAAAACv/bls=")</f>
        <v>#VALUE!</v>
      </c>
      <c r="CO103" s="22" t="e">
        <f aca="false">AND(#REF!,"AAAAACv/blw=")</f>
        <v>#VALUE!</v>
      </c>
      <c r="CP103" s="22" t="e">
        <f aca="false">AND(#REF!,"AAAAACv/bl0=")</f>
        <v>#VALUE!</v>
      </c>
      <c r="CQ103" s="22" t="e">
        <f aca="false">AND(#REF!,"AAAAACv/bl4=")</f>
        <v>#VALUE!</v>
      </c>
      <c r="CR103" s="22" t="e">
        <f aca="false">AND(#REF!,"AAAAACv/bl8=")</f>
        <v>#VALUE!</v>
      </c>
      <c r="CS103" s="22" t="e">
        <f aca="false">AND(#REF!,"AAAAACv/bmA=")</f>
        <v>#VALUE!</v>
      </c>
      <c r="CT103" s="22" t="e">
        <f aca="false">AND(#REF!,"AAAAACv/bmE=")</f>
        <v>#VALUE!</v>
      </c>
      <c r="CU103" s="22" t="e">
        <f aca="false">AND(#REF!,"AAAAACv/bmI=")</f>
        <v>#VALUE!</v>
      </c>
      <c r="CV103" s="22" t="e">
        <f aca="false">AND(#REF!,"AAAAACv/bmM=")</f>
        <v>#VALUE!</v>
      </c>
      <c r="CW103" s="22" t="e">
        <f aca="false">AND(#REF!,"AAAAACv/bmQ=")</f>
        <v>#VALUE!</v>
      </c>
      <c r="CX103" s="22" t="e">
        <f aca="false">AND(#REF!,"AAAAACv/bmU=")</f>
        <v>#VALUE!</v>
      </c>
      <c r="CY103" s="22" t="e">
        <f aca="false">AND(#REF!,"AAAAACv/bmY=")</f>
        <v>#VALUE!</v>
      </c>
      <c r="CZ103" s="22" t="e">
        <f aca="false">AND(#REF!,"AAAAACv/bmc=")</f>
        <v>#VALUE!</v>
      </c>
      <c r="DA103" s="22" t="e">
        <f aca="false">AND(#REF!,"AAAAACv/bmg=")</f>
        <v>#VALUE!</v>
      </c>
      <c r="DB103" s="22" t="e">
        <f aca="false">AND(#REF!,"AAAAACv/bmk=")</f>
        <v>#VALUE!</v>
      </c>
      <c r="DC103" s="22" t="e">
        <f aca="false">AND(#REF!,"AAAAACv/bmo=")</f>
        <v>#VALUE!</v>
      </c>
      <c r="DD103" s="22" t="e">
        <f aca="false">AND(#REF!,"AAAAACv/bms=")</f>
        <v>#VALUE!</v>
      </c>
      <c r="DE103" s="22" t="e">
        <f aca="false">AND(#REF!,"AAAAACv/bmw=")</f>
        <v>#VALUE!</v>
      </c>
      <c r="DF103" s="22" t="e">
        <f aca="false">AND(#REF!,"AAAAACv/bm0=")</f>
        <v>#VALUE!</v>
      </c>
      <c r="DG103" s="22" t="e">
        <f aca="false">AND(#REF!,"AAAAACv/bm4=")</f>
        <v>#VALUE!</v>
      </c>
      <c r="DH103" s="22" t="e">
        <f aca="false">AND(#REF!,"AAAAACv/bm8=")</f>
        <v>#VALUE!</v>
      </c>
      <c r="DI103" s="22" t="e">
        <f aca="false">AND(#REF!,"AAAAACv/bnA=")</f>
        <v>#VALUE!</v>
      </c>
      <c r="DJ103" s="22" t="e">
        <f aca="false">AND(#REF!,"AAAAACv/bnE=")</f>
        <v>#VALUE!</v>
      </c>
      <c r="DK103" s="22" t="e">
        <f aca="false">AND(#REF!,"AAAAACv/bnI=")</f>
        <v>#VALUE!</v>
      </c>
      <c r="DL103" s="22" t="e">
        <f aca="false">AND(#REF!,"AAAAACv/bnM=")</f>
        <v>#VALUE!</v>
      </c>
      <c r="DM103" s="22" t="e">
        <f aca="false">AND(#REF!,"AAAAACv/bnQ=")</f>
        <v>#VALUE!</v>
      </c>
      <c r="DN103" s="22" t="e">
        <f aca="false">AND(#REF!,"AAAAACv/bnU=")</f>
        <v>#VALUE!</v>
      </c>
      <c r="DO103" s="22" t="e">
        <f aca="false">AND(#REF!,"AAAAACv/bnY=")</f>
        <v>#VALUE!</v>
      </c>
      <c r="DP103" s="22" t="e">
        <f aca="false">AND(#REF!,"AAAAACv/bnc=")</f>
        <v>#VALUE!</v>
      </c>
      <c r="DQ103" s="22" t="e">
        <f aca="false">AND(#REF!,"AAAAACv/bng=")</f>
        <v>#VALUE!</v>
      </c>
      <c r="DR103" s="22" t="e">
        <f aca="false">AND(#REF!,"AAAAACv/bnk=")</f>
        <v>#VALUE!</v>
      </c>
      <c r="DS103" s="22" t="e">
        <f aca="false">AND(#REF!,"AAAAACv/bno=")</f>
        <v>#VALUE!</v>
      </c>
      <c r="DT103" s="22" t="e">
        <f aca="false">AND(#REF!,"AAAAACv/bns=")</f>
        <v>#VALUE!</v>
      </c>
      <c r="DU103" s="22" t="e">
        <f aca="false">AND(#REF!,"AAAAACv/bnw=")</f>
        <v>#VALUE!</v>
      </c>
      <c r="DV103" s="22" t="e">
        <f aca="false">AND(#REF!,"AAAAACv/bn0=")</f>
        <v>#VALUE!</v>
      </c>
      <c r="DW103" s="22" t="e">
        <f aca="false">AND(#REF!,"AAAAACv/bn4=")</f>
        <v>#VALUE!</v>
      </c>
      <c r="DX103" s="22" t="e">
        <f aca="false">AND(#REF!,"AAAAACv/bn8=")</f>
        <v>#VALUE!</v>
      </c>
      <c r="DY103" s="22" t="e">
        <f aca="false">AND(#REF!,"AAAAACv/boA=")</f>
        <v>#VALUE!</v>
      </c>
      <c r="DZ103" s="22" t="e">
        <f aca="false">AND(#REF!,"AAAAACv/boE=")</f>
        <v>#VALUE!</v>
      </c>
      <c r="EA103" s="22" t="e">
        <f aca="false">AND(#REF!,"AAAAACv/boI=")</f>
        <v>#VALUE!</v>
      </c>
      <c r="EB103" s="22" t="e">
        <f aca="false">AND(#REF!,"AAAAACv/boM=")</f>
        <v>#VALUE!</v>
      </c>
      <c r="EC103" s="22" t="e">
        <f aca="false">AND(#REF!,"AAAAACv/boQ=")</f>
        <v>#VALUE!</v>
      </c>
      <c r="ED103" s="22" t="e">
        <f aca="false">AND(#REF!,"AAAAACv/boU=")</f>
        <v>#VALUE!</v>
      </c>
      <c r="EE103" s="22" t="e">
        <f aca="false">AND(#REF!,"AAAAACv/boY=")</f>
        <v>#VALUE!</v>
      </c>
      <c r="EF103" s="22" t="e">
        <f aca="false">AND(#REF!,"AAAAACv/boc=")</f>
        <v>#VALUE!</v>
      </c>
      <c r="EG103" s="22" t="e">
        <f aca="false">AND(#REF!,"AAAAACv/bog=")</f>
        <v>#VALUE!</v>
      </c>
      <c r="EH103" s="22" t="e">
        <f aca="false">AND(#REF!,"AAAAACv/bok=")</f>
        <v>#VALUE!</v>
      </c>
      <c r="EI103" s="22" t="e">
        <f aca="false">AND(#REF!,"AAAAACv/boo=")</f>
        <v>#VALUE!</v>
      </c>
      <c r="EJ103" s="22" t="e">
        <f aca="false">AND(#REF!,"AAAAACv/bos=")</f>
        <v>#VALUE!</v>
      </c>
      <c r="EK103" s="22" t="e">
        <f aca="false">AND(#REF!,"AAAAACv/bow=")</f>
        <v>#VALUE!</v>
      </c>
      <c r="EL103" s="22" t="e">
        <f aca="false">AND(#REF!,"AAAAACv/bo0=")</f>
        <v>#VALUE!</v>
      </c>
      <c r="EM103" s="22" t="e">
        <f aca="false">AND(#REF!,"AAAAACv/bo4=")</f>
        <v>#VALUE!</v>
      </c>
      <c r="EN103" s="22" t="e">
        <f aca="false">AND(#REF!,"AAAAACv/bo8=")</f>
        <v>#VALUE!</v>
      </c>
      <c r="EO103" s="22" t="e">
        <f aca="false">AND(#REF!,"AAAAACv/bpA=")</f>
        <v>#VALUE!</v>
      </c>
      <c r="EP103" s="22" t="e">
        <f aca="false">AND(#REF!,"AAAAACv/bpE=")</f>
        <v>#VALUE!</v>
      </c>
      <c r="EQ103" s="22" t="e">
        <f aca="false">AND(#REF!,"AAAAACv/bpI=")</f>
        <v>#VALUE!</v>
      </c>
      <c r="ER103" s="22" t="e">
        <f aca="false">AND(#REF!,"AAAAACv/bpM=")</f>
        <v>#VALUE!</v>
      </c>
      <c r="ES103" s="22" t="e">
        <f aca="false">AND(#REF!,"AAAAACv/bpQ=")</f>
        <v>#VALUE!</v>
      </c>
      <c r="ET103" s="22" t="e">
        <f aca="false">AND(#REF!,"AAAAACv/bpU=")</f>
        <v>#VALUE!</v>
      </c>
      <c r="EU103" s="22" t="e">
        <f aca="false">AND(#REF!,"AAAAACv/bpY=")</f>
        <v>#VALUE!</v>
      </c>
      <c r="EV103" s="22" t="e">
        <f aca="false">AND(#REF!,"AAAAACv/bpc=")</f>
        <v>#VALUE!</v>
      </c>
      <c r="EW103" s="22" t="e">
        <f aca="false">AND(#REF!,"AAAAACv/bpg=")</f>
        <v>#VALUE!</v>
      </c>
      <c r="EX103" s="22" t="e">
        <f aca="false">AND(#REF!,"AAAAACv/bpk=")</f>
        <v>#VALUE!</v>
      </c>
      <c r="EY103" s="22" t="e">
        <f aca="false">AND(#REF!,"AAAAACv/bpo=")</f>
        <v>#VALUE!</v>
      </c>
      <c r="EZ103" s="22" t="e">
        <f aca="false">AND(#REF!,"AAAAACv/bps=")</f>
        <v>#VALUE!</v>
      </c>
      <c r="FA103" s="22" t="e">
        <f aca="false">AND(#REF!,"AAAAACv/bpw=")</f>
        <v>#VALUE!</v>
      </c>
      <c r="FB103" s="22" t="e">
        <f aca="false">AND(#REF!,"AAAAACv/bp0=")</f>
        <v>#VALUE!</v>
      </c>
      <c r="FC103" s="22" t="e">
        <f aca="false">AND(#REF!,"AAAAACv/bp4=")</f>
        <v>#VALUE!</v>
      </c>
      <c r="FD103" s="22" t="e">
        <f aca="false">AND(#REF!,"AAAAACv/bp8=")</f>
        <v>#VALUE!</v>
      </c>
      <c r="FE103" s="22" t="e">
        <f aca="false">AND(#REF!,"AAAAACv/bqA=")</f>
        <v>#VALUE!</v>
      </c>
      <c r="FF103" s="22" t="e">
        <f aca="false">AND(#REF!,"AAAAACv/bqE=")</f>
        <v>#VALUE!</v>
      </c>
      <c r="FG103" s="22" t="e">
        <f aca="false">AND(#REF!,"AAAAACv/bqI=")</f>
        <v>#VALUE!</v>
      </c>
      <c r="FH103" s="22" t="e">
        <f aca="false">AND(#REF!,"AAAAACv/bqM=")</f>
        <v>#VALUE!</v>
      </c>
      <c r="FI103" s="22" t="e">
        <f aca="false">AND(#REF!,"AAAAACv/bqQ=")</f>
        <v>#VALUE!</v>
      </c>
      <c r="FJ103" s="22" t="e">
        <f aca="false">AND(#REF!,"AAAAACv/bqU=")</f>
        <v>#VALUE!</v>
      </c>
      <c r="FK103" s="22" t="e">
        <f aca="false">AND(#REF!,"AAAAACv/bqY=")</f>
        <v>#VALUE!</v>
      </c>
      <c r="FL103" s="22" t="e">
        <f aca="false">AND(#REF!,"AAAAACv/bqc=")</f>
        <v>#VALUE!</v>
      </c>
      <c r="FM103" s="22" t="e">
        <f aca="false">AND(#REF!,"AAAAACv/bqg=")</f>
        <v>#VALUE!</v>
      </c>
      <c r="FN103" s="22" t="e">
        <f aca="false">AND(#REF!,"AAAAACv/bqk=")</f>
        <v>#VALUE!</v>
      </c>
      <c r="FO103" s="22" t="e">
        <f aca="false">AND(#REF!,"AAAAACv/bqo=")</f>
        <v>#VALUE!</v>
      </c>
      <c r="FP103" s="22" t="e">
        <f aca="false">AND(#REF!,"AAAAACv/bqs=")</f>
        <v>#VALUE!</v>
      </c>
      <c r="FQ103" s="22" t="e">
        <f aca="false">AND(#REF!,"AAAAACv/bqw=")</f>
        <v>#VALUE!</v>
      </c>
      <c r="FR103" s="22" t="e">
        <f aca="false">AND(#REF!,"AAAAACv/bq0=")</f>
        <v>#VALUE!</v>
      </c>
      <c r="FS103" s="22" t="e">
        <f aca="false">AND(#REF!,"AAAAACv/bq4=")</f>
        <v>#VALUE!</v>
      </c>
      <c r="FT103" s="22" t="e">
        <f aca="false">AND(#REF!,"AAAAACv/bq8=")</f>
        <v>#VALUE!</v>
      </c>
      <c r="FU103" s="22" t="e">
        <f aca="false">AND(#REF!,"AAAAACv/brA=")</f>
        <v>#VALUE!</v>
      </c>
      <c r="FV103" s="22" t="e">
        <f aca="false">AND(#REF!,"AAAAACv/brE=")</f>
        <v>#VALUE!</v>
      </c>
      <c r="FW103" s="22" t="e">
        <f aca="false">AND(#REF!,"AAAAACv/brI=")</f>
        <v>#VALUE!</v>
      </c>
      <c r="FX103" s="22" t="e">
        <f aca="false">AND(#REF!,"AAAAACv/brM=")</f>
        <v>#VALUE!</v>
      </c>
      <c r="FY103" s="22" t="e">
        <f aca="false">AND(#REF!,"AAAAACv/brQ=")</f>
        <v>#VALUE!</v>
      </c>
      <c r="FZ103" s="22" t="e">
        <f aca="false">AND(#REF!,"AAAAACv/brU=")</f>
        <v>#VALUE!</v>
      </c>
      <c r="GA103" s="22" t="e">
        <f aca="false">AND(#REF!,"AAAAACv/brY=")</f>
        <v>#VALUE!</v>
      </c>
      <c r="GB103" s="22" t="e">
        <f aca="false">AND(#REF!,"AAAAACv/brc=")</f>
        <v>#VALUE!</v>
      </c>
      <c r="GC103" s="22" t="e">
        <f aca="false">AND(#REF!,"AAAAACv/brg=")</f>
        <v>#VALUE!</v>
      </c>
      <c r="GD103" s="22" t="e">
        <f aca="false">AND(#REF!,"AAAAACv/brk=")</f>
        <v>#VALUE!</v>
      </c>
      <c r="GE103" s="22" t="e">
        <f aca="false">AND(#REF!,"AAAAACv/bro=")</f>
        <v>#VALUE!</v>
      </c>
      <c r="GF103" s="22" t="e">
        <f aca="false">AND(#REF!,"AAAAACv/brs=")</f>
        <v>#VALUE!</v>
      </c>
      <c r="GG103" s="22" t="e">
        <f aca="false">AND(#REF!,"AAAAACv/brw=")</f>
        <v>#VALUE!</v>
      </c>
      <c r="GH103" s="22" t="e">
        <f aca="false">AND(#REF!,"AAAAACv/br0=")</f>
        <v>#VALUE!</v>
      </c>
      <c r="GI103" s="22" t="e">
        <f aca="false">AND(#REF!,"AAAAACv/br4=")</f>
        <v>#VALUE!</v>
      </c>
      <c r="GJ103" s="22" t="e">
        <f aca="false">AND(#REF!,"AAAAACv/br8=")</f>
        <v>#VALUE!</v>
      </c>
      <c r="GK103" s="22" t="e">
        <f aca="false">AND(#REF!,"AAAAACv/bsA=")</f>
        <v>#VALUE!</v>
      </c>
      <c r="GL103" s="22" t="e">
        <f aca="false">AND(#REF!,"AAAAACv/bsE=")</f>
        <v>#VALUE!</v>
      </c>
      <c r="GM103" s="22" t="e">
        <f aca="false">AND(#REF!,"AAAAACv/bsI=")</f>
        <v>#VALUE!</v>
      </c>
      <c r="GN103" s="22" t="e">
        <f aca="false">AND(#REF!,"AAAAACv/bsM=")</f>
        <v>#VALUE!</v>
      </c>
      <c r="GO103" s="22" t="e">
        <f aca="false">AND(#REF!,"AAAAACv/bsQ=")</f>
        <v>#VALUE!</v>
      </c>
      <c r="GP103" s="22" t="e">
        <f aca="false">AND(#REF!,"AAAAACv/bsU=")</f>
        <v>#VALUE!</v>
      </c>
      <c r="GQ103" s="22" t="e">
        <f aca="false">AND(#REF!,"AAAAACv/bsY=")</f>
        <v>#VALUE!</v>
      </c>
      <c r="GR103" s="22" t="e">
        <f aca="false">AND(#REF!,"AAAAACv/bsc=")</f>
        <v>#VALUE!</v>
      </c>
      <c r="GS103" s="22" t="e">
        <f aca="false">AND(#REF!,"AAAAACv/bsg=")</f>
        <v>#VALUE!</v>
      </c>
      <c r="GT103" s="22" t="e">
        <f aca="false">AND(#REF!,"AAAAACv/bsk=")</f>
        <v>#VALUE!</v>
      </c>
      <c r="GU103" s="22" t="e">
        <f aca="false">AND(#REF!,"AAAAACv/bso=")</f>
        <v>#VALUE!</v>
      </c>
      <c r="GV103" s="22" t="e">
        <f aca="false">AND(#REF!,"AAAAACv/bss=")</f>
        <v>#VALUE!</v>
      </c>
      <c r="GW103" s="22" t="e">
        <f aca="false">AND(#REF!,"AAAAACv/bsw=")</f>
        <v>#VALUE!</v>
      </c>
      <c r="GX103" s="22" t="e">
        <f aca="false">AND(#REF!,"AAAAACv/bs0=")</f>
        <v>#VALUE!</v>
      </c>
      <c r="GY103" s="22" t="e">
        <f aca="false">AND(#REF!,"AAAAACv/bs4=")</f>
        <v>#VALUE!</v>
      </c>
      <c r="GZ103" s="22" t="e">
        <f aca="false">AND(#REF!,"AAAAACv/bs8=")</f>
        <v>#VALUE!</v>
      </c>
      <c r="HA103" s="22" t="e">
        <f aca="false">AND(#REF!,"AAAAACv/btA=")</f>
        <v>#VALUE!</v>
      </c>
      <c r="HB103" s="22" t="e">
        <f aca="false">AND(#REF!,"AAAAACv/btE=")</f>
        <v>#VALUE!</v>
      </c>
      <c r="HC103" s="22" t="e">
        <f aca="false">AND(#REF!,"AAAAACv/btI=")</f>
        <v>#VALUE!</v>
      </c>
      <c r="HD103" s="22" t="e">
        <f aca="false">AND(#REF!,"AAAAACv/btM=")</f>
        <v>#VALUE!</v>
      </c>
      <c r="HE103" s="22" t="e">
        <f aca="false">AND(#REF!,"AAAAACv/btQ=")</f>
        <v>#VALUE!</v>
      </c>
      <c r="HF103" s="22" t="e">
        <f aca="false">AND(#REF!,"AAAAACv/btU=")</f>
        <v>#VALUE!</v>
      </c>
      <c r="HG103" s="22" t="e">
        <f aca="false">AND(#REF!,"AAAAACv/btY=")</f>
        <v>#VALUE!</v>
      </c>
      <c r="HH103" s="22" t="e">
        <f aca="false">AND(#REF!,"AAAAACv/btc=")</f>
        <v>#VALUE!</v>
      </c>
      <c r="HI103" s="22" t="e">
        <f aca="false">AND(#REF!,"AAAAACv/btg=")</f>
        <v>#VALUE!</v>
      </c>
      <c r="HJ103" s="22" t="e">
        <f aca="false">AND(#REF!,"AAAAACv/btk=")</f>
        <v>#VALUE!</v>
      </c>
      <c r="HK103" s="22" t="e">
        <f aca="false">AND(#REF!,"AAAAACv/bto=")</f>
        <v>#VALUE!</v>
      </c>
      <c r="HL103" s="22" t="e">
        <f aca="false">AND(#REF!,"AAAAACv/bts=")</f>
        <v>#VALUE!</v>
      </c>
      <c r="HM103" s="22" t="e">
        <f aca="false">AND(#REF!,"AAAAACv/btw=")</f>
        <v>#VALUE!</v>
      </c>
      <c r="HN103" s="22" t="e">
        <f aca="false">AND(#REF!,"AAAAACv/bt0=")</f>
        <v>#VALUE!</v>
      </c>
      <c r="HO103" s="22" t="e">
        <f aca="false">AND(#REF!,"AAAAACv/bt4=")</f>
        <v>#VALUE!</v>
      </c>
      <c r="HP103" s="22" t="e">
        <f aca="false">AND(#REF!,"AAAAACv/bt8=")</f>
        <v>#VALUE!</v>
      </c>
      <c r="HQ103" s="22" t="e">
        <f aca="false">AND(#REF!,"AAAAACv/buA=")</f>
        <v>#VALUE!</v>
      </c>
      <c r="HR103" s="22" t="e">
        <f aca="false">AND(#REF!,"AAAAACv/buE=")</f>
        <v>#VALUE!</v>
      </c>
      <c r="HS103" s="22" t="e">
        <f aca="false">AND(#REF!,"AAAAACv/buI=")</f>
        <v>#VALUE!</v>
      </c>
      <c r="HT103" s="22" t="e">
        <f aca="false">AND(#REF!,"AAAAACv/buM=")</f>
        <v>#VALUE!</v>
      </c>
      <c r="HU103" s="22" t="e">
        <f aca="false">AND(#REF!,"AAAAACv/buQ=")</f>
        <v>#VALUE!</v>
      </c>
      <c r="HV103" s="22" t="e">
        <f aca="false">AND(#REF!,"AAAAACv/buU=")</f>
        <v>#VALUE!</v>
      </c>
      <c r="HW103" s="22" t="e">
        <f aca="false">AND(#REF!,"AAAAACv/buY=")</f>
        <v>#VALUE!</v>
      </c>
      <c r="HX103" s="22" t="e">
        <f aca="false">AND(#REF!,"AAAAACv/buc=")</f>
        <v>#VALUE!</v>
      </c>
      <c r="HY103" s="22" t="e">
        <f aca="false">AND(#REF!,"AAAAACv/bug=")</f>
        <v>#VALUE!</v>
      </c>
      <c r="HZ103" s="22" t="e">
        <f aca="false">AND(#REF!,"AAAAACv/buk=")</f>
        <v>#VALUE!</v>
      </c>
      <c r="IA103" s="22" t="e">
        <f aca="false">AND(#REF!,"AAAAACv/buo=")</f>
        <v>#VALUE!</v>
      </c>
      <c r="IB103" s="22" t="e">
        <f aca="false">AND(#REF!,"AAAAACv/bus=")</f>
        <v>#VALUE!</v>
      </c>
      <c r="IC103" s="22" t="e">
        <f aca="false">AND(#REF!,"AAAAACv/buw=")</f>
        <v>#VALUE!</v>
      </c>
      <c r="ID103" s="22" t="e">
        <f aca="false">AND(#REF!,"AAAAACv/bu0=")</f>
        <v>#VALUE!</v>
      </c>
      <c r="IE103" s="22" t="e">
        <f aca="false">AND(#REF!,"AAAAACv/bu4=")</f>
        <v>#VALUE!</v>
      </c>
      <c r="IF103" s="22" t="e">
        <f aca="false">AND(#REF!,"AAAAACv/bu8=")</f>
        <v>#VALUE!</v>
      </c>
      <c r="IG103" s="22" t="e">
        <f aca="false">AND(#REF!,"AAAAACv/bvA=")</f>
        <v>#VALUE!</v>
      </c>
      <c r="IH103" s="22" t="e">
        <f aca="false">AND(#REF!,"AAAAACv/bvE=")</f>
        <v>#VALUE!</v>
      </c>
      <c r="II103" s="22" t="e">
        <f aca="false">AND(#REF!,"AAAAACv/bvI=")</f>
        <v>#VALUE!</v>
      </c>
      <c r="IJ103" s="22" t="e">
        <f aca="false">AND(#REF!,"AAAAACv/bvM=")</f>
        <v>#VALUE!</v>
      </c>
      <c r="IK103" s="22" t="e">
        <f aca="false">AND(#REF!,"AAAAACv/bvQ=")</f>
        <v>#VALUE!</v>
      </c>
      <c r="IL103" s="22" t="e">
        <f aca="false">AND(#REF!,"AAAAACv/bvU=")</f>
        <v>#VALUE!</v>
      </c>
      <c r="IM103" s="22" t="e">
        <f aca="false">AND(#REF!,"AAAAACv/bvY=")</f>
        <v>#VALUE!</v>
      </c>
      <c r="IN103" s="22" t="e">
        <f aca="false">AND(#REF!,"AAAAACv/bvc=")</f>
        <v>#VALUE!</v>
      </c>
      <c r="IO103" s="22" t="e">
        <f aca="false">AND(#REF!,"AAAAACv/bvg=")</f>
        <v>#VALUE!</v>
      </c>
      <c r="IP103" s="22" t="e">
        <f aca="false">AND(#REF!,"AAAAACv/bvk=")</f>
        <v>#VALUE!</v>
      </c>
      <c r="IQ103" s="22" t="e">
        <f aca="false">AND(#REF!,"AAAAACv/bvo=")</f>
        <v>#VALUE!</v>
      </c>
      <c r="IR103" s="22" t="e">
        <f aca="false">AND(#REF!,"AAAAACv/bvs=")</f>
        <v>#VALUE!</v>
      </c>
      <c r="IS103" s="22" t="e">
        <f aca="false">AND(#REF!,"AAAAACv/bvw=")</f>
        <v>#VALUE!</v>
      </c>
      <c r="IT103" s="22" t="e">
        <f aca="false">AND(#REF!,"AAAAACv/bv0=")</f>
        <v>#VALUE!</v>
      </c>
      <c r="IU103" s="22" t="e">
        <f aca="false">AND(#REF!,"AAAAACv/bv4=")</f>
        <v>#VALUE!</v>
      </c>
      <c r="IV103" s="22" t="e">
        <f aca="false">AND(#REF!,"AAAAACv/bv8=")</f>
        <v>#VALUE!</v>
      </c>
    </row>
    <row r="104" customFormat="false" ht="12.75" hidden="false" customHeight="false" outlineLevel="0" collapsed="false">
      <c r="A104" s="22" t="e">
        <f aca="false">AND(#REF!,"AAAAAD2vvQA=")</f>
        <v>#VALUE!</v>
      </c>
      <c r="B104" s="22" t="e">
        <f aca="false">AND(#REF!,"AAAAAD2vvQE=")</f>
        <v>#VALUE!</v>
      </c>
      <c r="C104" s="22" t="e">
        <f aca="false">IF(#REF!,"AAAAAD2vvQI=",0)</f>
        <v>#REF!</v>
      </c>
      <c r="D104" s="22" t="e">
        <f aca="false">AND(#REF!,"AAAAAD2vvQM=")</f>
        <v>#VALUE!</v>
      </c>
      <c r="E104" s="22" t="e">
        <f aca="false">AND(#REF!,"AAAAAD2vvQQ=")</f>
        <v>#VALUE!</v>
      </c>
      <c r="F104" s="22" t="e">
        <f aca="false">AND(#REF!,"AAAAAD2vvQU=")</f>
        <v>#VALUE!</v>
      </c>
      <c r="G104" s="22" t="e">
        <f aca="false">AND(#REF!,"AAAAAD2vvQY=")</f>
        <v>#VALUE!</v>
      </c>
      <c r="H104" s="22" t="e">
        <f aca="false">AND(#REF!,"AAAAAD2vvQc=")</f>
        <v>#VALUE!</v>
      </c>
      <c r="I104" s="22" t="e">
        <f aca="false">AND(#REF!,"AAAAAD2vvQg=")</f>
        <v>#VALUE!</v>
      </c>
      <c r="J104" s="22" t="e">
        <f aca="false">AND(#REF!,"AAAAAD2vvQk=")</f>
        <v>#VALUE!</v>
      </c>
      <c r="K104" s="22" t="e">
        <f aca="false">AND(#REF!,"AAAAAD2vvQo=")</f>
        <v>#VALUE!</v>
      </c>
      <c r="L104" s="22" t="e">
        <f aca="false">AND(#REF!,"AAAAAD2vvQs=")</f>
        <v>#VALUE!</v>
      </c>
      <c r="M104" s="22" t="e">
        <f aca="false">AND(#REF!,"AAAAAD2vvQw=")</f>
        <v>#VALUE!</v>
      </c>
      <c r="N104" s="22" t="e">
        <f aca="false">AND(#REF!,"AAAAAD2vvQ0=")</f>
        <v>#VALUE!</v>
      </c>
      <c r="O104" s="22" t="e">
        <f aca="false">AND(#REF!,"AAAAAD2vvQ4=")</f>
        <v>#VALUE!</v>
      </c>
      <c r="P104" s="22" t="e">
        <f aca="false">AND(#REF!,"AAAAAD2vvQ8=")</f>
        <v>#VALUE!</v>
      </c>
      <c r="Q104" s="22" t="e">
        <f aca="false">AND(#REF!,"AAAAAD2vvRA=")</f>
        <v>#VALUE!</v>
      </c>
      <c r="R104" s="22" t="e">
        <f aca="false">AND(#REF!,"AAAAAD2vvRE=")</f>
        <v>#VALUE!</v>
      </c>
      <c r="S104" s="22" t="e">
        <f aca="false">AND(#REF!,"AAAAAD2vvRI=")</f>
        <v>#VALUE!</v>
      </c>
      <c r="T104" s="22" t="e">
        <f aca="false">AND(#REF!,"AAAAAD2vvRM=")</f>
        <v>#VALUE!</v>
      </c>
      <c r="U104" s="22" t="e">
        <f aca="false">AND(#REF!,"AAAAAD2vvRQ=")</f>
        <v>#VALUE!</v>
      </c>
      <c r="V104" s="22" t="e">
        <f aca="false">AND(#REF!,"AAAAAD2vvRU=")</f>
        <v>#VALUE!</v>
      </c>
      <c r="W104" s="22" t="e">
        <f aca="false">AND(#REF!,"AAAAAD2vvRY=")</f>
        <v>#VALUE!</v>
      </c>
      <c r="X104" s="22" t="e">
        <f aca="false">AND(#REF!,"AAAAAD2vvRc=")</f>
        <v>#VALUE!</v>
      </c>
      <c r="Y104" s="22" t="e">
        <f aca="false">AND(#REF!,"AAAAAD2vvRg=")</f>
        <v>#VALUE!</v>
      </c>
      <c r="Z104" s="22" t="e">
        <f aca="false">AND(#REF!,"AAAAAD2vvRk=")</f>
        <v>#VALUE!</v>
      </c>
      <c r="AA104" s="22" t="e">
        <f aca="false">AND(#REF!,"AAAAAD2vvRo=")</f>
        <v>#VALUE!</v>
      </c>
      <c r="AB104" s="22" t="e">
        <f aca="false">AND(#REF!,"AAAAAD2vvRs=")</f>
        <v>#VALUE!</v>
      </c>
      <c r="AC104" s="22" t="e">
        <f aca="false">AND(#REF!,"AAAAAD2vvRw=")</f>
        <v>#VALUE!</v>
      </c>
      <c r="AD104" s="22" t="e">
        <f aca="false">AND(#REF!,"AAAAAD2vvR0=")</f>
        <v>#VALUE!</v>
      </c>
      <c r="AE104" s="22" t="e">
        <f aca="false">AND(#REF!,"AAAAAD2vvR4=")</f>
        <v>#VALUE!</v>
      </c>
      <c r="AF104" s="22" t="e">
        <f aca="false">AND(#REF!,"AAAAAD2vvR8=")</f>
        <v>#VALUE!</v>
      </c>
      <c r="AG104" s="22" t="e">
        <f aca="false">AND(#REF!,"AAAAAD2vvSA=")</f>
        <v>#VALUE!</v>
      </c>
      <c r="AH104" s="22" t="e">
        <f aca="false">AND(#REF!,"AAAAAD2vvSE=")</f>
        <v>#VALUE!</v>
      </c>
      <c r="AI104" s="22" t="e">
        <f aca="false">AND(#REF!,"AAAAAD2vvSI=")</f>
        <v>#VALUE!</v>
      </c>
      <c r="AJ104" s="22" t="e">
        <f aca="false">AND(#REF!,"AAAAAD2vvSM=")</f>
        <v>#VALUE!</v>
      </c>
      <c r="AK104" s="22" t="e">
        <f aca="false">AND(#REF!,"AAAAAD2vvSQ=")</f>
        <v>#VALUE!</v>
      </c>
      <c r="AL104" s="22" t="e">
        <f aca="false">AND(#REF!,"AAAAAD2vvSU=")</f>
        <v>#VALUE!</v>
      </c>
      <c r="AM104" s="22" t="e">
        <f aca="false">AND(#REF!,"AAAAAD2vvSY=")</f>
        <v>#VALUE!</v>
      </c>
      <c r="AN104" s="22" t="e">
        <f aca="false">AND(#REF!,"AAAAAD2vvSc=")</f>
        <v>#VALUE!</v>
      </c>
      <c r="AO104" s="22" t="e">
        <f aca="false">AND(#REF!,"AAAAAD2vvSg=")</f>
        <v>#VALUE!</v>
      </c>
      <c r="AP104" s="22" t="e">
        <f aca="false">AND(#REF!,"AAAAAD2vvSk=")</f>
        <v>#VALUE!</v>
      </c>
      <c r="AQ104" s="22" t="e">
        <f aca="false">AND(#REF!,"AAAAAD2vvSo=")</f>
        <v>#VALUE!</v>
      </c>
      <c r="AR104" s="22" t="e">
        <f aca="false">AND(#REF!,"AAAAAD2vvSs=")</f>
        <v>#VALUE!</v>
      </c>
      <c r="AS104" s="22" t="e">
        <f aca="false">AND(#REF!,"AAAAAD2vvSw=")</f>
        <v>#VALUE!</v>
      </c>
      <c r="AT104" s="22" t="e">
        <f aca="false">AND(#REF!,"AAAAAD2vvS0=")</f>
        <v>#VALUE!</v>
      </c>
      <c r="AU104" s="22" t="e">
        <f aca="false">AND(#REF!,"AAAAAD2vvS4=")</f>
        <v>#VALUE!</v>
      </c>
      <c r="AV104" s="22" t="e">
        <f aca="false">AND(#REF!,"AAAAAD2vvS8=")</f>
        <v>#VALUE!</v>
      </c>
      <c r="AW104" s="22" t="e">
        <f aca="false">AND(#REF!,"AAAAAD2vvTA=")</f>
        <v>#VALUE!</v>
      </c>
      <c r="AX104" s="22" t="e">
        <f aca="false">AND(#REF!,"AAAAAD2vvTE=")</f>
        <v>#VALUE!</v>
      </c>
      <c r="AY104" s="22" t="e">
        <f aca="false">AND(#REF!,"AAAAAD2vvTI=")</f>
        <v>#VALUE!</v>
      </c>
      <c r="AZ104" s="22" t="e">
        <f aca="false">AND(#REF!,"AAAAAD2vvTM=")</f>
        <v>#VALUE!</v>
      </c>
      <c r="BA104" s="22" t="e">
        <f aca="false">AND(#REF!,"AAAAAD2vvTQ=")</f>
        <v>#VALUE!</v>
      </c>
      <c r="BB104" s="22" t="e">
        <f aca="false">AND(#REF!,"AAAAAD2vvTU=")</f>
        <v>#VALUE!</v>
      </c>
      <c r="BC104" s="22" t="e">
        <f aca="false">AND(#REF!,"AAAAAD2vvTY=")</f>
        <v>#VALUE!</v>
      </c>
      <c r="BD104" s="22" t="e">
        <f aca="false">AND(#REF!,"AAAAAD2vvTc=")</f>
        <v>#VALUE!</v>
      </c>
      <c r="BE104" s="22" t="e">
        <f aca="false">AND(#REF!,"AAAAAD2vvTg=")</f>
        <v>#VALUE!</v>
      </c>
      <c r="BF104" s="22" t="e">
        <f aca="false">AND(#REF!,"AAAAAD2vvTk=")</f>
        <v>#VALUE!</v>
      </c>
      <c r="BG104" s="22" t="e">
        <f aca="false">AND(#REF!,"AAAAAD2vvTo=")</f>
        <v>#VALUE!</v>
      </c>
      <c r="BH104" s="22" t="e">
        <f aca="false">AND(#REF!,"AAAAAD2vvTs=")</f>
        <v>#VALUE!</v>
      </c>
      <c r="BI104" s="22" t="e">
        <f aca="false">AND(#REF!,"AAAAAD2vvTw=")</f>
        <v>#VALUE!</v>
      </c>
      <c r="BJ104" s="22" t="e">
        <f aca="false">AND(#REF!,"AAAAAD2vvT0=")</f>
        <v>#VALUE!</v>
      </c>
      <c r="BK104" s="22" t="e">
        <f aca="false">AND(#REF!,"AAAAAD2vvT4=")</f>
        <v>#VALUE!</v>
      </c>
      <c r="BL104" s="22" t="e">
        <f aca="false">AND(#REF!,"AAAAAD2vvT8=")</f>
        <v>#VALUE!</v>
      </c>
      <c r="BM104" s="22" t="e">
        <f aca="false">AND(#REF!,"AAAAAD2vvUA=")</f>
        <v>#VALUE!</v>
      </c>
      <c r="BN104" s="22" t="e">
        <f aca="false">AND(#REF!,"AAAAAD2vvUE=")</f>
        <v>#VALUE!</v>
      </c>
      <c r="BO104" s="22" t="e">
        <f aca="false">AND(#REF!,"AAAAAD2vvUI=")</f>
        <v>#VALUE!</v>
      </c>
      <c r="BP104" s="22" t="e">
        <f aca="false">AND(#REF!,"AAAAAD2vvUM=")</f>
        <v>#VALUE!</v>
      </c>
      <c r="BQ104" s="22" t="e">
        <f aca="false">AND(#REF!,"AAAAAD2vvUQ=")</f>
        <v>#VALUE!</v>
      </c>
      <c r="BR104" s="22" t="e">
        <f aca="false">AND(#REF!,"AAAAAD2vvUU=")</f>
        <v>#VALUE!</v>
      </c>
      <c r="BS104" s="22" t="e">
        <f aca="false">AND(#REF!,"AAAAAD2vvUY=")</f>
        <v>#VALUE!</v>
      </c>
      <c r="BT104" s="22" t="e">
        <f aca="false">AND(#REF!,"AAAAAD2vvUc=")</f>
        <v>#VALUE!</v>
      </c>
      <c r="BU104" s="22" t="e">
        <f aca="false">AND(#REF!,"AAAAAD2vvUg=")</f>
        <v>#VALUE!</v>
      </c>
      <c r="BV104" s="22" t="e">
        <f aca="false">AND(#REF!,"AAAAAD2vvUk=")</f>
        <v>#VALUE!</v>
      </c>
      <c r="BW104" s="22" t="e">
        <f aca="false">AND(#REF!,"AAAAAD2vvUo=")</f>
        <v>#VALUE!</v>
      </c>
      <c r="BX104" s="22" t="e">
        <f aca="false">AND(#REF!,"AAAAAD2vvUs=")</f>
        <v>#VALUE!</v>
      </c>
      <c r="BY104" s="22" t="e">
        <f aca="false">AND(#REF!,"AAAAAD2vvUw=")</f>
        <v>#VALUE!</v>
      </c>
      <c r="BZ104" s="22" t="e">
        <f aca="false">AND(#REF!,"AAAAAD2vvU0=")</f>
        <v>#VALUE!</v>
      </c>
      <c r="CA104" s="22" t="e">
        <f aca="false">AND(#REF!,"AAAAAD2vvU4=")</f>
        <v>#VALUE!</v>
      </c>
      <c r="CB104" s="22" t="e">
        <f aca="false">AND(#REF!,"AAAAAD2vvU8=")</f>
        <v>#VALUE!</v>
      </c>
      <c r="CC104" s="22" t="e">
        <f aca="false">AND(#REF!,"AAAAAD2vvVA=")</f>
        <v>#VALUE!</v>
      </c>
      <c r="CD104" s="22" t="e">
        <f aca="false">AND(#REF!,"AAAAAD2vvVE=")</f>
        <v>#VALUE!</v>
      </c>
      <c r="CE104" s="22" t="e">
        <f aca="false">AND(#REF!,"AAAAAD2vvVI=")</f>
        <v>#VALUE!</v>
      </c>
      <c r="CF104" s="22" t="e">
        <f aca="false">AND(#REF!,"AAAAAD2vvVM=")</f>
        <v>#VALUE!</v>
      </c>
      <c r="CG104" s="22" t="e">
        <f aca="false">AND(#REF!,"AAAAAD2vvVQ=")</f>
        <v>#VALUE!</v>
      </c>
      <c r="CH104" s="22" t="e">
        <f aca="false">AND(#REF!,"AAAAAD2vvVU=")</f>
        <v>#VALUE!</v>
      </c>
      <c r="CI104" s="22" t="e">
        <f aca="false">AND(#REF!,"AAAAAD2vvVY=")</f>
        <v>#VALUE!</v>
      </c>
      <c r="CJ104" s="22" t="e">
        <f aca="false">AND(#REF!,"AAAAAD2vvVc=")</f>
        <v>#VALUE!</v>
      </c>
      <c r="CK104" s="22" t="e">
        <f aca="false">AND(#REF!,"AAAAAD2vvVg=")</f>
        <v>#VALUE!</v>
      </c>
      <c r="CL104" s="22" t="e">
        <f aca="false">AND(#REF!,"AAAAAD2vvVk=")</f>
        <v>#VALUE!</v>
      </c>
      <c r="CM104" s="22" t="e">
        <f aca="false">AND(#REF!,"AAAAAD2vvVo=")</f>
        <v>#VALUE!</v>
      </c>
      <c r="CN104" s="22" t="e">
        <f aca="false">AND(#REF!,"AAAAAD2vvVs=")</f>
        <v>#VALUE!</v>
      </c>
      <c r="CO104" s="22" t="e">
        <f aca="false">AND(#REF!,"AAAAAD2vvVw=")</f>
        <v>#VALUE!</v>
      </c>
      <c r="CP104" s="22" t="e">
        <f aca="false">AND(#REF!,"AAAAAD2vvV0=")</f>
        <v>#VALUE!</v>
      </c>
      <c r="CQ104" s="22" t="e">
        <f aca="false">AND(#REF!,"AAAAAD2vvV4=")</f>
        <v>#VALUE!</v>
      </c>
      <c r="CR104" s="22" t="e">
        <f aca="false">AND(#REF!,"AAAAAD2vvV8=")</f>
        <v>#VALUE!</v>
      </c>
      <c r="CS104" s="22" t="e">
        <f aca="false">AND(#REF!,"AAAAAD2vvWA=")</f>
        <v>#VALUE!</v>
      </c>
      <c r="CT104" s="22" t="e">
        <f aca="false">AND(#REF!,"AAAAAD2vvWE=")</f>
        <v>#VALUE!</v>
      </c>
      <c r="CU104" s="22" t="e">
        <f aca="false">AND(#REF!,"AAAAAD2vvWI=")</f>
        <v>#VALUE!</v>
      </c>
      <c r="CV104" s="22" t="e">
        <f aca="false">AND(#REF!,"AAAAAD2vvWM=")</f>
        <v>#VALUE!</v>
      </c>
      <c r="CW104" s="22" t="e">
        <f aca="false">AND(#REF!,"AAAAAD2vvWQ=")</f>
        <v>#VALUE!</v>
      </c>
      <c r="CX104" s="22" t="e">
        <f aca="false">AND(#REF!,"AAAAAD2vvWU=")</f>
        <v>#VALUE!</v>
      </c>
      <c r="CY104" s="22" t="e">
        <f aca="false">AND(#REF!,"AAAAAD2vvWY=")</f>
        <v>#VALUE!</v>
      </c>
      <c r="CZ104" s="22" t="e">
        <f aca="false">AND(#REF!,"AAAAAD2vvWc=")</f>
        <v>#VALUE!</v>
      </c>
      <c r="DA104" s="22" t="e">
        <f aca="false">AND(#REF!,"AAAAAD2vvWg=")</f>
        <v>#VALUE!</v>
      </c>
      <c r="DB104" s="22" t="e">
        <f aca="false">AND(#REF!,"AAAAAD2vvWk=")</f>
        <v>#VALUE!</v>
      </c>
      <c r="DC104" s="22" t="e">
        <f aca="false">AND(#REF!,"AAAAAD2vvWo=")</f>
        <v>#VALUE!</v>
      </c>
      <c r="DD104" s="22" t="e">
        <f aca="false">AND(#REF!,"AAAAAD2vvWs=")</f>
        <v>#VALUE!</v>
      </c>
      <c r="DE104" s="22" t="e">
        <f aca="false">AND(#REF!,"AAAAAD2vvWw=")</f>
        <v>#VALUE!</v>
      </c>
      <c r="DF104" s="22" t="e">
        <f aca="false">AND(#REF!,"AAAAAD2vvW0=")</f>
        <v>#VALUE!</v>
      </c>
      <c r="DG104" s="22" t="e">
        <f aca="false">AND(#REF!,"AAAAAD2vvW4=")</f>
        <v>#VALUE!</v>
      </c>
      <c r="DH104" s="22" t="e">
        <f aca="false">AND(#REF!,"AAAAAD2vvW8=")</f>
        <v>#VALUE!</v>
      </c>
      <c r="DI104" s="22" t="e">
        <f aca="false">AND(#REF!,"AAAAAD2vvXA=")</f>
        <v>#VALUE!</v>
      </c>
      <c r="DJ104" s="22" t="e">
        <f aca="false">AND(#REF!,"AAAAAD2vvXE=")</f>
        <v>#VALUE!</v>
      </c>
      <c r="DK104" s="22" t="e">
        <f aca="false">AND(#REF!,"AAAAAD2vvXI=")</f>
        <v>#VALUE!</v>
      </c>
      <c r="DL104" s="22" t="e">
        <f aca="false">AND(#REF!,"AAAAAD2vvXM=")</f>
        <v>#VALUE!</v>
      </c>
      <c r="DM104" s="22" t="e">
        <f aca="false">AND(#REF!,"AAAAAD2vvXQ=")</f>
        <v>#VALUE!</v>
      </c>
      <c r="DN104" s="22" t="e">
        <f aca="false">AND(#REF!,"AAAAAD2vvXU=")</f>
        <v>#VALUE!</v>
      </c>
      <c r="DO104" s="22" t="e">
        <f aca="false">AND(#REF!,"AAAAAD2vvXY=")</f>
        <v>#VALUE!</v>
      </c>
      <c r="DP104" s="22" t="e">
        <f aca="false">AND(#REF!,"AAAAAD2vvXc=")</f>
        <v>#VALUE!</v>
      </c>
      <c r="DQ104" s="22" t="e">
        <f aca="false">AND(#REF!,"AAAAAD2vvXg=")</f>
        <v>#VALUE!</v>
      </c>
      <c r="DR104" s="22" t="e">
        <f aca="false">AND(#REF!,"AAAAAD2vvXk=")</f>
        <v>#VALUE!</v>
      </c>
      <c r="DS104" s="22" t="e">
        <f aca="false">AND(#REF!,"AAAAAD2vvXo=")</f>
        <v>#VALUE!</v>
      </c>
      <c r="DT104" s="22" t="e">
        <f aca="false">AND(#REF!,"AAAAAD2vvXs=")</f>
        <v>#VALUE!</v>
      </c>
      <c r="DU104" s="22" t="e">
        <f aca="false">AND(#REF!,"AAAAAD2vvXw=")</f>
        <v>#VALUE!</v>
      </c>
      <c r="DV104" s="22" t="e">
        <f aca="false">AND(#REF!,"AAAAAD2vvX0=")</f>
        <v>#VALUE!</v>
      </c>
      <c r="DW104" s="22" t="e">
        <f aca="false">AND(#REF!,"AAAAAD2vvX4=")</f>
        <v>#VALUE!</v>
      </c>
      <c r="DX104" s="22" t="e">
        <f aca="false">AND(#REF!,"AAAAAD2vvX8=")</f>
        <v>#VALUE!</v>
      </c>
      <c r="DY104" s="22" t="e">
        <f aca="false">AND(#REF!,"AAAAAD2vvYA=")</f>
        <v>#VALUE!</v>
      </c>
      <c r="DZ104" s="22" t="e">
        <f aca="false">AND(#REF!,"AAAAAD2vvYE=")</f>
        <v>#VALUE!</v>
      </c>
      <c r="EA104" s="22" t="e">
        <f aca="false">AND(#REF!,"AAAAAD2vvYI=")</f>
        <v>#VALUE!</v>
      </c>
      <c r="EB104" s="22" t="e">
        <f aca="false">AND(#REF!,"AAAAAD2vvYM=")</f>
        <v>#VALUE!</v>
      </c>
      <c r="EC104" s="22" t="e">
        <f aca="false">AND(#REF!,"AAAAAD2vvYQ=")</f>
        <v>#VALUE!</v>
      </c>
      <c r="ED104" s="22" t="e">
        <f aca="false">AND(#REF!,"AAAAAD2vvYU=")</f>
        <v>#VALUE!</v>
      </c>
      <c r="EE104" s="22" t="e">
        <f aca="false">AND(#REF!,"AAAAAD2vvYY=")</f>
        <v>#VALUE!</v>
      </c>
      <c r="EF104" s="22" t="e">
        <f aca="false">AND(#REF!,"AAAAAD2vvYc=")</f>
        <v>#VALUE!</v>
      </c>
      <c r="EG104" s="22" t="e">
        <f aca="false">AND(#REF!,"AAAAAD2vvYg=")</f>
        <v>#VALUE!</v>
      </c>
      <c r="EH104" s="22" t="e">
        <f aca="false">AND(#REF!,"AAAAAD2vvYk=")</f>
        <v>#VALUE!</v>
      </c>
      <c r="EI104" s="22" t="e">
        <f aca="false">AND(#REF!,"AAAAAD2vvYo=")</f>
        <v>#VALUE!</v>
      </c>
      <c r="EJ104" s="22" t="e">
        <f aca="false">AND(#REF!,"AAAAAD2vvYs=")</f>
        <v>#VALUE!</v>
      </c>
      <c r="EK104" s="22" t="e">
        <f aca="false">AND(#REF!,"AAAAAD2vvYw=")</f>
        <v>#VALUE!</v>
      </c>
      <c r="EL104" s="22" t="e">
        <f aca="false">AND(#REF!,"AAAAAD2vvY0=")</f>
        <v>#VALUE!</v>
      </c>
      <c r="EM104" s="22" t="e">
        <f aca="false">AND(#REF!,"AAAAAD2vvY4=")</f>
        <v>#VALUE!</v>
      </c>
      <c r="EN104" s="22" t="e">
        <f aca="false">AND(#REF!,"AAAAAD2vvY8=")</f>
        <v>#VALUE!</v>
      </c>
      <c r="EO104" s="22" t="e">
        <f aca="false">AND(#REF!,"AAAAAD2vvZA=")</f>
        <v>#VALUE!</v>
      </c>
      <c r="EP104" s="22" t="e">
        <f aca="false">AND(#REF!,"AAAAAD2vvZE=")</f>
        <v>#VALUE!</v>
      </c>
      <c r="EQ104" s="22" t="e">
        <f aca="false">AND(#REF!,"AAAAAD2vvZI=")</f>
        <v>#VALUE!</v>
      </c>
      <c r="ER104" s="22" t="e">
        <f aca="false">AND(#REF!,"AAAAAD2vvZM=")</f>
        <v>#VALUE!</v>
      </c>
      <c r="ES104" s="22" t="e">
        <f aca="false">AND(#REF!,"AAAAAD2vvZQ=")</f>
        <v>#VALUE!</v>
      </c>
      <c r="ET104" s="22" t="e">
        <f aca="false">AND(#REF!,"AAAAAD2vvZU=")</f>
        <v>#VALUE!</v>
      </c>
      <c r="EU104" s="22" t="e">
        <f aca="false">AND(#REF!,"AAAAAD2vvZY=")</f>
        <v>#VALUE!</v>
      </c>
      <c r="EV104" s="22" t="e">
        <f aca="false">AND(#REF!,"AAAAAD2vvZc=")</f>
        <v>#VALUE!</v>
      </c>
      <c r="EW104" s="22" t="e">
        <f aca="false">AND(#REF!,"AAAAAD2vvZg=")</f>
        <v>#VALUE!</v>
      </c>
      <c r="EX104" s="22" t="e">
        <f aca="false">AND(#REF!,"AAAAAD2vvZk=")</f>
        <v>#VALUE!</v>
      </c>
      <c r="EY104" s="22" t="e">
        <f aca="false">AND(#REF!,"AAAAAD2vvZo=")</f>
        <v>#VALUE!</v>
      </c>
      <c r="EZ104" s="22" t="e">
        <f aca="false">AND(#REF!,"AAAAAD2vvZs=")</f>
        <v>#VALUE!</v>
      </c>
      <c r="FA104" s="22" t="e">
        <f aca="false">AND(#REF!,"AAAAAD2vvZw=")</f>
        <v>#VALUE!</v>
      </c>
      <c r="FB104" s="22" t="e">
        <f aca="false">AND(#REF!,"AAAAAD2vvZ0=")</f>
        <v>#VALUE!</v>
      </c>
      <c r="FC104" s="22" t="e">
        <f aca="false">AND(#REF!,"AAAAAD2vvZ4=")</f>
        <v>#VALUE!</v>
      </c>
      <c r="FD104" s="22" t="e">
        <f aca="false">AND(#REF!,"AAAAAD2vvZ8=")</f>
        <v>#VALUE!</v>
      </c>
      <c r="FE104" s="22" t="e">
        <f aca="false">AND(#REF!,"AAAAAD2vvaA=")</f>
        <v>#VALUE!</v>
      </c>
      <c r="FF104" s="22" t="e">
        <f aca="false">AND(#REF!,"AAAAAD2vvaE=")</f>
        <v>#VALUE!</v>
      </c>
      <c r="FG104" s="22" t="e">
        <f aca="false">AND(#REF!,"AAAAAD2vvaI=")</f>
        <v>#VALUE!</v>
      </c>
      <c r="FH104" s="22" t="e">
        <f aca="false">AND(#REF!,"AAAAAD2vvaM=")</f>
        <v>#VALUE!</v>
      </c>
      <c r="FI104" s="22" t="e">
        <f aca="false">AND(#REF!,"AAAAAD2vvaQ=")</f>
        <v>#VALUE!</v>
      </c>
      <c r="FJ104" s="22" t="e">
        <f aca="false">AND(#REF!,"AAAAAD2vvaU=")</f>
        <v>#VALUE!</v>
      </c>
      <c r="FK104" s="22" t="e">
        <f aca="false">AND(#REF!,"AAAAAD2vvaY=")</f>
        <v>#VALUE!</v>
      </c>
      <c r="FL104" s="22" t="e">
        <f aca="false">AND(#REF!,"AAAAAD2vvac=")</f>
        <v>#VALUE!</v>
      </c>
      <c r="FM104" s="22" t="e">
        <f aca="false">AND(#REF!,"AAAAAD2vvag=")</f>
        <v>#VALUE!</v>
      </c>
      <c r="FN104" s="22" t="e">
        <f aca="false">AND(#REF!,"AAAAAD2vvak=")</f>
        <v>#VALUE!</v>
      </c>
      <c r="FO104" s="22" t="e">
        <f aca="false">AND(#REF!,"AAAAAD2vvao=")</f>
        <v>#VALUE!</v>
      </c>
      <c r="FP104" s="22" t="e">
        <f aca="false">AND(#REF!,"AAAAAD2vvas=")</f>
        <v>#VALUE!</v>
      </c>
      <c r="FQ104" s="22" t="e">
        <f aca="false">AND(#REF!,"AAAAAD2vvaw=")</f>
        <v>#VALUE!</v>
      </c>
      <c r="FR104" s="22" t="e">
        <f aca="false">AND(#REF!,"AAAAAD2vva0=")</f>
        <v>#VALUE!</v>
      </c>
      <c r="FS104" s="22" t="e">
        <f aca="false">AND(#REF!,"AAAAAD2vva4=")</f>
        <v>#VALUE!</v>
      </c>
      <c r="FT104" s="22" t="e">
        <f aca="false">AND(#REF!,"AAAAAD2vva8=")</f>
        <v>#VALUE!</v>
      </c>
      <c r="FU104" s="22" t="e">
        <f aca="false">AND(#REF!,"AAAAAD2vvbA=")</f>
        <v>#VALUE!</v>
      </c>
      <c r="FV104" s="22" t="e">
        <f aca="false">AND(#REF!,"AAAAAD2vvbE=")</f>
        <v>#VALUE!</v>
      </c>
      <c r="FW104" s="22" t="e">
        <f aca="false">AND(#REF!,"AAAAAD2vvbI=")</f>
        <v>#VALUE!</v>
      </c>
      <c r="FX104" s="22" t="e">
        <f aca="false">AND(#REF!,"AAAAAD2vvbM=")</f>
        <v>#VALUE!</v>
      </c>
      <c r="FY104" s="22" t="e">
        <f aca="false">AND(#REF!,"AAAAAD2vvbQ=")</f>
        <v>#VALUE!</v>
      </c>
      <c r="FZ104" s="22" t="e">
        <f aca="false">AND(#REF!,"AAAAAD2vvbU=")</f>
        <v>#VALUE!</v>
      </c>
      <c r="GA104" s="22" t="e">
        <f aca="false">AND(#REF!,"AAAAAD2vvbY=")</f>
        <v>#VALUE!</v>
      </c>
      <c r="GB104" s="22" t="e">
        <f aca="false">AND(#REF!,"AAAAAD2vvbc=")</f>
        <v>#VALUE!</v>
      </c>
      <c r="GC104" s="22" t="e">
        <f aca="false">AND(#REF!,"AAAAAD2vvbg=")</f>
        <v>#VALUE!</v>
      </c>
      <c r="GD104" s="22" t="e">
        <f aca="false">AND(#REF!,"AAAAAD2vvbk=")</f>
        <v>#VALUE!</v>
      </c>
      <c r="GE104" s="22" t="e">
        <f aca="false">AND(#REF!,"AAAAAD2vvbo=")</f>
        <v>#VALUE!</v>
      </c>
      <c r="GF104" s="22" t="e">
        <f aca="false">AND(#REF!,"AAAAAD2vvbs=")</f>
        <v>#VALUE!</v>
      </c>
      <c r="GG104" s="22" t="e">
        <f aca="false">AND(#REF!,"AAAAAD2vvbw=")</f>
        <v>#VALUE!</v>
      </c>
      <c r="GH104" s="22" t="e">
        <f aca="false">AND(#REF!,"AAAAAD2vvb0=")</f>
        <v>#VALUE!</v>
      </c>
      <c r="GI104" s="22" t="e">
        <f aca="false">AND(#REF!,"AAAAAD2vvb4=")</f>
        <v>#VALUE!</v>
      </c>
      <c r="GJ104" s="22" t="e">
        <f aca="false">AND(#REF!,"AAAAAD2vvb8=")</f>
        <v>#VALUE!</v>
      </c>
      <c r="GK104" s="22" t="e">
        <f aca="false">AND(#REF!,"AAAAAD2vvcA=")</f>
        <v>#VALUE!</v>
      </c>
      <c r="GL104" s="22" t="e">
        <f aca="false">AND(#REF!,"AAAAAD2vvcE=")</f>
        <v>#VALUE!</v>
      </c>
      <c r="GM104" s="22" t="e">
        <f aca="false">AND(#REF!,"AAAAAD2vvcI=")</f>
        <v>#VALUE!</v>
      </c>
      <c r="GN104" s="22" t="e">
        <f aca="false">AND(#REF!,"AAAAAD2vvcM=")</f>
        <v>#VALUE!</v>
      </c>
      <c r="GO104" s="22" t="e">
        <f aca="false">AND(#REF!,"AAAAAD2vvcQ=")</f>
        <v>#VALUE!</v>
      </c>
      <c r="GP104" s="22" t="e">
        <f aca="false">AND(#REF!,"AAAAAD2vvcU=")</f>
        <v>#VALUE!</v>
      </c>
      <c r="GQ104" s="22" t="e">
        <f aca="false">AND(#REF!,"AAAAAD2vvcY=")</f>
        <v>#VALUE!</v>
      </c>
      <c r="GR104" s="22" t="e">
        <f aca="false">AND(#REF!,"AAAAAD2vvcc=")</f>
        <v>#VALUE!</v>
      </c>
      <c r="GS104" s="22" t="e">
        <f aca="false">AND(#REF!,"AAAAAD2vvcg=")</f>
        <v>#VALUE!</v>
      </c>
      <c r="GT104" s="22" t="e">
        <f aca="false">AND(#REF!,"AAAAAD2vvck=")</f>
        <v>#VALUE!</v>
      </c>
      <c r="GU104" s="22" t="e">
        <f aca="false">AND(#REF!,"AAAAAD2vvco=")</f>
        <v>#VALUE!</v>
      </c>
      <c r="GV104" s="22" t="e">
        <f aca="false">AND(#REF!,"AAAAAD2vvcs=")</f>
        <v>#VALUE!</v>
      </c>
      <c r="GW104" s="22" t="e">
        <f aca="false">AND(#REF!,"AAAAAD2vvcw=")</f>
        <v>#VALUE!</v>
      </c>
      <c r="GX104" s="22" t="e">
        <f aca="false">AND(#REF!,"AAAAAD2vvc0=")</f>
        <v>#VALUE!</v>
      </c>
      <c r="GY104" s="22" t="e">
        <f aca="false">AND(#REF!,"AAAAAD2vvc4=")</f>
        <v>#VALUE!</v>
      </c>
      <c r="GZ104" s="22" t="e">
        <f aca="false">AND(#REF!,"AAAAAD2vvc8=")</f>
        <v>#VALUE!</v>
      </c>
      <c r="HA104" s="22" t="e">
        <f aca="false">AND(#REF!,"AAAAAD2vvdA=")</f>
        <v>#VALUE!</v>
      </c>
      <c r="HB104" s="22" t="e">
        <f aca="false">AND(#REF!,"AAAAAD2vvdE=")</f>
        <v>#VALUE!</v>
      </c>
      <c r="HC104" s="22" t="e">
        <f aca="false">AND(#REF!,"AAAAAD2vvdI=")</f>
        <v>#VALUE!</v>
      </c>
      <c r="HD104" s="22" t="e">
        <f aca="false">AND(#REF!,"AAAAAD2vvdM=")</f>
        <v>#VALUE!</v>
      </c>
      <c r="HE104" s="22" t="e">
        <f aca="false">AND(#REF!,"AAAAAD2vvdQ=")</f>
        <v>#VALUE!</v>
      </c>
      <c r="HF104" s="22" t="e">
        <f aca="false">AND(#REF!,"AAAAAD2vvdU=")</f>
        <v>#VALUE!</v>
      </c>
      <c r="HG104" s="22" t="e">
        <f aca="false">AND(#REF!,"AAAAAD2vvdY=")</f>
        <v>#VALUE!</v>
      </c>
      <c r="HH104" s="22" t="e">
        <f aca="false">AND(#REF!,"AAAAAD2vvdc=")</f>
        <v>#VALUE!</v>
      </c>
      <c r="HI104" s="22" t="e">
        <f aca="false">AND(#REF!,"AAAAAD2vvdg=")</f>
        <v>#VALUE!</v>
      </c>
      <c r="HJ104" s="22" t="e">
        <f aca="false">AND(#REF!,"AAAAAD2vvdk=")</f>
        <v>#VALUE!</v>
      </c>
      <c r="HK104" s="22" t="e">
        <f aca="false">AND(#REF!,"AAAAAD2vvdo=")</f>
        <v>#VALUE!</v>
      </c>
      <c r="HL104" s="22" t="e">
        <f aca="false">AND(#REF!,"AAAAAD2vvds=")</f>
        <v>#VALUE!</v>
      </c>
      <c r="HM104" s="22" t="e">
        <f aca="false">AND(#REF!,"AAAAAD2vvdw=")</f>
        <v>#VALUE!</v>
      </c>
      <c r="HN104" s="22" t="e">
        <f aca="false">AND(#REF!,"AAAAAD2vvd0=")</f>
        <v>#VALUE!</v>
      </c>
      <c r="HO104" s="22" t="e">
        <f aca="false">AND(#REF!,"AAAAAD2vvd4=")</f>
        <v>#VALUE!</v>
      </c>
      <c r="HP104" s="22" t="e">
        <f aca="false">AND(#REF!,"AAAAAD2vvd8=")</f>
        <v>#VALUE!</v>
      </c>
      <c r="HQ104" s="22" t="e">
        <f aca="false">AND(#REF!,"AAAAAD2vveA=")</f>
        <v>#VALUE!</v>
      </c>
      <c r="HR104" s="22" t="e">
        <f aca="false">AND(#REF!,"AAAAAD2vveE=")</f>
        <v>#VALUE!</v>
      </c>
      <c r="HS104" s="22" t="e">
        <f aca="false">AND(#REF!,"AAAAAD2vveI=")</f>
        <v>#VALUE!</v>
      </c>
      <c r="HT104" s="22" t="e">
        <f aca="false">AND(#REF!,"AAAAAD2vveM=")</f>
        <v>#VALUE!</v>
      </c>
      <c r="HU104" s="22" t="e">
        <f aca="false">AND(#REF!,"AAAAAD2vveQ=")</f>
        <v>#VALUE!</v>
      </c>
      <c r="HV104" s="22" t="e">
        <f aca="false">AND(#REF!,"AAAAAD2vveU=")</f>
        <v>#VALUE!</v>
      </c>
      <c r="HW104" s="22" t="e">
        <f aca="false">AND(#REF!,"AAAAAD2vveY=")</f>
        <v>#VALUE!</v>
      </c>
      <c r="HX104" s="22" t="e">
        <f aca="false">AND(#REF!,"AAAAAD2vvec=")</f>
        <v>#VALUE!</v>
      </c>
      <c r="HY104" s="22" t="e">
        <f aca="false">AND(#REF!,"AAAAAD2vveg=")</f>
        <v>#VALUE!</v>
      </c>
      <c r="HZ104" s="22" t="e">
        <f aca="false">AND(#REF!,"AAAAAD2vvek=")</f>
        <v>#VALUE!</v>
      </c>
      <c r="IA104" s="22" t="e">
        <f aca="false">AND(#REF!,"AAAAAD2vveo=")</f>
        <v>#VALUE!</v>
      </c>
      <c r="IB104" s="22" t="e">
        <f aca="false">AND(#REF!,"AAAAAD2vves=")</f>
        <v>#VALUE!</v>
      </c>
      <c r="IC104" s="22" t="e">
        <f aca="false">AND(#REF!,"AAAAAD2vvew=")</f>
        <v>#VALUE!</v>
      </c>
      <c r="ID104" s="22" t="e">
        <f aca="false">AND(#REF!,"AAAAAD2vve0=")</f>
        <v>#VALUE!</v>
      </c>
      <c r="IE104" s="22" t="e">
        <f aca="false">AND(#REF!,"AAAAAD2vve4=")</f>
        <v>#VALUE!</v>
      </c>
      <c r="IF104" s="22" t="e">
        <f aca="false">AND(#REF!,"AAAAAD2vve8=")</f>
        <v>#VALUE!</v>
      </c>
      <c r="IG104" s="22" t="e">
        <f aca="false">AND(#REF!,"AAAAAD2vvfA=")</f>
        <v>#VALUE!</v>
      </c>
      <c r="IH104" s="22" t="e">
        <f aca="false">AND(#REF!,"AAAAAD2vvfE=")</f>
        <v>#VALUE!</v>
      </c>
      <c r="II104" s="22" t="e">
        <f aca="false">AND(#REF!,"AAAAAD2vvfI=")</f>
        <v>#VALUE!</v>
      </c>
      <c r="IJ104" s="22" t="e">
        <f aca="false">AND(#REF!,"AAAAAD2vvfM=")</f>
        <v>#VALUE!</v>
      </c>
      <c r="IK104" s="22" t="e">
        <f aca="false">AND(#REF!,"AAAAAD2vvfQ=")</f>
        <v>#VALUE!</v>
      </c>
      <c r="IL104" s="22" t="e">
        <f aca="false">AND(#REF!,"AAAAAD2vvfU=")</f>
        <v>#VALUE!</v>
      </c>
      <c r="IM104" s="22" t="e">
        <f aca="false">AND(#REF!,"AAAAAD2vvfY=")</f>
        <v>#VALUE!</v>
      </c>
      <c r="IN104" s="22" t="e">
        <f aca="false">AND(#REF!,"AAAAAD2vvfc=")</f>
        <v>#VALUE!</v>
      </c>
      <c r="IO104" s="22" t="e">
        <f aca="false">AND(#REF!,"AAAAAD2vvfg=")</f>
        <v>#VALUE!</v>
      </c>
      <c r="IP104" s="22" t="e">
        <f aca="false">AND(#REF!,"AAAAAD2vvfk=")</f>
        <v>#VALUE!</v>
      </c>
      <c r="IQ104" s="22" t="e">
        <f aca="false">AND(#REF!,"AAAAAD2vvfo=")</f>
        <v>#VALUE!</v>
      </c>
      <c r="IR104" s="22" t="e">
        <f aca="false">AND(#REF!,"AAAAAD2vvfs=")</f>
        <v>#VALUE!</v>
      </c>
      <c r="IS104" s="22" t="e">
        <f aca="false">AND(#REF!,"AAAAAD2vvfw=")</f>
        <v>#VALUE!</v>
      </c>
      <c r="IT104" s="22" t="e">
        <f aca="false">AND(#REF!,"AAAAAD2vvf0=")</f>
        <v>#VALUE!</v>
      </c>
      <c r="IU104" s="22" t="e">
        <f aca="false">AND(#REF!,"AAAAAD2vvf4=")</f>
        <v>#VALUE!</v>
      </c>
      <c r="IV104" s="22" t="e">
        <f aca="false">AND(#REF!,"AAAAAD2vvf8=")</f>
        <v>#VALUE!</v>
      </c>
    </row>
    <row r="105" customFormat="false" ht="12.75" hidden="false" customHeight="false" outlineLevel="0" collapsed="false">
      <c r="A105" s="22" t="e">
        <f aca="false">AND(#REF!,"AAAAAHcjbAA=")</f>
        <v>#VALUE!</v>
      </c>
      <c r="B105" s="22" t="e">
        <f aca="false">AND(#REF!,"AAAAAHcjbAE=")</f>
        <v>#VALUE!</v>
      </c>
      <c r="C105" s="22" t="e">
        <f aca="false">AND(#REF!,"AAAAAHcjbAI=")</f>
        <v>#VALUE!</v>
      </c>
      <c r="D105" s="22" t="e">
        <f aca="false">AND(#REF!,"AAAAAHcjbAM=")</f>
        <v>#VALUE!</v>
      </c>
      <c r="E105" s="22" t="e">
        <f aca="false">AND(#REF!,"AAAAAHcjbAQ=")</f>
        <v>#VALUE!</v>
      </c>
      <c r="F105" s="22" t="e">
        <f aca="false">AND(#REF!,"AAAAAHcjbAU=")</f>
        <v>#VALUE!</v>
      </c>
      <c r="G105" s="22" t="e">
        <f aca="false">AND(#REF!,"AAAAAHcjbAY=")</f>
        <v>#VALUE!</v>
      </c>
      <c r="H105" s="22" t="e">
        <f aca="false">AND(#REF!,"AAAAAHcjbAc=")</f>
        <v>#VALUE!</v>
      </c>
      <c r="I105" s="22" t="e">
        <f aca="false">AND(#REF!,"AAAAAHcjbAg=")</f>
        <v>#VALUE!</v>
      </c>
      <c r="J105" s="22" t="e">
        <f aca="false">AND(#REF!,"AAAAAHcjbAk=")</f>
        <v>#VALUE!</v>
      </c>
      <c r="K105" s="22" t="e">
        <f aca="false">AND(#REF!,"AAAAAHcjbAo=")</f>
        <v>#VALUE!</v>
      </c>
      <c r="L105" s="22" t="e">
        <f aca="false">AND(#REF!,"AAAAAHcjbAs=")</f>
        <v>#VALUE!</v>
      </c>
      <c r="M105" s="22" t="e">
        <f aca="false">AND(#REF!,"AAAAAHcjbAw=")</f>
        <v>#VALUE!</v>
      </c>
      <c r="N105" s="22" t="e">
        <f aca="false">AND(#REF!,"AAAAAHcjbA0=")</f>
        <v>#VALUE!</v>
      </c>
      <c r="O105" s="22" t="e">
        <f aca="false">AND(#REF!,"AAAAAHcjbA4=")</f>
        <v>#VALUE!</v>
      </c>
      <c r="P105" s="22" t="e">
        <f aca="false">AND(#REF!,"AAAAAHcjbA8=")</f>
        <v>#VALUE!</v>
      </c>
      <c r="Q105" s="22" t="e">
        <f aca="false">AND(#REF!,"AAAAAHcjbBA=")</f>
        <v>#VALUE!</v>
      </c>
      <c r="R105" s="22" t="e">
        <f aca="false">AND(#REF!,"AAAAAHcjbBE=")</f>
        <v>#VALUE!</v>
      </c>
      <c r="S105" s="22" t="e">
        <f aca="false">AND(#REF!,"AAAAAHcjbBI=")</f>
        <v>#VALUE!</v>
      </c>
      <c r="T105" s="22" t="e">
        <f aca="false">AND(#REF!,"AAAAAHcjbBM=")</f>
        <v>#VALUE!</v>
      </c>
      <c r="U105" s="22" t="e">
        <f aca="false">AND(#REF!,"AAAAAHcjbBQ=")</f>
        <v>#VALUE!</v>
      </c>
      <c r="V105" s="22" t="e">
        <f aca="false">AND(#REF!,"AAAAAHcjbBU=")</f>
        <v>#VALUE!</v>
      </c>
      <c r="W105" s="22" t="e">
        <f aca="false">AND(#REF!,"AAAAAHcjbBY=")</f>
        <v>#VALUE!</v>
      </c>
      <c r="X105" s="22" t="e">
        <f aca="false">AND(#REF!,"AAAAAHcjbBc=")</f>
        <v>#VALUE!</v>
      </c>
      <c r="Y105" s="22" t="e">
        <f aca="false">AND(#REF!,"AAAAAHcjbBg=")</f>
        <v>#VALUE!</v>
      </c>
      <c r="Z105" s="22" t="e">
        <f aca="false">AND(#REF!,"AAAAAHcjbBk=")</f>
        <v>#VALUE!</v>
      </c>
      <c r="AA105" s="22" t="e">
        <f aca="false">AND(#REF!,"AAAAAHcjbBo=")</f>
        <v>#VALUE!</v>
      </c>
      <c r="AB105" s="22" t="e">
        <f aca="false">AND(#REF!,"AAAAAHcjbBs=")</f>
        <v>#VALUE!</v>
      </c>
      <c r="AC105" s="22" t="e">
        <f aca="false">AND(#REF!,"AAAAAHcjbBw=")</f>
        <v>#VALUE!</v>
      </c>
      <c r="AD105" s="22" t="e">
        <f aca="false">AND(#REF!,"AAAAAHcjbB0=")</f>
        <v>#VALUE!</v>
      </c>
      <c r="AE105" s="22" t="e">
        <f aca="false">AND(#REF!,"AAAAAHcjbB4=")</f>
        <v>#VALUE!</v>
      </c>
      <c r="AF105" s="22" t="e">
        <f aca="false">AND(#REF!,"AAAAAHcjbB8=")</f>
        <v>#VALUE!</v>
      </c>
      <c r="AG105" s="22" t="e">
        <f aca="false">AND(#REF!,"AAAAAHcjbCA=")</f>
        <v>#VALUE!</v>
      </c>
      <c r="AH105" s="22" t="e">
        <f aca="false">AND(#REF!,"AAAAAHcjbCE=")</f>
        <v>#VALUE!</v>
      </c>
      <c r="AI105" s="22" t="e">
        <f aca="false">AND(#REF!,"AAAAAHcjbCI=")</f>
        <v>#VALUE!</v>
      </c>
      <c r="AJ105" s="22" t="e">
        <f aca="false">AND(#REF!,"AAAAAHcjbCM=")</f>
        <v>#VALUE!</v>
      </c>
      <c r="AK105" s="22" t="e">
        <f aca="false">AND(#REF!,"AAAAAHcjbCQ=")</f>
        <v>#VALUE!</v>
      </c>
      <c r="AL105" s="22" t="e">
        <f aca="false">AND(#REF!,"AAAAAHcjbCU=")</f>
        <v>#VALUE!</v>
      </c>
      <c r="AM105" s="22" t="e">
        <f aca="false">AND(#REF!,"AAAAAHcjbCY=")</f>
        <v>#VALUE!</v>
      </c>
      <c r="AN105" s="22" t="e">
        <f aca="false">AND(#REF!,"AAAAAHcjbCc=")</f>
        <v>#VALUE!</v>
      </c>
      <c r="AO105" s="22" t="e">
        <f aca="false">AND(#REF!,"AAAAAHcjbCg=")</f>
        <v>#VALUE!</v>
      </c>
      <c r="AP105" s="22" t="e">
        <f aca="false">AND(#REF!,"AAAAAHcjbCk=")</f>
        <v>#VALUE!</v>
      </c>
      <c r="AQ105" s="22" t="e">
        <f aca="false">AND(#REF!,"AAAAAHcjbCo=")</f>
        <v>#VALUE!</v>
      </c>
      <c r="AR105" s="22" t="e">
        <f aca="false">AND(#REF!,"AAAAAHcjbCs=")</f>
        <v>#VALUE!</v>
      </c>
      <c r="AS105" s="22" t="e">
        <f aca="false">AND(#REF!,"AAAAAHcjbCw=")</f>
        <v>#VALUE!</v>
      </c>
      <c r="AT105" s="22" t="e">
        <f aca="false">AND(#REF!,"AAAAAHcjbC0=")</f>
        <v>#VALUE!</v>
      </c>
      <c r="AU105" s="22" t="e">
        <f aca="false">AND(#REF!,"AAAAAHcjbC4=")</f>
        <v>#VALUE!</v>
      </c>
      <c r="AV105" s="22" t="e">
        <f aca="false">AND(#REF!,"AAAAAHcjbC8=")</f>
        <v>#VALUE!</v>
      </c>
      <c r="AW105" s="22" t="e">
        <f aca="false">AND(#REF!,"AAAAAHcjbDA=")</f>
        <v>#VALUE!</v>
      </c>
      <c r="AX105" s="22" t="e">
        <f aca="false">AND(#REF!,"AAAAAHcjbDE=")</f>
        <v>#VALUE!</v>
      </c>
      <c r="AY105" s="22" t="e">
        <f aca="false">AND(#REF!,"AAAAAHcjbDI=")</f>
        <v>#VALUE!</v>
      </c>
      <c r="AZ105" s="22" t="e">
        <f aca="false">AND(#REF!,"AAAAAHcjbDM=")</f>
        <v>#VALUE!</v>
      </c>
      <c r="BA105" s="22" t="e">
        <f aca="false">AND(#REF!,"AAAAAHcjbDQ=")</f>
        <v>#VALUE!</v>
      </c>
      <c r="BB105" s="22" t="e">
        <f aca="false">AND(#REF!,"AAAAAHcjbDU=")</f>
        <v>#VALUE!</v>
      </c>
      <c r="BC105" s="22" t="e">
        <f aca="false">AND(#REF!,"AAAAAHcjbDY=")</f>
        <v>#VALUE!</v>
      </c>
      <c r="BD105" s="22" t="e">
        <f aca="false">AND(#REF!,"AAAAAHcjbDc=")</f>
        <v>#VALUE!</v>
      </c>
      <c r="BE105" s="22" t="e">
        <f aca="false">AND(#REF!,"AAAAAHcjbDg=")</f>
        <v>#VALUE!</v>
      </c>
      <c r="BF105" s="22" t="e">
        <f aca="false">AND(#REF!,"AAAAAHcjbDk=")</f>
        <v>#VALUE!</v>
      </c>
      <c r="BG105" s="22" t="e">
        <f aca="false">AND(#REF!,"AAAAAHcjbDo=")</f>
        <v>#VALUE!</v>
      </c>
      <c r="BH105" s="22" t="e">
        <f aca="false">AND(#REF!,"AAAAAHcjbDs=")</f>
        <v>#VALUE!</v>
      </c>
      <c r="BI105" s="22" t="e">
        <f aca="false">AND(#REF!,"AAAAAHcjbDw=")</f>
        <v>#VALUE!</v>
      </c>
      <c r="BJ105" s="22" t="e">
        <f aca="false">AND(#REF!,"AAAAAHcjbD0=")</f>
        <v>#VALUE!</v>
      </c>
      <c r="BK105" s="22" t="e">
        <f aca="false">AND(#REF!,"AAAAAHcjbD4=")</f>
        <v>#VALUE!</v>
      </c>
      <c r="BL105" s="22" t="e">
        <f aca="false">AND(#REF!,"AAAAAHcjbD8=")</f>
        <v>#VALUE!</v>
      </c>
      <c r="BM105" s="22" t="e">
        <f aca="false">AND(#REF!,"AAAAAHcjbEA=")</f>
        <v>#VALUE!</v>
      </c>
      <c r="BN105" s="22" t="e">
        <f aca="false">AND(#REF!,"AAAAAHcjbEE=")</f>
        <v>#VALUE!</v>
      </c>
      <c r="BO105" s="22" t="e">
        <f aca="false">AND(#REF!,"AAAAAHcjbEI=")</f>
        <v>#VALUE!</v>
      </c>
      <c r="BP105" s="22" t="e">
        <f aca="false">AND(#REF!,"AAAAAHcjbEM=")</f>
        <v>#VALUE!</v>
      </c>
      <c r="BQ105" s="22" t="e">
        <f aca="false">AND(#REF!,"AAAAAHcjbEQ=")</f>
        <v>#VALUE!</v>
      </c>
      <c r="BR105" s="22" t="e">
        <f aca="false">AND(#REF!,"AAAAAHcjbEU=")</f>
        <v>#VALUE!</v>
      </c>
      <c r="BS105" s="22" t="e">
        <f aca="false">AND(#REF!,"AAAAAHcjbEY=")</f>
        <v>#VALUE!</v>
      </c>
      <c r="BT105" s="22" t="e">
        <f aca="false">AND(#REF!,"AAAAAHcjbEc=")</f>
        <v>#VALUE!</v>
      </c>
      <c r="BU105" s="22" t="e">
        <f aca="false">AND(#REF!,"AAAAAHcjbEg=")</f>
        <v>#VALUE!</v>
      </c>
      <c r="BV105" s="22" t="e">
        <f aca="false">AND(#REF!,"AAAAAHcjbEk=")</f>
        <v>#VALUE!</v>
      </c>
      <c r="BW105" s="22" t="e">
        <f aca="false">AND(#REF!,"AAAAAHcjbEo=")</f>
        <v>#VALUE!</v>
      </c>
      <c r="BX105" s="22" t="e">
        <f aca="false">AND(#REF!,"AAAAAHcjbEs=")</f>
        <v>#VALUE!</v>
      </c>
      <c r="BY105" s="22" t="e">
        <f aca="false">AND(#REF!,"AAAAAHcjbEw=")</f>
        <v>#VALUE!</v>
      </c>
      <c r="BZ105" s="22" t="e">
        <f aca="false">AND(#REF!,"AAAAAHcjbE0=")</f>
        <v>#VALUE!</v>
      </c>
      <c r="CA105" s="22" t="e">
        <f aca="false">AND(#REF!,"AAAAAHcjbE4=")</f>
        <v>#VALUE!</v>
      </c>
      <c r="CB105" s="22" t="e">
        <f aca="false">AND(#REF!,"AAAAAHcjbE8=")</f>
        <v>#VALUE!</v>
      </c>
      <c r="CC105" s="22" t="e">
        <f aca="false">AND(#REF!,"AAAAAHcjbFA=")</f>
        <v>#VALUE!</v>
      </c>
      <c r="CD105" s="22" t="e">
        <f aca="false">AND(#REF!,"AAAAAHcjbFE=")</f>
        <v>#VALUE!</v>
      </c>
      <c r="CE105" s="22" t="e">
        <f aca="false">AND(#REF!,"AAAAAHcjbFI=")</f>
        <v>#VALUE!</v>
      </c>
      <c r="CF105" s="22" t="e">
        <f aca="false">AND(#REF!,"AAAAAHcjbFM=")</f>
        <v>#VALUE!</v>
      </c>
      <c r="CG105" s="22" t="e">
        <f aca="false">AND(#REF!,"AAAAAHcjbFQ=")</f>
        <v>#VALUE!</v>
      </c>
      <c r="CH105" s="22" t="e">
        <f aca="false">AND(#REF!,"AAAAAHcjbFU=")</f>
        <v>#VALUE!</v>
      </c>
      <c r="CI105" s="22" t="e">
        <f aca="false">AND(#REF!,"AAAAAHcjbFY=")</f>
        <v>#VALUE!</v>
      </c>
      <c r="CJ105" s="22" t="e">
        <f aca="false">AND(#REF!,"AAAAAHcjbFc=")</f>
        <v>#VALUE!</v>
      </c>
      <c r="CK105" s="22" t="e">
        <f aca="false">AND(#REF!,"AAAAAHcjbFg=")</f>
        <v>#VALUE!</v>
      </c>
      <c r="CL105" s="22" t="e">
        <f aca="false">AND(#REF!,"AAAAAHcjbFk=")</f>
        <v>#VALUE!</v>
      </c>
      <c r="CM105" s="22" t="e">
        <f aca="false">AND(#REF!,"AAAAAHcjbFo=")</f>
        <v>#VALUE!</v>
      </c>
      <c r="CN105" s="22" t="e">
        <f aca="false">AND(#REF!,"AAAAAHcjbFs=")</f>
        <v>#VALUE!</v>
      </c>
      <c r="CO105" s="22" t="e">
        <f aca="false">AND(#REF!,"AAAAAHcjbFw=")</f>
        <v>#VALUE!</v>
      </c>
      <c r="CP105" s="22" t="e">
        <f aca="false">AND(#REF!,"AAAAAHcjbF0=")</f>
        <v>#VALUE!</v>
      </c>
      <c r="CQ105" s="22" t="e">
        <f aca="false">AND(#REF!,"AAAAAHcjbF4=")</f>
        <v>#VALUE!</v>
      </c>
      <c r="CR105" s="22" t="e">
        <f aca="false">AND(#REF!,"AAAAAHcjbF8=")</f>
        <v>#VALUE!</v>
      </c>
      <c r="CS105" s="22" t="e">
        <f aca="false">AND(#REF!,"AAAAAHcjbGA=")</f>
        <v>#VALUE!</v>
      </c>
      <c r="CT105" s="22" t="e">
        <f aca="false">AND(#REF!,"AAAAAHcjbGE=")</f>
        <v>#VALUE!</v>
      </c>
      <c r="CU105" s="22" t="e">
        <f aca="false">AND(#REF!,"AAAAAHcjbGI=")</f>
        <v>#VALUE!</v>
      </c>
      <c r="CV105" s="22" t="e">
        <f aca="false">AND(#REF!,"AAAAAHcjbGM=")</f>
        <v>#VALUE!</v>
      </c>
      <c r="CW105" s="22" t="e">
        <f aca="false">AND(#REF!,"AAAAAHcjbGQ=")</f>
        <v>#VALUE!</v>
      </c>
      <c r="CX105" s="22" t="e">
        <f aca="false">AND(#REF!,"AAAAAHcjbGU=")</f>
        <v>#VALUE!</v>
      </c>
      <c r="CY105" s="22" t="e">
        <f aca="false">AND(#REF!,"AAAAAHcjbGY=")</f>
        <v>#VALUE!</v>
      </c>
      <c r="CZ105" s="22" t="e">
        <f aca="false">AND(#REF!,"AAAAAHcjbGc=")</f>
        <v>#VALUE!</v>
      </c>
      <c r="DA105" s="22" t="e">
        <f aca="false">AND(#REF!,"AAAAAHcjbGg=")</f>
        <v>#VALUE!</v>
      </c>
      <c r="DB105" s="22" t="e">
        <f aca="false">AND(#REF!,"AAAAAHcjbGk=")</f>
        <v>#VALUE!</v>
      </c>
      <c r="DC105" s="22" t="e">
        <f aca="false">AND(#REF!,"AAAAAHcjbGo=")</f>
        <v>#VALUE!</v>
      </c>
      <c r="DD105" s="22" t="e">
        <f aca="false">AND(#REF!,"AAAAAHcjbGs=")</f>
        <v>#VALUE!</v>
      </c>
      <c r="DE105" s="22" t="e">
        <f aca="false">AND(#REF!,"AAAAAHcjbGw=")</f>
        <v>#VALUE!</v>
      </c>
      <c r="DF105" s="22" t="e">
        <f aca="false">AND(#REF!,"AAAAAHcjbG0=")</f>
        <v>#VALUE!</v>
      </c>
      <c r="DG105" s="22" t="e">
        <f aca="false">AND(#REF!,"AAAAAHcjbG4=")</f>
        <v>#VALUE!</v>
      </c>
      <c r="DH105" s="22" t="e">
        <f aca="false">AND(#REF!,"AAAAAHcjbG8=")</f>
        <v>#VALUE!</v>
      </c>
      <c r="DI105" s="22" t="e">
        <f aca="false">AND(#REF!,"AAAAAHcjbHA=")</f>
        <v>#VALUE!</v>
      </c>
      <c r="DJ105" s="22" t="e">
        <f aca="false">AND(#REF!,"AAAAAHcjbHE=")</f>
        <v>#VALUE!</v>
      </c>
      <c r="DK105" s="22" t="e">
        <f aca="false">AND(#REF!,"AAAAAHcjbHI=")</f>
        <v>#VALUE!</v>
      </c>
      <c r="DL105" s="22" t="e">
        <f aca="false">AND(#REF!,"AAAAAHcjbHM=")</f>
        <v>#VALUE!</v>
      </c>
      <c r="DM105" s="22" t="e">
        <f aca="false">AND(#REF!,"AAAAAHcjbHQ=")</f>
        <v>#VALUE!</v>
      </c>
      <c r="DN105" s="22" t="e">
        <f aca="false">AND(#REF!,"AAAAAHcjbHU=")</f>
        <v>#VALUE!</v>
      </c>
      <c r="DO105" s="22" t="e">
        <f aca="false">AND(#REF!,"AAAAAHcjbHY=")</f>
        <v>#VALUE!</v>
      </c>
      <c r="DP105" s="22" t="e">
        <f aca="false">AND(#REF!,"AAAAAHcjbHc=")</f>
        <v>#VALUE!</v>
      </c>
      <c r="DQ105" s="22" t="e">
        <f aca="false">AND(#REF!,"AAAAAHcjbHg=")</f>
        <v>#VALUE!</v>
      </c>
      <c r="DR105" s="22" t="e">
        <f aca="false">AND(#REF!,"AAAAAHcjbHk=")</f>
        <v>#VALUE!</v>
      </c>
      <c r="DS105" s="22" t="e">
        <f aca="false">AND(#REF!,"AAAAAHcjbHo=")</f>
        <v>#VALUE!</v>
      </c>
      <c r="DT105" s="22" t="e">
        <f aca="false">IF(#REF!,"AAAAAHcjbHs=",0)</f>
        <v>#REF!</v>
      </c>
      <c r="DU105" s="22" t="e">
        <f aca="false">AND(#REF!,"AAAAAHcjbHw=")</f>
        <v>#VALUE!</v>
      </c>
      <c r="DV105" s="22" t="e">
        <f aca="false">AND(#REF!,"AAAAAHcjbH0=")</f>
        <v>#VALUE!</v>
      </c>
      <c r="DW105" s="22" t="e">
        <f aca="false">AND(#REF!,"AAAAAHcjbH4=")</f>
        <v>#VALUE!</v>
      </c>
      <c r="DX105" s="22" t="e">
        <f aca="false">AND(#REF!,"AAAAAHcjbH8=")</f>
        <v>#VALUE!</v>
      </c>
      <c r="DY105" s="22" t="e">
        <f aca="false">AND(#REF!,"AAAAAHcjbIA=")</f>
        <v>#VALUE!</v>
      </c>
      <c r="DZ105" s="22" t="e">
        <f aca="false">AND(#REF!,"AAAAAHcjbIE=")</f>
        <v>#VALUE!</v>
      </c>
      <c r="EA105" s="22" t="e">
        <f aca="false">AND(#REF!,"AAAAAHcjbII=")</f>
        <v>#VALUE!</v>
      </c>
      <c r="EB105" s="22" t="e">
        <f aca="false">AND(#REF!,"AAAAAHcjbIM=")</f>
        <v>#VALUE!</v>
      </c>
      <c r="EC105" s="22" t="e">
        <f aca="false">AND(#REF!,"AAAAAHcjbIQ=")</f>
        <v>#VALUE!</v>
      </c>
      <c r="ED105" s="22" t="e">
        <f aca="false">AND(#REF!,"AAAAAHcjbIU=")</f>
        <v>#VALUE!</v>
      </c>
      <c r="EE105" s="22" t="e">
        <f aca="false">AND(#REF!,"AAAAAHcjbIY=")</f>
        <v>#VALUE!</v>
      </c>
      <c r="EF105" s="22" t="e">
        <f aca="false">AND(#REF!,"AAAAAHcjbIc=")</f>
        <v>#VALUE!</v>
      </c>
      <c r="EG105" s="22" t="e">
        <f aca="false">AND(#REF!,"AAAAAHcjbIg=")</f>
        <v>#VALUE!</v>
      </c>
      <c r="EH105" s="22" t="e">
        <f aca="false">AND(#REF!,"AAAAAHcjbIk=")</f>
        <v>#VALUE!</v>
      </c>
      <c r="EI105" s="22" t="e">
        <f aca="false">AND(#REF!,"AAAAAHcjbIo=")</f>
        <v>#VALUE!</v>
      </c>
      <c r="EJ105" s="22" t="e">
        <f aca="false">AND(#REF!,"AAAAAHcjbIs=")</f>
        <v>#VALUE!</v>
      </c>
      <c r="EK105" s="22" t="e">
        <f aca="false">AND(#REF!,"AAAAAHcjbIw=")</f>
        <v>#VALUE!</v>
      </c>
      <c r="EL105" s="22" t="e">
        <f aca="false">AND(#REF!,"AAAAAHcjbI0=")</f>
        <v>#VALUE!</v>
      </c>
      <c r="EM105" s="22" t="e">
        <f aca="false">AND(#REF!,"AAAAAHcjbI4=")</f>
        <v>#VALUE!</v>
      </c>
      <c r="EN105" s="22" t="e">
        <f aca="false">AND(#REF!,"AAAAAHcjbI8=")</f>
        <v>#VALUE!</v>
      </c>
      <c r="EO105" s="22" t="e">
        <f aca="false">AND(#REF!,"AAAAAHcjbJA=")</f>
        <v>#VALUE!</v>
      </c>
      <c r="EP105" s="22" t="e">
        <f aca="false">AND(#REF!,"AAAAAHcjbJE=")</f>
        <v>#VALUE!</v>
      </c>
      <c r="EQ105" s="22" t="e">
        <f aca="false">AND(#REF!,"AAAAAHcjbJI=")</f>
        <v>#VALUE!</v>
      </c>
      <c r="ER105" s="22" t="e">
        <f aca="false">AND(#REF!,"AAAAAHcjbJM=")</f>
        <v>#VALUE!</v>
      </c>
      <c r="ES105" s="22" t="e">
        <f aca="false">AND(#REF!,"AAAAAHcjbJQ=")</f>
        <v>#VALUE!</v>
      </c>
      <c r="ET105" s="22" t="e">
        <f aca="false">AND(#REF!,"AAAAAHcjbJU=")</f>
        <v>#VALUE!</v>
      </c>
      <c r="EU105" s="22" t="e">
        <f aca="false">AND(#REF!,"AAAAAHcjbJY=")</f>
        <v>#VALUE!</v>
      </c>
      <c r="EV105" s="22" t="e">
        <f aca="false">AND(#REF!,"AAAAAHcjbJc=")</f>
        <v>#VALUE!</v>
      </c>
      <c r="EW105" s="22" t="e">
        <f aca="false">AND(#REF!,"AAAAAHcjbJg=")</f>
        <v>#VALUE!</v>
      </c>
      <c r="EX105" s="22" t="e">
        <f aca="false">AND(#REF!,"AAAAAHcjbJk=")</f>
        <v>#VALUE!</v>
      </c>
      <c r="EY105" s="22" t="e">
        <f aca="false">AND(#REF!,"AAAAAHcjbJo=")</f>
        <v>#VALUE!</v>
      </c>
      <c r="EZ105" s="22" t="e">
        <f aca="false">AND(#REF!,"AAAAAHcjbJs=")</f>
        <v>#VALUE!</v>
      </c>
      <c r="FA105" s="22" t="e">
        <f aca="false">AND(#REF!,"AAAAAHcjbJw=")</f>
        <v>#VALUE!</v>
      </c>
      <c r="FB105" s="22" t="e">
        <f aca="false">AND(#REF!,"AAAAAHcjbJ0=")</f>
        <v>#VALUE!</v>
      </c>
      <c r="FC105" s="22" t="e">
        <f aca="false">AND(#REF!,"AAAAAHcjbJ4=")</f>
        <v>#VALUE!</v>
      </c>
      <c r="FD105" s="22" t="e">
        <f aca="false">AND(#REF!,"AAAAAHcjbJ8=")</f>
        <v>#VALUE!</v>
      </c>
      <c r="FE105" s="22" t="e">
        <f aca="false">AND(#REF!,"AAAAAHcjbKA=")</f>
        <v>#VALUE!</v>
      </c>
      <c r="FF105" s="22" t="e">
        <f aca="false">AND(#REF!,"AAAAAHcjbKE=")</f>
        <v>#VALUE!</v>
      </c>
      <c r="FG105" s="22" t="e">
        <f aca="false">AND(#REF!,"AAAAAHcjbKI=")</f>
        <v>#VALUE!</v>
      </c>
      <c r="FH105" s="22" t="e">
        <f aca="false">AND(#REF!,"AAAAAHcjbKM=")</f>
        <v>#VALUE!</v>
      </c>
      <c r="FI105" s="22" t="e">
        <f aca="false">AND(#REF!,"AAAAAHcjbKQ=")</f>
        <v>#VALUE!</v>
      </c>
      <c r="FJ105" s="22" t="e">
        <f aca="false">AND(#REF!,"AAAAAHcjbKU=")</f>
        <v>#VALUE!</v>
      </c>
      <c r="FK105" s="22" t="e">
        <f aca="false">AND(#REF!,"AAAAAHcjbKY=")</f>
        <v>#VALUE!</v>
      </c>
      <c r="FL105" s="22" t="e">
        <f aca="false">AND(#REF!,"AAAAAHcjbKc=")</f>
        <v>#VALUE!</v>
      </c>
      <c r="FM105" s="22" t="e">
        <f aca="false">AND(#REF!,"AAAAAHcjbKg=")</f>
        <v>#VALUE!</v>
      </c>
      <c r="FN105" s="22" t="e">
        <f aca="false">AND(#REF!,"AAAAAHcjbKk=")</f>
        <v>#VALUE!</v>
      </c>
      <c r="FO105" s="22" t="e">
        <f aca="false">AND(#REF!,"AAAAAHcjbKo=")</f>
        <v>#VALUE!</v>
      </c>
      <c r="FP105" s="22" t="e">
        <f aca="false">AND(#REF!,"AAAAAHcjbKs=")</f>
        <v>#VALUE!</v>
      </c>
      <c r="FQ105" s="22" t="e">
        <f aca="false">AND(#REF!,"AAAAAHcjbKw=")</f>
        <v>#VALUE!</v>
      </c>
      <c r="FR105" s="22" t="e">
        <f aca="false">AND(#REF!,"AAAAAHcjbK0=")</f>
        <v>#VALUE!</v>
      </c>
      <c r="FS105" s="22" t="e">
        <f aca="false">AND(#REF!,"AAAAAHcjbK4=")</f>
        <v>#VALUE!</v>
      </c>
      <c r="FT105" s="22" t="e">
        <f aca="false">AND(#REF!,"AAAAAHcjbK8=")</f>
        <v>#VALUE!</v>
      </c>
      <c r="FU105" s="22" t="e">
        <f aca="false">AND(#REF!,"AAAAAHcjbLA=")</f>
        <v>#VALUE!</v>
      </c>
      <c r="FV105" s="22" t="e">
        <f aca="false">AND(#REF!,"AAAAAHcjbLE=")</f>
        <v>#VALUE!</v>
      </c>
      <c r="FW105" s="22" t="e">
        <f aca="false">AND(#REF!,"AAAAAHcjbLI=")</f>
        <v>#VALUE!</v>
      </c>
      <c r="FX105" s="22" t="e">
        <f aca="false">AND(#REF!,"AAAAAHcjbLM=")</f>
        <v>#VALUE!</v>
      </c>
      <c r="FY105" s="22" t="e">
        <f aca="false">AND(#REF!,"AAAAAHcjbLQ=")</f>
        <v>#VALUE!</v>
      </c>
      <c r="FZ105" s="22" t="e">
        <f aca="false">AND(#REF!,"AAAAAHcjbLU=")</f>
        <v>#VALUE!</v>
      </c>
      <c r="GA105" s="22" t="e">
        <f aca="false">AND(#REF!,"AAAAAHcjbLY=")</f>
        <v>#VALUE!</v>
      </c>
      <c r="GB105" s="22" t="e">
        <f aca="false">AND(#REF!,"AAAAAHcjbLc=")</f>
        <v>#VALUE!</v>
      </c>
      <c r="GC105" s="22" t="e">
        <f aca="false">AND(#REF!,"AAAAAHcjbLg=")</f>
        <v>#VALUE!</v>
      </c>
      <c r="GD105" s="22" t="e">
        <f aca="false">AND(#REF!,"AAAAAHcjbLk=")</f>
        <v>#VALUE!</v>
      </c>
      <c r="GE105" s="22" t="e">
        <f aca="false">AND(#REF!,"AAAAAHcjbLo=")</f>
        <v>#VALUE!</v>
      </c>
      <c r="GF105" s="22" t="e">
        <f aca="false">AND(#REF!,"AAAAAHcjbLs=")</f>
        <v>#VALUE!</v>
      </c>
      <c r="GG105" s="22" t="e">
        <f aca="false">AND(#REF!,"AAAAAHcjbLw=")</f>
        <v>#VALUE!</v>
      </c>
      <c r="GH105" s="22" t="e">
        <f aca="false">AND(#REF!,"AAAAAHcjbL0=")</f>
        <v>#VALUE!</v>
      </c>
      <c r="GI105" s="22" t="e">
        <f aca="false">AND(#REF!,"AAAAAHcjbL4=")</f>
        <v>#VALUE!</v>
      </c>
      <c r="GJ105" s="22" t="e">
        <f aca="false">AND(#REF!,"AAAAAHcjbL8=")</f>
        <v>#VALUE!</v>
      </c>
      <c r="GK105" s="22" t="e">
        <f aca="false">AND(#REF!,"AAAAAHcjbMA=")</f>
        <v>#VALUE!</v>
      </c>
      <c r="GL105" s="22" t="e">
        <f aca="false">AND(#REF!,"AAAAAHcjbME=")</f>
        <v>#VALUE!</v>
      </c>
      <c r="GM105" s="22" t="e">
        <f aca="false">AND(#REF!,"AAAAAHcjbMI=")</f>
        <v>#VALUE!</v>
      </c>
      <c r="GN105" s="22" t="e">
        <f aca="false">AND(#REF!,"AAAAAHcjbMM=")</f>
        <v>#VALUE!</v>
      </c>
      <c r="GO105" s="22" t="e">
        <f aca="false">AND(#REF!,"AAAAAHcjbMQ=")</f>
        <v>#VALUE!</v>
      </c>
      <c r="GP105" s="22" t="e">
        <f aca="false">AND(#REF!,"AAAAAHcjbMU=")</f>
        <v>#VALUE!</v>
      </c>
      <c r="GQ105" s="22" t="e">
        <f aca="false">AND(#REF!,"AAAAAHcjbMY=")</f>
        <v>#VALUE!</v>
      </c>
      <c r="GR105" s="22" t="e">
        <f aca="false">AND(#REF!,"AAAAAHcjbMc=")</f>
        <v>#VALUE!</v>
      </c>
      <c r="GS105" s="22" t="e">
        <f aca="false">AND(#REF!,"AAAAAHcjbMg=")</f>
        <v>#VALUE!</v>
      </c>
      <c r="GT105" s="22" t="e">
        <f aca="false">AND(#REF!,"AAAAAHcjbMk=")</f>
        <v>#VALUE!</v>
      </c>
      <c r="GU105" s="22" t="e">
        <f aca="false">AND(#REF!,"AAAAAHcjbMo=")</f>
        <v>#VALUE!</v>
      </c>
      <c r="GV105" s="22" t="e">
        <f aca="false">AND(#REF!,"AAAAAHcjbMs=")</f>
        <v>#VALUE!</v>
      </c>
      <c r="GW105" s="22" t="e">
        <f aca="false">AND(#REF!,"AAAAAHcjbMw=")</f>
        <v>#VALUE!</v>
      </c>
      <c r="GX105" s="22" t="e">
        <f aca="false">AND(#REF!,"AAAAAHcjbM0=")</f>
        <v>#VALUE!</v>
      </c>
      <c r="GY105" s="22" t="e">
        <f aca="false">AND(#REF!,"AAAAAHcjbM4=")</f>
        <v>#VALUE!</v>
      </c>
      <c r="GZ105" s="22" t="e">
        <f aca="false">AND(#REF!,"AAAAAHcjbM8=")</f>
        <v>#VALUE!</v>
      </c>
      <c r="HA105" s="22" t="e">
        <f aca="false">AND(#REF!,"AAAAAHcjbNA=")</f>
        <v>#VALUE!</v>
      </c>
      <c r="HB105" s="22" t="e">
        <f aca="false">AND(#REF!,"AAAAAHcjbNE=")</f>
        <v>#VALUE!</v>
      </c>
      <c r="HC105" s="22" t="e">
        <f aca="false">AND(#REF!,"AAAAAHcjbNI=")</f>
        <v>#VALUE!</v>
      </c>
      <c r="HD105" s="22" t="e">
        <f aca="false">AND(#REF!,"AAAAAHcjbNM=")</f>
        <v>#VALUE!</v>
      </c>
      <c r="HE105" s="22" t="e">
        <f aca="false">AND(#REF!,"AAAAAHcjbNQ=")</f>
        <v>#VALUE!</v>
      </c>
      <c r="HF105" s="22" t="e">
        <f aca="false">AND(#REF!,"AAAAAHcjbNU=")</f>
        <v>#VALUE!</v>
      </c>
      <c r="HG105" s="22" t="e">
        <f aca="false">AND(#REF!,"AAAAAHcjbNY=")</f>
        <v>#VALUE!</v>
      </c>
      <c r="HH105" s="22" t="e">
        <f aca="false">AND(#REF!,"AAAAAHcjbNc=")</f>
        <v>#VALUE!</v>
      </c>
      <c r="HI105" s="22" t="e">
        <f aca="false">AND(#REF!,"AAAAAHcjbNg=")</f>
        <v>#VALUE!</v>
      </c>
      <c r="HJ105" s="22" t="e">
        <f aca="false">AND(#REF!,"AAAAAHcjbNk=")</f>
        <v>#VALUE!</v>
      </c>
      <c r="HK105" s="22" t="e">
        <f aca="false">AND(#REF!,"AAAAAHcjbNo=")</f>
        <v>#VALUE!</v>
      </c>
      <c r="HL105" s="22" t="e">
        <f aca="false">AND(#REF!,"AAAAAHcjbNs=")</f>
        <v>#VALUE!</v>
      </c>
      <c r="HM105" s="22" t="e">
        <f aca="false">AND(#REF!,"AAAAAHcjbNw=")</f>
        <v>#VALUE!</v>
      </c>
      <c r="HN105" s="22" t="e">
        <f aca="false">AND(#REF!,"AAAAAHcjbN0=")</f>
        <v>#VALUE!</v>
      </c>
      <c r="HO105" s="22" t="e">
        <f aca="false">AND(#REF!,"AAAAAHcjbN4=")</f>
        <v>#VALUE!</v>
      </c>
      <c r="HP105" s="22" t="e">
        <f aca="false">AND(#REF!,"AAAAAHcjbN8=")</f>
        <v>#VALUE!</v>
      </c>
      <c r="HQ105" s="22" t="e">
        <f aca="false">AND(#REF!,"AAAAAHcjbOA=")</f>
        <v>#VALUE!</v>
      </c>
      <c r="HR105" s="22" t="e">
        <f aca="false">AND(#REF!,"AAAAAHcjbOE=")</f>
        <v>#VALUE!</v>
      </c>
      <c r="HS105" s="22" t="e">
        <f aca="false">AND(#REF!,"AAAAAHcjbOI=")</f>
        <v>#VALUE!</v>
      </c>
      <c r="HT105" s="22" t="e">
        <f aca="false">AND(#REF!,"AAAAAHcjbOM=")</f>
        <v>#VALUE!</v>
      </c>
      <c r="HU105" s="22" t="e">
        <f aca="false">AND(#REF!,"AAAAAHcjbOQ=")</f>
        <v>#VALUE!</v>
      </c>
      <c r="HV105" s="22" t="e">
        <f aca="false">AND(#REF!,"AAAAAHcjbOU=")</f>
        <v>#VALUE!</v>
      </c>
      <c r="HW105" s="22" t="e">
        <f aca="false">AND(#REF!,"AAAAAHcjbOY=")</f>
        <v>#VALUE!</v>
      </c>
      <c r="HX105" s="22" t="e">
        <f aca="false">AND(#REF!,"AAAAAHcjbOc=")</f>
        <v>#VALUE!</v>
      </c>
      <c r="HY105" s="22" t="e">
        <f aca="false">AND(#REF!,"AAAAAHcjbOg=")</f>
        <v>#VALUE!</v>
      </c>
      <c r="HZ105" s="22" t="e">
        <f aca="false">AND(#REF!,"AAAAAHcjbOk=")</f>
        <v>#VALUE!</v>
      </c>
      <c r="IA105" s="22" t="e">
        <f aca="false">AND(#REF!,"AAAAAHcjbOo=")</f>
        <v>#VALUE!</v>
      </c>
      <c r="IB105" s="22" t="e">
        <f aca="false">AND(#REF!,"AAAAAHcjbOs=")</f>
        <v>#VALUE!</v>
      </c>
      <c r="IC105" s="22" t="e">
        <f aca="false">AND(#REF!,"AAAAAHcjbOw=")</f>
        <v>#VALUE!</v>
      </c>
      <c r="ID105" s="22" t="e">
        <f aca="false">AND(#REF!,"AAAAAHcjbO0=")</f>
        <v>#VALUE!</v>
      </c>
      <c r="IE105" s="22" t="e">
        <f aca="false">AND(#REF!,"AAAAAHcjbO4=")</f>
        <v>#VALUE!</v>
      </c>
      <c r="IF105" s="22" t="e">
        <f aca="false">AND(#REF!,"AAAAAHcjbO8=")</f>
        <v>#VALUE!</v>
      </c>
      <c r="IG105" s="22" t="e">
        <f aca="false">AND(#REF!,"AAAAAHcjbPA=")</f>
        <v>#VALUE!</v>
      </c>
      <c r="IH105" s="22" t="e">
        <f aca="false">AND(#REF!,"AAAAAHcjbPE=")</f>
        <v>#VALUE!</v>
      </c>
      <c r="II105" s="22" t="e">
        <f aca="false">AND(#REF!,"AAAAAHcjbPI=")</f>
        <v>#VALUE!</v>
      </c>
      <c r="IJ105" s="22" t="e">
        <f aca="false">AND(#REF!,"AAAAAHcjbPM=")</f>
        <v>#VALUE!</v>
      </c>
      <c r="IK105" s="22" t="e">
        <f aca="false">AND(#REF!,"AAAAAHcjbPQ=")</f>
        <v>#VALUE!</v>
      </c>
      <c r="IL105" s="22" t="e">
        <f aca="false">AND(#REF!,"AAAAAHcjbPU=")</f>
        <v>#VALUE!</v>
      </c>
      <c r="IM105" s="22" t="e">
        <f aca="false">AND(#REF!,"AAAAAHcjbPY=")</f>
        <v>#VALUE!</v>
      </c>
      <c r="IN105" s="22" t="e">
        <f aca="false">AND(#REF!,"AAAAAHcjbPc=")</f>
        <v>#VALUE!</v>
      </c>
      <c r="IO105" s="22" t="e">
        <f aca="false">AND(#REF!,"AAAAAHcjbPg=")</f>
        <v>#VALUE!</v>
      </c>
      <c r="IP105" s="22" t="e">
        <f aca="false">AND(#REF!,"AAAAAHcjbPk=")</f>
        <v>#VALUE!</v>
      </c>
      <c r="IQ105" s="22" t="e">
        <f aca="false">AND(#REF!,"AAAAAHcjbPo=")</f>
        <v>#VALUE!</v>
      </c>
      <c r="IR105" s="22" t="e">
        <f aca="false">AND(#REF!,"AAAAAHcjbPs=")</f>
        <v>#VALUE!</v>
      </c>
      <c r="IS105" s="22" t="e">
        <f aca="false">AND(#REF!,"AAAAAHcjbPw=")</f>
        <v>#VALUE!</v>
      </c>
      <c r="IT105" s="22" t="e">
        <f aca="false">AND(#REF!,"AAAAAHcjbP0=")</f>
        <v>#VALUE!</v>
      </c>
      <c r="IU105" s="22" t="e">
        <f aca="false">AND(#REF!,"AAAAAHcjbP4=")</f>
        <v>#VALUE!</v>
      </c>
      <c r="IV105" s="22" t="e">
        <f aca="false">AND(#REF!,"AAAAAHcjbP8=")</f>
        <v>#VALUE!</v>
      </c>
    </row>
    <row r="106" customFormat="false" ht="12.75" hidden="false" customHeight="false" outlineLevel="0" collapsed="false">
      <c r="A106" s="22" t="e">
        <f aca="false">AND(#REF!,"AAAAAD6fnwA=")</f>
        <v>#VALUE!</v>
      </c>
      <c r="B106" s="22" t="e">
        <f aca="false">AND(#REF!,"AAAAAD6fnwE=")</f>
        <v>#VALUE!</v>
      </c>
      <c r="C106" s="22" t="e">
        <f aca="false">AND(#REF!,"AAAAAD6fnwI=")</f>
        <v>#VALUE!</v>
      </c>
      <c r="D106" s="22" t="e">
        <f aca="false">AND(#REF!,"AAAAAD6fnwM=")</f>
        <v>#VALUE!</v>
      </c>
      <c r="E106" s="22" t="e">
        <f aca="false">AND(#REF!,"AAAAAD6fnwQ=")</f>
        <v>#VALUE!</v>
      </c>
      <c r="F106" s="22" t="e">
        <f aca="false">AND(#REF!,"AAAAAD6fnwU=")</f>
        <v>#VALUE!</v>
      </c>
      <c r="G106" s="22" t="e">
        <f aca="false">AND(#REF!,"AAAAAD6fnwY=")</f>
        <v>#VALUE!</v>
      </c>
      <c r="H106" s="22" t="e">
        <f aca="false">AND(#REF!,"AAAAAD6fnwc=")</f>
        <v>#VALUE!</v>
      </c>
      <c r="I106" s="22" t="e">
        <f aca="false">AND(#REF!,"AAAAAD6fnwg=")</f>
        <v>#VALUE!</v>
      </c>
      <c r="J106" s="22" t="e">
        <f aca="false">AND(#REF!,"AAAAAD6fnwk=")</f>
        <v>#VALUE!</v>
      </c>
      <c r="K106" s="22" t="e">
        <f aca="false">AND(#REF!,"AAAAAD6fnwo=")</f>
        <v>#VALUE!</v>
      </c>
      <c r="L106" s="22" t="e">
        <f aca="false">AND(#REF!,"AAAAAD6fnws=")</f>
        <v>#VALUE!</v>
      </c>
      <c r="M106" s="22" t="e">
        <f aca="false">AND(#REF!,"AAAAAD6fnww=")</f>
        <v>#VALUE!</v>
      </c>
      <c r="N106" s="22" t="e">
        <f aca="false">AND(#REF!,"AAAAAD6fnw0=")</f>
        <v>#VALUE!</v>
      </c>
      <c r="O106" s="22" t="e">
        <f aca="false">AND(#REF!,"AAAAAD6fnw4=")</f>
        <v>#VALUE!</v>
      </c>
      <c r="P106" s="22" t="e">
        <f aca="false">AND(#REF!,"AAAAAD6fnw8=")</f>
        <v>#VALUE!</v>
      </c>
      <c r="Q106" s="22" t="e">
        <f aca="false">AND(#REF!,"AAAAAD6fnxA=")</f>
        <v>#VALUE!</v>
      </c>
      <c r="R106" s="22" t="e">
        <f aca="false">AND(#REF!,"AAAAAD6fnxE=")</f>
        <v>#VALUE!</v>
      </c>
      <c r="S106" s="22" t="e">
        <f aca="false">AND(#REF!,"AAAAAD6fnxI=")</f>
        <v>#VALUE!</v>
      </c>
      <c r="T106" s="22" t="e">
        <f aca="false">AND(#REF!,"AAAAAD6fnxM=")</f>
        <v>#VALUE!</v>
      </c>
      <c r="U106" s="22" t="e">
        <f aca="false">AND(#REF!,"AAAAAD6fnxQ=")</f>
        <v>#VALUE!</v>
      </c>
      <c r="V106" s="22" t="e">
        <f aca="false">AND(#REF!,"AAAAAD6fnxU=")</f>
        <v>#VALUE!</v>
      </c>
      <c r="W106" s="22" t="e">
        <f aca="false">AND(#REF!,"AAAAAD6fnxY=")</f>
        <v>#VALUE!</v>
      </c>
      <c r="X106" s="22" t="e">
        <f aca="false">AND(#REF!,"AAAAAD6fnxc=")</f>
        <v>#VALUE!</v>
      </c>
      <c r="Y106" s="22" t="e">
        <f aca="false">AND(#REF!,"AAAAAD6fnxg=")</f>
        <v>#VALUE!</v>
      </c>
      <c r="Z106" s="22" t="e">
        <f aca="false">AND(#REF!,"AAAAAD6fnxk=")</f>
        <v>#VALUE!</v>
      </c>
      <c r="AA106" s="22" t="e">
        <f aca="false">AND(#REF!,"AAAAAD6fnxo=")</f>
        <v>#VALUE!</v>
      </c>
      <c r="AB106" s="22" t="e">
        <f aca="false">AND(#REF!,"AAAAAD6fnxs=")</f>
        <v>#VALUE!</v>
      </c>
      <c r="AC106" s="22" t="e">
        <f aca="false">AND(#REF!,"AAAAAD6fnxw=")</f>
        <v>#VALUE!</v>
      </c>
      <c r="AD106" s="22" t="e">
        <f aca="false">AND(#REF!,"AAAAAD6fnx0=")</f>
        <v>#VALUE!</v>
      </c>
      <c r="AE106" s="22" t="e">
        <f aca="false">AND(#REF!,"AAAAAD6fnx4=")</f>
        <v>#VALUE!</v>
      </c>
      <c r="AF106" s="22" t="e">
        <f aca="false">AND(#REF!,"AAAAAD6fnx8=")</f>
        <v>#VALUE!</v>
      </c>
      <c r="AG106" s="22" t="e">
        <f aca="false">AND(#REF!,"AAAAAD6fnyA=")</f>
        <v>#VALUE!</v>
      </c>
      <c r="AH106" s="22" t="e">
        <f aca="false">AND(#REF!,"AAAAAD6fnyE=")</f>
        <v>#VALUE!</v>
      </c>
      <c r="AI106" s="22" t="e">
        <f aca="false">AND(#REF!,"AAAAAD6fnyI=")</f>
        <v>#VALUE!</v>
      </c>
      <c r="AJ106" s="22" t="e">
        <f aca="false">AND(#REF!,"AAAAAD6fnyM=")</f>
        <v>#VALUE!</v>
      </c>
      <c r="AK106" s="22" t="e">
        <f aca="false">AND(#REF!,"AAAAAD6fnyQ=")</f>
        <v>#VALUE!</v>
      </c>
      <c r="AL106" s="22" t="e">
        <f aca="false">AND(#REF!,"AAAAAD6fnyU=")</f>
        <v>#VALUE!</v>
      </c>
      <c r="AM106" s="22" t="e">
        <f aca="false">AND(#REF!,"AAAAAD6fnyY=")</f>
        <v>#VALUE!</v>
      </c>
      <c r="AN106" s="22" t="e">
        <f aca="false">AND(#REF!,"AAAAAD6fnyc=")</f>
        <v>#VALUE!</v>
      </c>
      <c r="AO106" s="22" t="e">
        <f aca="false">AND(#REF!,"AAAAAD6fnyg=")</f>
        <v>#VALUE!</v>
      </c>
      <c r="AP106" s="22" t="e">
        <f aca="false">AND(#REF!,"AAAAAD6fnyk=")</f>
        <v>#VALUE!</v>
      </c>
      <c r="AQ106" s="22" t="e">
        <f aca="false">AND(#REF!,"AAAAAD6fnyo=")</f>
        <v>#VALUE!</v>
      </c>
      <c r="AR106" s="22" t="e">
        <f aca="false">AND(#REF!,"AAAAAD6fnys=")</f>
        <v>#VALUE!</v>
      </c>
      <c r="AS106" s="22" t="e">
        <f aca="false">AND(#REF!,"AAAAAD6fnyw=")</f>
        <v>#VALUE!</v>
      </c>
      <c r="AT106" s="22" t="e">
        <f aca="false">AND(#REF!,"AAAAAD6fny0=")</f>
        <v>#VALUE!</v>
      </c>
      <c r="AU106" s="22" t="e">
        <f aca="false">AND(#REF!,"AAAAAD6fny4=")</f>
        <v>#VALUE!</v>
      </c>
      <c r="AV106" s="22" t="e">
        <f aca="false">AND(#REF!,"AAAAAD6fny8=")</f>
        <v>#VALUE!</v>
      </c>
      <c r="AW106" s="22" t="e">
        <f aca="false">AND(#REF!,"AAAAAD6fnzA=")</f>
        <v>#VALUE!</v>
      </c>
      <c r="AX106" s="22" t="e">
        <f aca="false">AND(#REF!,"AAAAAD6fnzE=")</f>
        <v>#VALUE!</v>
      </c>
      <c r="AY106" s="22" t="e">
        <f aca="false">AND(#REF!,"AAAAAD6fnzI=")</f>
        <v>#VALUE!</v>
      </c>
      <c r="AZ106" s="22" t="e">
        <f aca="false">AND(#REF!,"AAAAAD6fnzM=")</f>
        <v>#VALUE!</v>
      </c>
      <c r="BA106" s="22" t="e">
        <f aca="false">AND(#REF!,"AAAAAD6fnzQ=")</f>
        <v>#VALUE!</v>
      </c>
      <c r="BB106" s="22" t="e">
        <f aca="false">AND(#REF!,"AAAAAD6fnzU=")</f>
        <v>#VALUE!</v>
      </c>
      <c r="BC106" s="22" t="e">
        <f aca="false">AND(#REF!,"AAAAAD6fnzY=")</f>
        <v>#VALUE!</v>
      </c>
      <c r="BD106" s="22" t="e">
        <f aca="false">AND(#REF!,"AAAAAD6fnzc=")</f>
        <v>#VALUE!</v>
      </c>
      <c r="BE106" s="22" t="e">
        <f aca="false">AND(#REF!,"AAAAAD6fnzg=")</f>
        <v>#VALUE!</v>
      </c>
      <c r="BF106" s="22" t="e">
        <f aca="false">AND(#REF!,"AAAAAD6fnzk=")</f>
        <v>#VALUE!</v>
      </c>
      <c r="BG106" s="22" t="e">
        <f aca="false">AND(#REF!,"AAAAAD6fnzo=")</f>
        <v>#VALUE!</v>
      </c>
      <c r="BH106" s="22" t="e">
        <f aca="false">AND(#REF!,"AAAAAD6fnzs=")</f>
        <v>#VALUE!</v>
      </c>
      <c r="BI106" s="22" t="e">
        <f aca="false">AND(#REF!,"AAAAAD6fnzw=")</f>
        <v>#VALUE!</v>
      </c>
      <c r="BJ106" s="22" t="e">
        <f aca="false">AND(#REF!,"AAAAAD6fnz0=")</f>
        <v>#VALUE!</v>
      </c>
      <c r="BK106" s="22" t="e">
        <f aca="false">AND(#REF!,"AAAAAD6fnz4=")</f>
        <v>#VALUE!</v>
      </c>
      <c r="BL106" s="22" t="e">
        <f aca="false">AND(#REF!,"AAAAAD6fnz8=")</f>
        <v>#VALUE!</v>
      </c>
      <c r="BM106" s="22" t="e">
        <f aca="false">AND(#REF!,"AAAAAD6fn0A=")</f>
        <v>#VALUE!</v>
      </c>
      <c r="BN106" s="22" t="e">
        <f aca="false">AND(#REF!,"AAAAAD6fn0E=")</f>
        <v>#VALUE!</v>
      </c>
      <c r="BO106" s="22" t="e">
        <f aca="false">AND(#REF!,"AAAAAD6fn0I=")</f>
        <v>#VALUE!</v>
      </c>
      <c r="BP106" s="22" t="e">
        <f aca="false">AND(#REF!,"AAAAAD6fn0M=")</f>
        <v>#VALUE!</v>
      </c>
      <c r="BQ106" s="22" t="e">
        <f aca="false">AND(#REF!,"AAAAAD6fn0Q=")</f>
        <v>#VALUE!</v>
      </c>
      <c r="BR106" s="22" t="e">
        <f aca="false">AND(#REF!,"AAAAAD6fn0U=")</f>
        <v>#VALUE!</v>
      </c>
      <c r="BS106" s="22" t="e">
        <f aca="false">AND(#REF!,"AAAAAD6fn0Y=")</f>
        <v>#VALUE!</v>
      </c>
      <c r="BT106" s="22" t="e">
        <f aca="false">AND(#REF!,"AAAAAD6fn0c=")</f>
        <v>#VALUE!</v>
      </c>
      <c r="BU106" s="22" t="e">
        <f aca="false">AND(#REF!,"AAAAAD6fn0g=")</f>
        <v>#VALUE!</v>
      </c>
      <c r="BV106" s="22" t="e">
        <f aca="false">AND(#REF!,"AAAAAD6fn0k=")</f>
        <v>#VALUE!</v>
      </c>
      <c r="BW106" s="22" t="e">
        <f aca="false">AND(#REF!,"AAAAAD6fn0o=")</f>
        <v>#VALUE!</v>
      </c>
      <c r="BX106" s="22" t="e">
        <f aca="false">AND(#REF!,"AAAAAD6fn0s=")</f>
        <v>#VALUE!</v>
      </c>
      <c r="BY106" s="22" t="e">
        <f aca="false">AND(#REF!,"AAAAAD6fn0w=")</f>
        <v>#VALUE!</v>
      </c>
      <c r="BZ106" s="22" t="e">
        <f aca="false">AND(#REF!,"AAAAAD6fn00=")</f>
        <v>#VALUE!</v>
      </c>
      <c r="CA106" s="22" t="e">
        <f aca="false">AND(#REF!,"AAAAAD6fn04=")</f>
        <v>#VALUE!</v>
      </c>
      <c r="CB106" s="22" t="e">
        <f aca="false">AND(#REF!,"AAAAAD6fn08=")</f>
        <v>#VALUE!</v>
      </c>
      <c r="CC106" s="22" t="e">
        <f aca="false">AND(#REF!,"AAAAAD6fn1A=")</f>
        <v>#VALUE!</v>
      </c>
      <c r="CD106" s="22" t="e">
        <f aca="false">AND(#REF!,"AAAAAD6fn1E=")</f>
        <v>#VALUE!</v>
      </c>
      <c r="CE106" s="22" t="e">
        <f aca="false">AND(#REF!,"AAAAAD6fn1I=")</f>
        <v>#VALUE!</v>
      </c>
      <c r="CF106" s="22" t="e">
        <f aca="false">AND(#REF!,"AAAAAD6fn1M=")</f>
        <v>#VALUE!</v>
      </c>
      <c r="CG106" s="22" t="e">
        <f aca="false">AND(#REF!,"AAAAAD6fn1Q=")</f>
        <v>#VALUE!</v>
      </c>
      <c r="CH106" s="22" t="e">
        <f aca="false">AND(#REF!,"AAAAAD6fn1U=")</f>
        <v>#VALUE!</v>
      </c>
      <c r="CI106" s="22" t="e">
        <f aca="false">AND(#REF!,"AAAAAD6fn1Y=")</f>
        <v>#VALUE!</v>
      </c>
      <c r="CJ106" s="22" t="e">
        <f aca="false">AND(#REF!,"AAAAAD6fn1c=")</f>
        <v>#VALUE!</v>
      </c>
      <c r="CK106" s="22" t="e">
        <f aca="false">AND(#REF!,"AAAAAD6fn1g=")</f>
        <v>#VALUE!</v>
      </c>
      <c r="CL106" s="22" t="e">
        <f aca="false">AND(#REF!,"AAAAAD6fn1k=")</f>
        <v>#VALUE!</v>
      </c>
      <c r="CM106" s="22" t="e">
        <f aca="false">AND(#REF!,"AAAAAD6fn1o=")</f>
        <v>#VALUE!</v>
      </c>
      <c r="CN106" s="22" t="e">
        <f aca="false">AND(#REF!,"AAAAAD6fn1s=")</f>
        <v>#VALUE!</v>
      </c>
      <c r="CO106" s="22" t="e">
        <f aca="false">AND(#REF!,"AAAAAD6fn1w=")</f>
        <v>#VALUE!</v>
      </c>
      <c r="CP106" s="22" t="e">
        <f aca="false">IF(#REF!,"AAAAAD6fn10=",0)</f>
        <v>#REF!</v>
      </c>
      <c r="CQ106" s="22" t="e">
        <f aca="false">AND(#REF!,"AAAAAD6fn14=")</f>
        <v>#VALUE!</v>
      </c>
      <c r="CR106" s="22" t="e">
        <f aca="false">AND(#REF!,"AAAAAD6fn18=")</f>
        <v>#VALUE!</v>
      </c>
      <c r="CS106" s="22" t="e">
        <f aca="false">AND(#REF!,"AAAAAD6fn2A=")</f>
        <v>#VALUE!</v>
      </c>
      <c r="CT106" s="22" t="e">
        <f aca="false">AND(#REF!,"AAAAAD6fn2E=")</f>
        <v>#VALUE!</v>
      </c>
      <c r="CU106" s="22" t="e">
        <f aca="false">AND(#REF!,"AAAAAD6fn2I=")</f>
        <v>#VALUE!</v>
      </c>
      <c r="CV106" s="22" t="e">
        <f aca="false">AND(#REF!,"AAAAAD6fn2M=")</f>
        <v>#VALUE!</v>
      </c>
      <c r="CW106" s="22" t="e">
        <f aca="false">AND(#REF!,"AAAAAD6fn2Q=")</f>
        <v>#VALUE!</v>
      </c>
      <c r="CX106" s="22" t="e">
        <f aca="false">AND(#REF!,"AAAAAD6fn2U=")</f>
        <v>#VALUE!</v>
      </c>
      <c r="CY106" s="22" t="e">
        <f aca="false">AND(#REF!,"AAAAAD6fn2Y=")</f>
        <v>#VALUE!</v>
      </c>
      <c r="CZ106" s="22" t="e">
        <f aca="false">AND(#REF!,"AAAAAD6fn2c=")</f>
        <v>#VALUE!</v>
      </c>
      <c r="DA106" s="22" t="e">
        <f aca="false">AND(#REF!,"AAAAAD6fn2g=")</f>
        <v>#VALUE!</v>
      </c>
      <c r="DB106" s="22" t="e">
        <f aca="false">AND(#REF!,"AAAAAD6fn2k=")</f>
        <v>#VALUE!</v>
      </c>
      <c r="DC106" s="22" t="e">
        <f aca="false">AND(#REF!,"AAAAAD6fn2o=")</f>
        <v>#VALUE!</v>
      </c>
      <c r="DD106" s="22" t="e">
        <f aca="false">AND(#REF!,"AAAAAD6fn2s=")</f>
        <v>#VALUE!</v>
      </c>
      <c r="DE106" s="22" t="e">
        <f aca="false">AND(#REF!,"AAAAAD6fn2w=")</f>
        <v>#VALUE!</v>
      </c>
      <c r="DF106" s="22" t="e">
        <f aca="false">AND(#REF!,"AAAAAD6fn20=")</f>
        <v>#VALUE!</v>
      </c>
      <c r="DG106" s="22" t="e">
        <f aca="false">AND(#REF!,"AAAAAD6fn24=")</f>
        <v>#VALUE!</v>
      </c>
      <c r="DH106" s="22" t="e">
        <f aca="false">AND(#REF!,"AAAAAD6fn28=")</f>
        <v>#VALUE!</v>
      </c>
      <c r="DI106" s="22" t="e">
        <f aca="false">AND(#REF!,"AAAAAD6fn3A=")</f>
        <v>#VALUE!</v>
      </c>
      <c r="DJ106" s="22" t="e">
        <f aca="false">AND(#REF!,"AAAAAD6fn3E=")</f>
        <v>#VALUE!</v>
      </c>
      <c r="DK106" s="22" t="e">
        <f aca="false">AND(#REF!,"AAAAAD6fn3I=")</f>
        <v>#VALUE!</v>
      </c>
      <c r="DL106" s="22" t="e">
        <f aca="false">AND(#REF!,"AAAAAD6fn3M=")</f>
        <v>#VALUE!</v>
      </c>
      <c r="DM106" s="22" t="e">
        <f aca="false">AND(#REF!,"AAAAAD6fn3Q=")</f>
        <v>#VALUE!</v>
      </c>
      <c r="DN106" s="22" t="e">
        <f aca="false">AND(#REF!,"AAAAAD6fn3U=")</f>
        <v>#VALUE!</v>
      </c>
      <c r="DO106" s="22" t="e">
        <f aca="false">AND(#REF!,"AAAAAD6fn3Y=")</f>
        <v>#VALUE!</v>
      </c>
      <c r="DP106" s="22" t="e">
        <f aca="false">AND(#REF!,"AAAAAD6fn3c=")</f>
        <v>#VALUE!</v>
      </c>
      <c r="DQ106" s="22" t="e">
        <f aca="false">AND(#REF!,"AAAAAD6fn3g=")</f>
        <v>#VALUE!</v>
      </c>
      <c r="DR106" s="22" t="e">
        <f aca="false">AND(#REF!,"AAAAAD6fn3k=")</f>
        <v>#VALUE!</v>
      </c>
      <c r="DS106" s="22" t="e">
        <f aca="false">AND(#REF!,"AAAAAD6fn3o=")</f>
        <v>#VALUE!</v>
      </c>
      <c r="DT106" s="22" t="e">
        <f aca="false">AND(#REF!,"AAAAAD6fn3s=")</f>
        <v>#VALUE!</v>
      </c>
      <c r="DU106" s="22" t="e">
        <f aca="false">AND(#REF!,"AAAAAD6fn3w=")</f>
        <v>#VALUE!</v>
      </c>
      <c r="DV106" s="22" t="e">
        <f aca="false">AND(#REF!,"AAAAAD6fn30=")</f>
        <v>#VALUE!</v>
      </c>
      <c r="DW106" s="22" t="e">
        <f aca="false">AND(#REF!,"AAAAAD6fn34=")</f>
        <v>#VALUE!</v>
      </c>
      <c r="DX106" s="22" t="e">
        <f aca="false">AND(#REF!,"AAAAAD6fn38=")</f>
        <v>#VALUE!</v>
      </c>
      <c r="DY106" s="22" t="e">
        <f aca="false">AND(#REF!,"AAAAAD6fn4A=")</f>
        <v>#VALUE!</v>
      </c>
      <c r="DZ106" s="22" t="e">
        <f aca="false">AND(#REF!,"AAAAAD6fn4E=")</f>
        <v>#VALUE!</v>
      </c>
      <c r="EA106" s="22" t="e">
        <f aca="false">AND(#REF!,"AAAAAD6fn4I=")</f>
        <v>#VALUE!</v>
      </c>
      <c r="EB106" s="22" t="e">
        <f aca="false">AND(#REF!,"AAAAAD6fn4M=")</f>
        <v>#VALUE!</v>
      </c>
      <c r="EC106" s="22" t="e">
        <f aca="false">AND(#REF!,"AAAAAD6fn4Q=")</f>
        <v>#VALUE!</v>
      </c>
      <c r="ED106" s="22" t="e">
        <f aca="false">AND(#REF!,"AAAAAD6fn4U=")</f>
        <v>#VALUE!</v>
      </c>
      <c r="EE106" s="22" t="e">
        <f aca="false">AND(#REF!,"AAAAAD6fn4Y=")</f>
        <v>#VALUE!</v>
      </c>
      <c r="EF106" s="22" t="e">
        <f aca="false">AND(#REF!,"AAAAAD6fn4c=")</f>
        <v>#VALUE!</v>
      </c>
      <c r="EG106" s="22" t="e">
        <f aca="false">AND(#REF!,"AAAAAD6fn4g=")</f>
        <v>#VALUE!</v>
      </c>
      <c r="EH106" s="22" t="e">
        <f aca="false">AND(#REF!,"AAAAAD6fn4k=")</f>
        <v>#VALUE!</v>
      </c>
      <c r="EI106" s="22" t="e">
        <f aca="false">AND(#REF!,"AAAAAD6fn4o=")</f>
        <v>#VALUE!</v>
      </c>
      <c r="EJ106" s="22" t="e">
        <f aca="false">AND(#REF!,"AAAAAD6fn4s=")</f>
        <v>#VALUE!</v>
      </c>
      <c r="EK106" s="22" t="e">
        <f aca="false">AND(#REF!,"AAAAAD6fn4w=")</f>
        <v>#VALUE!</v>
      </c>
      <c r="EL106" s="22" t="e">
        <f aca="false">AND(#REF!,"AAAAAD6fn40=")</f>
        <v>#VALUE!</v>
      </c>
      <c r="EM106" s="22" t="e">
        <f aca="false">AND(#REF!,"AAAAAD6fn44=")</f>
        <v>#VALUE!</v>
      </c>
      <c r="EN106" s="22" t="e">
        <f aca="false">AND(#REF!,"AAAAAD6fn48=")</f>
        <v>#VALUE!</v>
      </c>
      <c r="EO106" s="22" t="e">
        <f aca="false">AND(#REF!,"AAAAAD6fn5A=")</f>
        <v>#VALUE!</v>
      </c>
      <c r="EP106" s="22" t="e">
        <f aca="false">AND(#REF!,"AAAAAD6fn5E=")</f>
        <v>#VALUE!</v>
      </c>
      <c r="EQ106" s="22" t="e">
        <f aca="false">AND(#REF!,"AAAAAD6fn5I=")</f>
        <v>#VALUE!</v>
      </c>
      <c r="ER106" s="22" t="e">
        <f aca="false">AND(#REF!,"AAAAAD6fn5M=")</f>
        <v>#VALUE!</v>
      </c>
      <c r="ES106" s="22" t="e">
        <f aca="false">AND(#REF!,"AAAAAD6fn5Q=")</f>
        <v>#VALUE!</v>
      </c>
      <c r="ET106" s="22" t="e">
        <f aca="false">AND(#REF!,"AAAAAD6fn5U=")</f>
        <v>#VALUE!</v>
      </c>
      <c r="EU106" s="22" t="e">
        <f aca="false">AND(#REF!,"AAAAAD6fn5Y=")</f>
        <v>#VALUE!</v>
      </c>
      <c r="EV106" s="22" t="e">
        <f aca="false">AND(#REF!,"AAAAAD6fn5c=")</f>
        <v>#VALUE!</v>
      </c>
      <c r="EW106" s="22" t="e">
        <f aca="false">AND(#REF!,"AAAAAD6fn5g=")</f>
        <v>#VALUE!</v>
      </c>
      <c r="EX106" s="22" t="e">
        <f aca="false">AND(#REF!,"AAAAAD6fn5k=")</f>
        <v>#VALUE!</v>
      </c>
      <c r="EY106" s="22" t="e">
        <f aca="false">AND(#REF!,"AAAAAD6fn5o=")</f>
        <v>#VALUE!</v>
      </c>
      <c r="EZ106" s="22" t="e">
        <f aca="false">AND(#REF!,"AAAAAD6fn5s=")</f>
        <v>#VALUE!</v>
      </c>
      <c r="FA106" s="22" t="e">
        <f aca="false">AND(#REF!,"AAAAAD6fn5w=")</f>
        <v>#VALUE!</v>
      </c>
      <c r="FB106" s="22" t="e">
        <f aca="false">AND(#REF!,"AAAAAD6fn50=")</f>
        <v>#VALUE!</v>
      </c>
      <c r="FC106" s="22" t="e">
        <f aca="false">AND(#REF!,"AAAAAD6fn54=")</f>
        <v>#VALUE!</v>
      </c>
      <c r="FD106" s="22" t="e">
        <f aca="false">AND(#REF!,"AAAAAD6fn58=")</f>
        <v>#VALUE!</v>
      </c>
      <c r="FE106" s="22" t="e">
        <f aca="false">AND(#REF!,"AAAAAD6fn6A=")</f>
        <v>#VALUE!</v>
      </c>
      <c r="FF106" s="22" t="e">
        <f aca="false">AND(#REF!,"AAAAAD6fn6E=")</f>
        <v>#VALUE!</v>
      </c>
      <c r="FG106" s="22" t="e">
        <f aca="false">AND(#REF!,"AAAAAD6fn6I=")</f>
        <v>#VALUE!</v>
      </c>
      <c r="FH106" s="22" t="e">
        <f aca="false">AND(#REF!,"AAAAAD6fn6M=")</f>
        <v>#VALUE!</v>
      </c>
      <c r="FI106" s="22" t="e">
        <f aca="false">AND(#REF!,"AAAAAD6fn6Q=")</f>
        <v>#VALUE!</v>
      </c>
      <c r="FJ106" s="22" t="e">
        <f aca="false">AND(#REF!,"AAAAAD6fn6U=")</f>
        <v>#VALUE!</v>
      </c>
      <c r="FK106" s="22" t="e">
        <f aca="false">AND(#REF!,"AAAAAD6fn6Y=")</f>
        <v>#VALUE!</v>
      </c>
      <c r="FL106" s="22" t="e">
        <f aca="false">AND(#REF!,"AAAAAD6fn6c=")</f>
        <v>#VALUE!</v>
      </c>
      <c r="FM106" s="22" t="e">
        <f aca="false">AND(#REF!,"AAAAAD6fn6g=")</f>
        <v>#VALUE!</v>
      </c>
      <c r="FN106" s="22" t="e">
        <f aca="false">AND(#REF!,"AAAAAD6fn6k=")</f>
        <v>#VALUE!</v>
      </c>
      <c r="FO106" s="22" t="e">
        <f aca="false">AND(#REF!,"AAAAAD6fn6o=")</f>
        <v>#VALUE!</v>
      </c>
      <c r="FP106" s="22" t="e">
        <f aca="false">AND(#REF!,"AAAAAD6fn6s=")</f>
        <v>#VALUE!</v>
      </c>
      <c r="FQ106" s="22" t="e">
        <f aca="false">AND(#REF!,"AAAAAD6fn6w=")</f>
        <v>#VALUE!</v>
      </c>
      <c r="FR106" s="22" t="e">
        <f aca="false">AND(#REF!,"AAAAAD6fn60=")</f>
        <v>#VALUE!</v>
      </c>
      <c r="FS106" s="22" t="e">
        <f aca="false">AND(#REF!,"AAAAAD6fn64=")</f>
        <v>#VALUE!</v>
      </c>
      <c r="FT106" s="22" t="e">
        <f aca="false">AND(#REF!,"AAAAAD6fn68=")</f>
        <v>#VALUE!</v>
      </c>
      <c r="FU106" s="22" t="e">
        <f aca="false">AND(#REF!,"AAAAAD6fn7A=")</f>
        <v>#VALUE!</v>
      </c>
      <c r="FV106" s="22" t="e">
        <f aca="false">AND(#REF!,"AAAAAD6fn7E=")</f>
        <v>#VALUE!</v>
      </c>
      <c r="FW106" s="22" t="e">
        <f aca="false">AND(#REF!,"AAAAAD6fn7I=")</f>
        <v>#VALUE!</v>
      </c>
      <c r="FX106" s="22" t="e">
        <f aca="false">AND(#REF!,"AAAAAD6fn7M=")</f>
        <v>#VALUE!</v>
      </c>
      <c r="FY106" s="22" t="e">
        <f aca="false">AND(#REF!,"AAAAAD6fn7Q=")</f>
        <v>#VALUE!</v>
      </c>
      <c r="FZ106" s="22" t="e">
        <f aca="false">AND(#REF!,"AAAAAD6fn7U=")</f>
        <v>#VALUE!</v>
      </c>
      <c r="GA106" s="22" t="e">
        <f aca="false">AND(#REF!,"AAAAAD6fn7Y=")</f>
        <v>#VALUE!</v>
      </c>
      <c r="GB106" s="22" t="e">
        <f aca="false">AND(#REF!,"AAAAAD6fn7c=")</f>
        <v>#VALUE!</v>
      </c>
      <c r="GC106" s="22" t="e">
        <f aca="false">AND(#REF!,"AAAAAD6fn7g=")</f>
        <v>#VALUE!</v>
      </c>
      <c r="GD106" s="22" t="e">
        <f aca="false">AND(#REF!,"AAAAAD6fn7k=")</f>
        <v>#VALUE!</v>
      </c>
      <c r="GE106" s="22" t="e">
        <f aca="false">AND(#REF!,"AAAAAD6fn7o=")</f>
        <v>#VALUE!</v>
      </c>
      <c r="GF106" s="22" t="e">
        <f aca="false">AND(#REF!,"AAAAAD6fn7s=")</f>
        <v>#VALUE!</v>
      </c>
      <c r="GG106" s="22" t="e">
        <f aca="false">AND(#REF!,"AAAAAD6fn7w=")</f>
        <v>#VALUE!</v>
      </c>
      <c r="GH106" s="22" t="e">
        <f aca="false">AND(#REF!,"AAAAAD6fn70=")</f>
        <v>#VALUE!</v>
      </c>
      <c r="GI106" s="22" t="e">
        <f aca="false">AND(#REF!,"AAAAAD6fn74=")</f>
        <v>#VALUE!</v>
      </c>
      <c r="GJ106" s="22" t="e">
        <f aca="false">AND(#REF!,"AAAAAD6fn78=")</f>
        <v>#VALUE!</v>
      </c>
      <c r="GK106" s="22" t="e">
        <f aca="false">AND(#REF!,"AAAAAD6fn8A=")</f>
        <v>#VALUE!</v>
      </c>
      <c r="GL106" s="22" t="e">
        <f aca="false">AND(#REF!,"AAAAAD6fn8E=")</f>
        <v>#VALUE!</v>
      </c>
      <c r="GM106" s="22" t="e">
        <f aca="false">AND(#REF!,"AAAAAD6fn8I=")</f>
        <v>#VALUE!</v>
      </c>
      <c r="GN106" s="22" t="e">
        <f aca="false">AND(#REF!,"AAAAAD6fn8M=")</f>
        <v>#VALUE!</v>
      </c>
      <c r="GO106" s="22" t="e">
        <f aca="false">AND(#REF!,"AAAAAD6fn8Q=")</f>
        <v>#VALUE!</v>
      </c>
      <c r="GP106" s="22" t="e">
        <f aca="false">AND(#REF!,"AAAAAD6fn8U=")</f>
        <v>#VALUE!</v>
      </c>
      <c r="GQ106" s="22" t="e">
        <f aca="false">AND(#REF!,"AAAAAD6fn8Y=")</f>
        <v>#VALUE!</v>
      </c>
      <c r="GR106" s="22" t="e">
        <f aca="false">AND(#REF!,"AAAAAD6fn8c=")</f>
        <v>#VALUE!</v>
      </c>
      <c r="GS106" s="22" t="e">
        <f aca="false">AND(#REF!,"AAAAAD6fn8g=")</f>
        <v>#VALUE!</v>
      </c>
      <c r="GT106" s="22" t="e">
        <f aca="false">AND(#REF!,"AAAAAD6fn8k=")</f>
        <v>#VALUE!</v>
      </c>
      <c r="GU106" s="22" t="e">
        <f aca="false">AND(#REF!,"AAAAAD6fn8o=")</f>
        <v>#VALUE!</v>
      </c>
      <c r="GV106" s="22" t="e">
        <f aca="false">AND(#REF!,"AAAAAD6fn8s=")</f>
        <v>#VALUE!</v>
      </c>
      <c r="GW106" s="22" t="e">
        <f aca="false">AND(#REF!,"AAAAAD6fn8w=")</f>
        <v>#VALUE!</v>
      </c>
      <c r="GX106" s="22" t="e">
        <f aca="false">AND(#REF!,"AAAAAD6fn80=")</f>
        <v>#VALUE!</v>
      </c>
      <c r="GY106" s="22" t="e">
        <f aca="false">AND(#REF!,"AAAAAD6fn84=")</f>
        <v>#VALUE!</v>
      </c>
      <c r="GZ106" s="22" t="e">
        <f aca="false">AND(#REF!,"AAAAAD6fn88=")</f>
        <v>#VALUE!</v>
      </c>
      <c r="HA106" s="22" t="e">
        <f aca="false">AND(#REF!,"AAAAAD6fn9A=")</f>
        <v>#VALUE!</v>
      </c>
      <c r="HB106" s="22" t="e">
        <f aca="false">AND(#REF!,"AAAAAD6fn9E=")</f>
        <v>#VALUE!</v>
      </c>
      <c r="HC106" s="22" t="e">
        <f aca="false">AND(#REF!,"AAAAAD6fn9I=")</f>
        <v>#VALUE!</v>
      </c>
      <c r="HD106" s="22" t="e">
        <f aca="false">AND(#REF!,"AAAAAD6fn9M=")</f>
        <v>#VALUE!</v>
      </c>
      <c r="HE106" s="22" t="e">
        <f aca="false">AND(#REF!,"AAAAAD6fn9Q=")</f>
        <v>#VALUE!</v>
      </c>
      <c r="HF106" s="22" t="e">
        <f aca="false">AND(#REF!,"AAAAAD6fn9U=")</f>
        <v>#VALUE!</v>
      </c>
      <c r="HG106" s="22" t="e">
        <f aca="false">AND(#REF!,"AAAAAD6fn9Y=")</f>
        <v>#VALUE!</v>
      </c>
      <c r="HH106" s="22" t="e">
        <f aca="false">AND(#REF!,"AAAAAD6fn9c=")</f>
        <v>#VALUE!</v>
      </c>
      <c r="HI106" s="22" t="e">
        <f aca="false">AND(#REF!,"AAAAAD6fn9g=")</f>
        <v>#VALUE!</v>
      </c>
      <c r="HJ106" s="22" t="e">
        <f aca="false">AND(#REF!,"AAAAAD6fn9k=")</f>
        <v>#VALUE!</v>
      </c>
      <c r="HK106" s="22" t="e">
        <f aca="false">AND(#REF!,"AAAAAD6fn9o=")</f>
        <v>#VALUE!</v>
      </c>
      <c r="HL106" s="22" t="e">
        <f aca="false">AND(#REF!,"AAAAAD6fn9s=")</f>
        <v>#VALUE!</v>
      </c>
      <c r="HM106" s="22" t="e">
        <f aca="false">AND(#REF!,"AAAAAD6fn9w=")</f>
        <v>#VALUE!</v>
      </c>
      <c r="HN106" s="22" t="e">
        <f aca="false">AND(#REF!,"AAAAAD6fn90=")</f>
        <v>#VALUE!</v>
      </c>
      <c r="HO106" s="22" t="e">
        <f aca="false">AND(#REF!,"AAAAAD6fn94=")</f>
        <v>#VALUE!</v>
      </c>
      <c r="HP106" s="22" t="e">
        <f aca="false">AND(#REF!,"AAAAAD6fn98=")</f>
        <v>#VALUE!</v>
      </c>
      <c r="HQ106" s="22" t="e">
        <f aca="false">AND(#REF!,"AAAAAD6fn+A=")</f>
        <v>#VALUE!</v>
      </c>
      <c r="HR106" s="22" t="e">
        <f aca="false">AND(#REF!,"AAAAAD6fn+E=")</f>
        <v>#VALUE!</v>
      </c>
      <c r="HS106" s="22" t="e">
        <f aca="false">AND(#REF!,"AAAAAD6fn+I=")</f>
        <v>#VALUE!</v>
      </c>
      <c r="HT106" s="22" t="e">
        <f aca="false">AND(#REF!,"AAAAAD6fn+M=")</f>
        <v>#VALUE!</v>
      </c>
      <c r="HU106" s="22" t="e">
        <f aca="false">AND(#REF!,"AAAAAD6fn+Q=")</f>
        <v>#VALUE!</v>
      </c>
      <c r="HV106" s="22" t="e">
        <f aca="false">AND(#REF!,"AAAAAD6fn+U=")</f>
        <v>#VALUE!</v>
      </c>
      <c r="HW106" s="22" t="e">
        <f aca="false">AND(#REF!,"AAAAAD6fn+Y=")</f>
        <v>#VALUE!</v>
      </c>
      <c r="HX106" s="22" t="e">
        <f aca="false">AND(#REF!,"AAAAAD6fn+c=")</f>
        <v>#VALUE!</v>
      </c>
      <c r="HY106" s="22" t="e">
        <f aca="false">AND(#REF!,"AAAAAD6fn+g=")</f>
        <v>#VALUE!</v>
      </c>
      <c r="HZ106" s="22" t="e">
        <f aca="false">AND(#REF!,"AAAAAD6fn+k=")</f>
        <v>#VALUE!</v>
      </c>
      <c r="IA106" s="22" t="e">
        <f aca="false">AND(#REF!,"AAAAAD6fn+o=")</f>
        <v>#VALUE!</v>
      </c>
      <c r="IB106" s="22" t="e">
        <f aca="false">AND(#REF!,"AAAAAD6fn+s=")</f>
        <v>#VALUE!</v>
      </c>
      <c r="IC106" s="22" t="e">
        <f aca="false">AND(#REF!,"AAAAAD6fn+w=")</f>
        <v>#VALUE!</v>
      </c>
      <c r="ID106" s="22" t="e">
        <f aca="false">AND(#REF!,"AAAAAD6fn+0=")</f>
        <v>#VALUE!</v>
      </c>
      <c r="IE106" s="22" t="e">
        <f aca="false">AND(#REF!,"AAAAAD6fn+4=")</f>
        <v>#VALUE!</v>
      </c>
      <c r="IF106" s="22" t="e">
        <f aca="false">AND(#REF!,"AAAAAD6fn+8=")</f>
        <v>#VALUE!</v>
      </c>
      <c r="IG106" s="22" t="e">
        <f aca="false">AND(#REF!,"AAAAAD6fn/A=")</f>
        <v>#VALUE!</v>
      </c>
      <c r="IH106" s="22" t="e">
        <f aca="false">AND(#REF!,"AAAAAD6fn/E=")</f>
        <v>#VALUE!</v>
      </c>
      <c r="II106" s="22" t="e">
        <f aca="false">AND(#REF!,"AAAAAD6fn/I=")</f>
        <v>#VALUE!</v>
      </c>
      <c r="IJ106" s="22" t="e">
        <f aca="false">AND(#REF!,"AAAAAD6fn/M=")</f>
        <v>#VALUE!</v>
      </c>
      <c r="IK106" s="22" t="e">
        <f aca="false">AND(#REF!,"AAAAAD6fn/Q=")</f>
        <v>#VALUE!</v>
      </c>
      <c r="IL106" s="22" t="e">
        <f aca="false">AND(#REF!,"AAAAAD6fn/U=")</f>
        <v>#VALUE!</v>
      </c>
      <c r="IM106" s="22" t="e">
        <f aca="false">AND(#REF!,"AAAAAD6fn/Y=")</f>
        <v>#VALUE!</v>
      </c>
      <c r="IN106" s="22" t="e">
        <f aca="false">AND(#REF!,"AAAAAD6fn/c=")</f>
        <v>#VALUE!</v>
      </c>
      <c r="IO106" s="22" t="e">
        <f aca="false">AND(#REF!,"AAAAAD6fn/g=")</f>
        <v>#VALUE!</v>
      </c>
      <c r="IP106" s="22" t="e">
        <f aca="false">AND(#REF!,"AAAAAD6fn/k=")</f>
        <v>#VALUE!</v>
      </c>
      <c r="IQ106" s="22" t="e">
        <f aca="false">AND(#REF!,"AAAAAD6fn/o=")</f>
        <v>#VALUE!</v>
      </c>
      <c r="IR106" s="22" t="e">
        <f aca="false">AND(#REF!,"AAAAAD6fn/s=")</f>
        <v>#VALUE!</v>
      </c>
      <c r="IS106" s="22" t="e">
        <f aca="false">AND(#REF!,"AAAAAD6fn/w=")</f>
        <v>#VALUE!</v>
      </c>
      <c r="IT106" s="22" t="e">
        <f aca="false">AND(#REF!,"AAAAAD6fn/0=")</f>
        <v>#VALUE!</v>
      </c>
      <c r="IU106" s="22" t="e">
        <f aca="false">AND(#REF!,"AAAAAD6fn/4=")</f>
        <v>#VALUE!</v>
      </c>
      <c r="IV106" s="22" t="e">
        <f aca="false">AND(#REF!,"AAAAAD6fn/8=")</f>
        <v>#VALUE!</v>
      </c>
    </row>
    <row r="107" customFormat="false" ht="12.75" hidden="false" customHeight="false" outlineLevel="0" collapsed="false">
      <c r="A107" s="22" t="e">
        <f aca="false">AND(#REF!,"AAAAAB8/dQA=")</f>
        <v>#VALUE!</v>
      </c>
      <c r="B107" s="22" t="e">
        <f aca="false">AND(#REF!,"AAAAAB8/dQE=")</f>
        <v>#VALUE!</v>
      </c>
      <c r="C107" s="22" t="e">
        <f aca="false">AND(#REF!,"AAAAAB8/dQI=")</f>
        <v>#VALUE!</v>
      </c>
      <c r="D107" s="22" t="e">
        <f aca="false">AND(#REF!,"AAAAAB8/dQM=")</f>
        <v>#VALUE!</v>
      </c>
      <c r="E107" s="22" t="e">
        <f aca="false">AND(#REF!,"AAAAAB8/dQQ=")</f>
        <v>#VALUE!</v>
      </c>
      <c r="F107" s="22" t="e">
        <f aca="false">AND(#REF!,"AAAAAB8/dQU=")</f>
        <v>#VALUE!</v>
      </c>
      <c r="G107" s="22" t="e">
        <f aca="false">AND(#REF!,"AAAAAB8/dQY=")</f>
        <v>#VALUE!</v>
      </c>
      <c r="H107" s="22" t="e">
        <f aca="false">AND(#REF!,"AAAAAB8/dQc=")</f>
        <v>#VALUE!</v>
      </c>
      <c r="I107" s="22" t="e">
        <f aca="false">AND(#REF!,"AAAAAB8/dQg=")</f>
        <v>#VALUE!</v>
      </c>
      <c r="J107" s="22" t="e">
        <f aca="false">AND(#REF!,"AAAAAB8/dQk=")</f>
        <v>#VALUE!</v>
      </c>
      <c r="K107" s="22" t="e">
        <f aca="false">AND(#REF!,"AAAAAB8/dQo=")</f>
        <v>#VALUE!</v>
      </c>
      <c r="L107" s="22" t="e">
        <f aca="false">AND(#REF!,"AAAAAB8/dQs=")</f>
        <v>#VALUE!</v>
      </c>
      <c r="M107" s="22" t="e">
        <f aca="false">AND(#REF!,"AAAAAB8/dQw=")</f>
        <v>#VALUE!</v>
      </c>
      <c r="N107" s="22" t="e">
        <f aca="false">AND(#REF!,"AAAAAB8/dQ0=")</f>
        <v>#VALUE!</v>
      </c>
      <c r="O107" s="22" t="e">
        <f aca="false">AND(#REF!,"AAAAAB8/dQ4=")</f>
        <v>#VALUE!</v>
      </c>
      <c r="P107" s="22" t="e">
        <f aca="false">AND(#REF!,"AAAAAB8/dQ8=")</f>
        <v>#VALUE!</v>
      </c>
      <c r="Q107" s="22" t="e">
        <f aca="false">AND(#REF!,"AAAAAB8/dRA=")</f>
        <v>#VALUE!</v>
      </c>
      <c r="R107" s="22" t="e">
        <f aca="false">AND(#REF!,"AAAAAB8/dRE=")</f>
        <v>#VALUE!</v>
      </c>
      <c r="S107" s="22" t="e">
        <f aca="false">AND(#REF!,"AAAAAB8/dRI=")</f>
        <v>#VALUE!</v>
      </c>
      <c r="T107" s="22" t="e">
        <f aca="false">AND(#REF!,"AAAAAB8/dRM=")</f>
        <v>#VALUE!</v>
      </c>
      <c r="U107" s="22" t="e">
        <f aca="false">AND(#REF!,"AAAAAB8/dRQ=")</f>
        <v>#VALUE!</v>
      </c>
      <c r="V107" s="22" t="e">
        <f aca="false">AND(#REF!,"AAAAAB8/dRU=")</f>
        <v>#VALUE!</v>
      </c>
      <c r="W107" s="22" t="e">
        <f aca="false">AND(#REF!,"AAAAAB8/dRY=")</f>
        <v>#VALUE!</v>
      </c>
      <c r="X107" s="22" t="e">
        <f aca="false">AND(#REF!,"AAAAAB8/dRc=")</f>
        <v>#VALUE!</v>
      </c>
      <c r="Y107" s="22" t="e">
        <f aca="false">AND(#REF!,"AAAAAB8/dRg=")</f>
        <v>#VALUE!</v>
      </c>
      <c r="Z107" s="22" t="e">
        <f aca="false">AND(#REF!,"AAAAAB8/dRk=")</f>
        <v>#VALUE!</v>
      </c>
      <c r="AA107" s="22" t="e">
        <f aca="false">AND(#REF!,"AAAAAB8/dRo=")</f>
        <v>#VALUE!</v>
      </c>
      <c r="AB107" s="22" t="e">
        <f aca="false">AND(#REF!,"AAAAAB8/dRs=")</f>
        <v>#VALUE!</v>
      </c>
      <c r="AC107" s="22" t="e">
        <f aca="false">AND(#REF!,"AAAAAB8/dRw=")</f>
        <v>#VALUE!</v>
      </c>
      <c r="AD107" s="22" t="e">
        <f aca="false">AND(#REF!,"AAAAAB8/dR0=")</f>
        <v>#VALUE!</v>
      </c>
      <c r="AE107" s="22" t="e">
        <f aca="false">AND(#REF!,"AAAAAB8/dR4=")</f>
        <v>#VALUE!</v>
      </c>
      <c r="AF107" s="22" t="e">
        <f aca="false">AND(#REF!,"AAAAAB8/dR8=")</f>
        <v>#VALUE!</v>
      </c>
      <c r="AG107" s="22" t="e">
        <f aca="false">AND(#REF!,"AAAAAB8/dSA=")</f>
        <v>#VALUE!</v>
      </c>
      <c r="AH107" s="22" t="e">
        <f aca="false">AND(#REF!,"AAAAAB8/dSE=")</f>
        <v>#VALUE!</v>
      </c>
      <c r="AI107" s="22" t="e">
        <f aca="false">AND(#REF!,"AAAAAB8/dSI=")</f>
        <v>#VALUE!</v>
      </c>
      <c r="AJ107" s="22" t="e">
        <f aca="false">AND(#REF!,"AAAAAB8/dSM=")</f>
        <v>#VALUE!</v>
      </c>
      <c r="AK107" s="22" t="e">
        <f aca="false">AND(#REF!,"AAAAAB8/dSQ=")</f>
        <v>#VALUE!</v>
      </c>
      <c r="AL107" s="22" t="e">
        <f aca="false">AND(#REF!,"AAAAAB8/dSU=")</f>
        <v>#VALUE!</v>
      </c>
      <c r="AM107" s="22" t="e">
        <f aca="false">AND(#REF!,"AAAAAB8/dSY=")</f>
        <v>#VALUE!</v>
      </c>
      <c r="AN107" s="22" t="e">
        <f aca="false">AND(#REF!,"AAAAAB8/dSc=")</f>
        <v>#VALUE!</v>
      </c>
      <c r="AO107" s="22" t="e">
        <f aca="false">AND(#REF!,"AAAAAB8/dSg=")</f>
        <v>#VALUE!</v>
      </c>
      <c r="AP107" s="22" t="e">
        <f aca="false">AND(#REF!,"AAAAAB8/dSk=")</f>
        <v>#VALUE!</v>
      </c>
      <c r="AQ107" s="22" t="e">
        <f aca="false">AND(#REF!,"AAAAAB8/dSo=")</f>
        <v>#VALUE!</v>
      </c>
      <c r="AR107" s="22" t="e">
        <f aca="false">AND(#REF!,"AAAAAB8/dSs=")</f>
        <v>#VALUE!</v>
      </c>
      <c r="AS107" s="22" t="e">
        <f aca="false">AND(#REF!,"AAAAAB8/dSw=")</f>
        <v>#VALUE!</v>
      </c>
      <c r="AT107" s="22" t="e">
        <f aca="false">AND(#REF!,"AAAAAB8/dS0=")</f>
        <v>#VALUE!</v>
      </c>
      <c r="AU107" s="22" t="e">
        <f aca="false">AND(#REF!,"AAAAAB8/dS4=")</f>
        <v>#VALUE!</v>
      </c>
      <c r="AV107" s="22" t="e">
        <f aca="false">AND(#REF!,"AAAAAB8/dS8=")</f>
        <v>#VALUE!</v>
      </c>
      <c r="AW107" s="22" t="e">
        <f aca="false">AND(#REF!,"AAAAAB8/dTA=")</f>
        <v>#VALUE!</v>
      </c>
      <c r="AX107" s="22" t="e">
        <f aca="false">AND(#REF!,"AAAAAB8/dTE=")</f>
        <v>#VALUE!</v>
      </c>
      <c r="AY107" s="22" t="e">
        <f aca="false">AND(#REF!,"AAAAAB8/dTI=")</f>
        <v>#VALUE!</v>
      </c>
      <c r="AZ107" s="22" t="e">
        <f aca="false">AND(#REF!,"AAAAAB8/dTM=")</f>
        <v>#VALUE!</v>
      </c>
      <c r="BA107" s="22" t="e">
        <f aca="false">AND(#REF!,"AAAAAB8/dTQ=")</f>
        <v>#VALUE!</v>
      </c>
      <c r="BB107" s="22" t="e">
        <f aca="false">AND(#REF!,"AAAAAB8/dTU=")</f>
        <v>#VALUE!</v>
      </c>
      <c r="BC107" s="22" t="e">
        <f aca="false">AND(#REF!,"AAAAAB8/dTY=")</f>
        <v>#VALUE!</v>
      </c>
      <c r="BD107" s="22" t="e">
        <f aca="false">AND(#REF!,"AAAAAB8/dTc=")</f>
        <v>#VALUE!</v>
      </c>
      <c r="BE107" s="22" t="e">
        <f aca="false">AND(#REF!,"AAAAAB8/dTg=")</f>
        <v>#VALUE!</v>
      </c>
      <c r="BF107" s="22" t="e">
        <f aca="false">AND(#REF!,"AAAAAB8/dTk=")</f>
        <v>#VALUE!</v>
      </c>
      <c r="BG107" s="22" t="e">
        <f aca="false">AND(#REF!,"AAAAAB8/dTo=")</f>
        <v>#VALUE!</v>
      </c>
      <c r="BH107" s="22" t="e">
        <f aca="false">AND(#REF!,"AAAAAB8/dTs=")</f>
        <v>#VALUE!</v>
      </c>
      <c r="BI107" s="22" t="e">
        <f aca="false">AND(#REF!,"AAAAAB8/dTw=")</f>
        <v>#VALUE!</v>
      </c>
      <c r="BJ107" s="22" t="e">
        <f aca="false">AND(#REF!,"AAAAAB8/dT0=")</f>
        <v>#VALUE!</v>
      </c>
      <c r="BK107" s="22" t="e">
        <f aca="false">AND(#REF!,"AAAAAB8/dT4=")</f>
        <v>#VALUE!</v>
      </c>
      <c r="BL107" s="22" t="e">
        <f aca="false">AND(#REF!,"AAAAAB8/dT8=")</f>
        <v>#VALUE!</v>
      </c>
      <c r="BM107" s="22" t="e">
        <f aca="false">AND(#REF!,"AAAAAB8/dUA=")</f>
        <v>#VALUE!</v>
      </c>
      <c r="BN107" s="22" t="e">
        <f aca="false">AND(#REF!,"AAAAAB8/dUE=")</f>
        <v>#VALUE!</v>
      </c>
      <c r="BO107" s="22" t="e">
        <f aca="false">AND(#REF!,"AAAAAB8/dUI=")</f>
        <v>#VALUE!</v>
      </c>
      <c r="BP107" s="22" t="e">
        <f aca="false">AND(#REF!,"AAAAAB8/dUM=")</f>
        <v>#VALUE!</v>
      </c>
      <c r="BQ107" s="22" t="e">
        <f aca="false">AND(#REF!,"AAAAAB8/dUQ=")</f>
        <v>#VALUE!</v>
      </c>
      <c r="BR107" s="22" t="e">
        <f aca="false">AND(#REF!,"AAAAAB8/dUU=")</f>
        <v>#VALUE!</v>
      </c>
      <c r="BS107" s="22" t="e">
        <f aca="false">AND(#REF!,"AAAAAB8/dUY=")</f>
        <v>#VALUE!</v>
      </c>
      <c r="BT107" s="22" t="e">
        <f aca="false">AND(#REF!,"AAAAAB8/dUc=")</f>
        <v>#VALUE!</v>
      </c>
      <c r="BU107" s="22" t="e">
        <f aca="false">AND(#REF!,"AAAAAB8/dUg=")</f>
        <v>#VALUE!</v>
      </c>
      <c r="BV107" s="22" t="e">
        <f aca="false">AND(#REF!,"AAAAAB8/dUk=")</f>
        <v>#VALUE!</v>
      </c>
      <c r="BW107" s="22" t="e">
        <f aca="false">AND(#REF!,"AAAAAB8/dUo=")</f>
        <v>#VALUE!</v>
      </c>
      <c r="BX107" s="22" t="e">
        <f aca="false">AND(#REF!,"AAAAAB8/dUs=")</f>
        <v>#VALUE!</v>
      </c>
      <c r="BY107" s="22" t="e">
        <f aca="false">AND(#REF!,"AAAAAB8/dUw=")</f>
        <v>#VALUE!</v>
      </c>
      <c r="BZ107" s="22" t="e">
        <f aca="false">AND(#REF!,"AAAAAB8/dU0=")</f>
        <v>#VALUE!</v>
      </c>
      <c r="CA107" s="22" t="e">
        <f aca="false">AND(#REF!,"AAAAAB8/dU4=")</f>
        <v>#VALUE!</v>
      </c>
      <c r="CB107" s="22" t="e">
        <f aca="false">AND(#REF!,"AAAAAB8/dU8=")</f>
        <v>#VALUE!</v>
      </c>
      <c r="CC107" s="22" t="e">
        <f aca="false">AND(#REF!,"AAAAAB8/dVA=")</f>
        <v>#VALUE!</v>
      </c>
      <c r="CD107" s="22" t="e">
        <f aca="false">AND(#REF!,"AAAAAB8/dVE=")</f>
        <v>#VALUE!</v>
      </c>
      <c r="CE107" s="22" t="e">
        <f aca="false">AND(#REF!,"AAAAAB8/dVI=")</f>
        <v>#VALUE!</v>
      </c>
      <c r="CF107" s="22" t="e">
        <f aca="false">AND(#REF!,"AAAAAB8/dVM=")</f>
        <v>#VALUE!</v>
      </c>
      <c r="CG107" s="22" t="e">
        <f aca="false">AND(#REF!,"AAAAAB8/dVQ=")</f>
        <v>#VALUE!</v>
      </c>
      <c r="CH107" s="22" t="e">
        <f aca="false">AND(#REF!,"AAAAAB8/dVU=")</f>
        <v>#VALUE!</v>
      </c>
      <c r="CI107" s="22" t="e">
        <f aca="false">AND(#REF!,"AAAAAB8/dVY=")</f>
        <v>#VALUE!</v>
      </c>
      <c r="CJ107" s="22" t="e">
        <f aca="false">AND(#REF!,"AAAAAB8/dVc=")</f>
        <v>#VALUE!</v>
      </c>
      <c r="CK107" s="22" t="e">
        <f aca="false">AND(#REF!,"AAAAAB8/dVg=")</f>
        <v>#VALUE!</v>
      </c>
      <c r="CL107" s="22" t="e">
        <f aca="false">AND(#REF!,"AAAAAB8/dVk=")</f>
        <v>#VALUE!</v>
      </c>
      <c r="CM107" s="22" t="e">
        <f aca="false">AND(#REF!,"AAAAAB8/dVo=")</f>
        <v>#VALUE!</v>
      </c>
      <c r="CN107" s="22" t="e">
        <f aca="false">AND(#REF!,"AAAAAB8/dVs=")</f>
        <v>#VALUE!</v>
      </c>
      <c r="CO107" s="22" t="e">
        <f aca="false">AND(#REF!,"AAAAAB8/dVw=")</f>
        <v>#VALUE!</v>
      </c>
      <c r="CP107" s="22" t="e">
        <f aca="false">AND(#REF!,"AAAAAB8/dV0=")</f>
        <v>#VALUE!</v>
      </c>
      <c r="CQ107" s="22" t="e">
        <f aca="false">AND(#REF!,"AAAAAB8/dV4=")</f>
        <v>#VALUE!</v>
      </c>
      <c r="CR107" s="22" t="e">
        <f aca="false">AND(#REF!,"AAAAAB8/dV8=")</f>
        <v>#VALUE!</v>
      </c>
      <c r="CS107" s="22" t="e">
        <f aca="false">AND(#REF!,"AAAAAB8/dWA=")</f>
        <v>#VALUE!</v>
      </c>
      <c r="CT107" s="22" t="e">
        <f aca="false">AND(#REF!,"AAAAAB8/dWE=")</f>
        <v>#VALUE!</v>
      </c>
      <c r="CU107" s="22" t="e">
        <f aca="false">AND(#REF!,"AAAAAB8/dWI=")</f>
        <v>#VALUE!</v>
      </c>
      <c r="CV107" s="22" t="e">
        <f aca="false">AND(#REF!,"AAAAAB8/dWM=")</f>
        <v>#VALUE!</v>
      </c>
      <c r="CW107" s="22" t="e">
        <f aca="false">AND(#REF!,"AAAAAB8/dWQ=")</f>
        <v>#VALUE!</v>
      </c>
      <c r="CX107" s="22" t="e">
        <f aca="false">AND(#REF!,"AAAAAB8/dWU=")</f>
        <v>#VALUE!</v>
      </c>
      <c r="CY107" s="22" t="e">
        <f aca="false">AND(#REF!,"AAAAAB8/dWY=")</f>
        <v>#VALUE!</v>
      </c>
      <c r="CZ107" s="22" t="e">
        <f aca="false">AND(#REF!,"AAAAAB8/dWc=")</f>
        <v>#VALUE!</v>
      </c>
      <c r="DA107" s="22" t="e">
        <f aca="false">AND(#REF!,"AAAAAB8/dWg=")</f>
        <v>#VALUE!</v>
      </c>
      <c r="DB107" s="22" t="e">
        <f aca="false">AND(#REF!,"AAAAAB8/dWk=")</f>
        <v>#VALUE!</v>
      </c>
      <c r="DC107" s="22" t="e">
        <f aca="false">AND(#REF!,"AAAAAB8/dWo=")</f>
        <v>#VALUE!</v>
      </c>
      <c r="DD107" s="22" t="e">
        <f aca="false">AND(#REF!,"AAAAAB8/dWs=")</f>
        <v>#VALUE!</v>
      </c>
      <c r="DE107" s="22" t="e">
        <f aca="false">AND(#REF!,"AAAAAB8/dWw=")</f>
        <v>#VALUE!</v>
      </c>
      <c r="DF107" s="22" t="e">
        <f aca="false">AND(#REF!,"AAAAAB8/dW0=")</f>
        <v>#VALUE!</v>
      </c>
      <c r="DG107" s="22" t="e">
        <f aca="false">AND(#REF!,"AAAAAB8/dW4=")</f>
        <v>#VALUE!</v>
      </c>
      <c r="DH107" s="22" t="e">
        <f aca="false">AND(#REF!,"AAAAAB8/dW8=")</f>
        <v>#VALUE!</v>
      </c>
      <c r="DI107" s="22" t="e">
        <f aca="false">AND(#REF!,"AAAAAB8/dXA=")</f>
        <v>#VALUE!</v>
      </c>
      <c r="DJ107" s="22" t="e">
        <f aca="false">AND(#REF!,"AAAAAB8/dXE=")</f>
        <v>#VALUE!</v>
      </c>
      <c r="DK107" s="22" t="e">
        <f aca="false">AND(#REF!,"AAAAAB8/dXI=")</f>
        <v>#VALUE!</v>
      </c>
      <c r="DL107" s="22" t="e">
        <f aca="false">AND(#REF!,"AAAAAB8/dXM=")</f>
        <v>#VALUE!</v>
      </c>
      <c r="DM107" s="22" t="e">
        <f aca="false">AND(#REF!,"AAAAAB8/dXQ=")</f>
        <v>#VALUE!</v>
      </c>
      <c r="DN107" s="22" t="e">
        <f aca="false">AND(#REF!,"AAAAAB8/dXU=")</f>
        <v>#VALUE!</v>
      </c>
      <c r="DO107" s="22" t="e">
        <f aca="false">AND(#REF!,"AAAAAB8/dXY=")</f>
        <v>#VALUE!</v>
      </c>
      <c r="DP107" s="22" t="e">
        <f aca="false">AND(#REF!,"AAAAAB8/dXc=")</f>
        <v>#VALUE!</v>
      </c>
      <c r="DQ107" s="22" t="e">
        <f aca="false">AND(#REF!,"AAAAAB8/dXg=")</f>
        <v>#VALUE!</v>
      </c>
      <c r="DR107" s="22" t="e">
        <f aca="false">AND(#REF!,"AAAAAB8/dXk=")</f>
        <v>#VALUE!</v>
      </c>
      <c r="DS107" s="22" t="e">
        <f aca="false">AND(#REF!,"AAAAAB8/dXo=")</f>
        <v>#VALUE!</v>
      </c>
      <c r="DT107" s="22" t="e">
        <f aca="false">AND(#REF!,"AAAAAB8/dXs=")</f>
        <v>#VALUE!</v>
      </c>
      <c r="DU107" s="22" t="e">
        <f aca="false">AND(#REF!,"AAAAAB8/dXw=")</f>
        <v>#VALUE!</v>
      </c>
      <c r="DV107" s="22" t="e">
        <f aca="false">AND(#REF!,"AAAAAB8/dX0=")</f>
        <v>#VALUE!</v>
      </c>
      <c r="DW107" s="22" t="e">
        <f aca="false">AND(#REF!,"AAAAAB8/dX4=")</f>
        <v>#VALUE!</v>
      </c>
      <c r="DX107" s="22" t="e">
        <f aca="false">AND(#REF!,"AAAAAB8/dX8=")</f>
        <v>#VALUE!</v>
      </c>
      <c r="DY107" s="22" t="e">
        <f aca="false">IF(#REF!,"AAAAAB8/dYA=",0)</f>
        <v>#REF!</v>
      </c>
      <c r="DZ107" s="22" t="e">
        <f aca="false">AND(#REF!,"AAAAAB8/dYE=")</f>
        <v>#VALUE!</v>
      </c>
      <c r="EA107" s="22" t="e">
        <f aca="false">AND(#REF!,"AAAAAB8/dYI=")</f>
        <v>#VALUE!</v>
      </c>
      <c r="EB107" s="22" t="e">
        <f aca="false">AND(#REF!,"AAAAAB8/dYM=")</f>
        <v>#VALUE!</v>
      </c>
      <c r="EC107" s="22" t="e">
        <f aca="false">AND(#REF!,"AAAAAB8/dYQ=")</f>
        <v>#VALUE!</v>
      </c>
      <c r="ED107" s="22" t="e">
        <f aca="false">AND(#REF!,"AAAAAB8/dYU=")</f>
        <v>#VALUE!</v>
      </c>
      <c r="EE107" s="22" t="e">
        <f aca="false">AND(#REF!,"AAAAAB8/dYY=")</f>
        <v>#VALUE!</v>
      </c>
      <c r="EF107" s="22" t="e">
        <f aca="false">AND(#REF!,"AAAAAB8/dYc=")</f>
        <v>#VALUE!</v>
      </c>
      <c r="EG107" s="22" t="e">
        <f aca="false">AND(#REF!,"AAAAAB8/dYg=")</f>
        <v>#VALUE!</v>
      </c>
      <c r="EH107" s="22" t="e">
        <f aca="false">AND(#REF!,"AAAAAB8/dYk=")</f>
        <v>#VALUE!</v>
      </c>
      <c r="EI107" s="22" t="e">
        <f aca="false">IF(#REF!,"AAAAAB8/dYo=",0)</f>
        <v>#REF!</v>
      </c>
      <c r="EJ107" s="22" t="e">
        <f aca="false">AND(#REF!,"AAAAAB8/dYs=")</f>
        <v>#VALUE!</v>
      </c>
      <c r="EK107" s="22" t="e">
        <f aca="false">AND(#REF!,"AAAAAB8/dYw=")</f>
        <v>#VALUE!</v>
      </c>
      <c r="EL107" s="22" t="e">
        <f aca="false">AND(#REF!,"AAAAAB8/dY0=")</f>
        <v>#VALUE!</v>
      </c>
      <c r="EM107" s="22" t="e">
        <f aca="false">AND(#REF!,"AAAAAB8/dY4=")</f>
        <v>#VALUE!</v>
      </c>
      <c r="EN107" s="22" t="e">
        <f aca="false">AND(#REF!,"AAAAAB8/dY8=")</f>
        <v>#VALUE!</v>
      </c>
      <c r="EO107" s="22" t="e">
        <f aca="false">AND(#REF!,"AAAAAB8/dZA=")</f>
        <v>#VALUE!</v>
      </c>
      <c r="EP107" s="22" t="e">
        <f aca="false">AND(#REF!,"AAAAAB8/dZE=")</f>
        <v>#VALUE!</v>
      </c>
      <c r="EQ107" s="22" t="e">
        <f aca="false">AND(#REF!,"AAAAAB8/dZI=")</f>
        <v>#VALUE!</v>
      </c>
      <c r="ER107" s="22" t="e">
        <f aca="false">IF(#REF!,"AAAAAB8/dZM=",0)</f>
        <v>#REF!</v>
      </c>
      <c r="ES107" s="22" t="e">
        <f aca="false">AND(#REF!,"AAAAAB8/dZQ=")</f>
        <v>#VALUE!</v>
      </c>
      <c r="ET107" s="22" t="e">
        <f aca="false">AND(#REF!,"AAAAAB8/dZU=")</f>
        <v>#VALUE!</v>
      </c>
      <c r="EU107" s="22" t="e">
        <f aca="false">AND(#REF!,"AAAAAB8/dZY=")</f>
        <v>#VALUE!</v>
      </c>
      <c r="EV107" s="22" t="e">
        <f aca="false">AND(#REF!,"AAAAAB8/dZc=")</f>
        <v>#VALUE!</v>
      </c>
      <c r="EW107" s="22" t="e">
        <f aca="false">AND(#REF!,"AAAAAB8/dZg=")</f>
        <v>#VALUE!</v>
      </c>
      <c r="EX107" s="22" t="e">
        <f aca="false">AND(#REF!,"AAAAAB8/dZk=")</f>
        <v>#VALUE!</v>
      </c>
      <c r="EY107" s="22" t="e">
        <f aca="false">AND(#REF!,"AAAAAB8/dZo=")</f>
        <v>#VALUE!</v>
      </c>
      <c r="EZ107" s="22" t="e">
        <f aca="false">AND(#REF!,"AAAAAB8/dZs=")</f>
        <v>#VALUE!</v>
      </c>
      <c r="FA107" s="22" t="e">
        <f aca="false">IF(#REF!,"AAAAAB8/dZw=",0)</f>
        <v>#REF!</v>
      </c>
      <c r="FB107" s="22" t="e">
        <f aca="false">AND(#REF!,"AAAAAB8/dZ0=")</f>
        <v>#VALUE!</v>
      </c>
      <c r="FC107" s="22" t="e">
        <f aca="false">AND(#REF!,"AAAAAB8/dZ4=")</f>
        <v>#VALUE!</v>
      </c>
      <c r="FD107" s="22" t="e">
        <f aca="false">AND(#REF!,"AAAAAB8/dZ8=")</f>
        <v>#VALUE!</v>
      </c>
      <c r="FE107" s="22" t="e">
        <f aca="false">AND(#REF!,"AAAAAB8/daA=")</f>
        <v>#VALUE!</v>
      </c>
      <c r="FF107" s="22" t="e">
        <f aca="false">AND(#REF!,"AAAAAB8/daE=")</f>
        <v>#VALUE!</v>
      </c>
      <c r="FG107" s="22" t="e">
        <f aca="false">AND(#REF!,"AAAAAB8/daI=")</f>
        <v>#VALUE!</v>
      </c>
      <c r="FH107" s="22" t="e">
        <f aca="false">AND(#REF!,"AAAAAB8/daM=")</f>
        <v>#VALUE!</v>
      </c>
      <c r="FI107" s="22" t="e">
        <f aca="false">AND(#REF!,"AAAAAB8/daQ=")</f>
        <v>#VALUE!</v>
      </c>
      <c r="FJ107" s="22" t="e">
        <f aca="false">IF(#REF!,"AAAAAB8/daU=",0)</f>
        <v>#REF!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2011-05-31T04:19:01Z</dcterms:created>
  <dc:creator>Lois &amp; Clemens</dc:creator>
  <dc:description/>
  <dc:language>en-AU</dc:language>
  <cp:lastModifiedBy/>
  <cp:lastPrinted>2011-07-14T06:01:49Z</cp:lastPrinted>
  <dcterms:modified xsi:type="dcterms:W3CDTF">2021-01-31T17:28:54Z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Google.Documents.DocumentId">
    <vt:lpwstr>15r_XYkODvGQXTjqgb7bMVB9Oi6MDwsuXQ2TVfpbCqpQ</vt:lpwstr>
  </property>
  <property fmtid="{D5CDD505-2E9C-101B-9397-08002B2CF9AE}" pid="5" name="Google.Documents.MergeIncapabilityFlags">
    <vt:i4>0</vt:i4>
  </property>
  <property fmtid="{D5CDD505-2E9C-101B-9397-08002B2CF9AE}" pid="6" name="Google.Documents.PluginVersion">
    <vt:lpwstr>2.0.2154.5604</vt:lpwstr>
  </property>
  <property fmtid="{D5CDD505-2E9C-101B-9397-08002B2CF9AE}" pid="7" name="Google.Documents.PreviousRevisionId">
    <vt:lpwstr>04840760895611631296</vt:lpwstr>
  </property>
  <property fmtid="{D5CDD505-2E9C-101B-9397-08002B2CF9AE}" pid="8" name="Google.Documents.RevisionId">
    <vt:lpwstr>13730042749834163369</vt:lpwstr>
  </property>
  <property fmtid="{D5CDD505-2E9C-101B-9397-08002B2CF9AE}" pid="9" name="Google.Documents.Tracking">
    <vt:lpwstr>false</vt:lpwstr>
  </property>
  <property fmtid="{D5CDD505-2E9C-101B-9397-08002B2CF9AE}" pid="10" name="HyperlinksChanged">
    <vt:bool>0</vt:bool>
  </property>
  <property fmtid="{D5CDD505-2E9C-101B-9397-08002B2CF9AE}" pid="11" name="LinksUpToDate">
    <vt:bool>0</vt:bool>
  </property>
  <property fmtid="{D5CDD505-2E9C-101B-9397-08002B2CF9AE}" pid="12" name="ScaleCrop">
    <vt:bool>0</vt:bool>
  </property>
  <property fmtid="{D5CDD505-2E9C-101B-9397-08002B2CF9AE}" pid="13" name="ShareDoc">
    <vt:bool>0</vt:bool>
  </property>
</Properties>
</file>